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266289\OneDrive - Cranfield University\s266289\Papers\Economic model\Models\Poland\"/>
    </mc:Choice>
  </mc:AlternateContent>
  <bookViews>
    <workbookView xWindow="0" yWindow="0" windowWidth="10580" windowHeight="3080" tabRatio="703" firstSheet="10" activeTab="19"/>
  </bookViews>
  <sheets>
    <sheet name="Introduction" sheetId="20" r:id="rId1"/>
    <sheet name="Arable Inputs" sheetId="21" r:id="rId2"/>
    <sheet name="Arable fixed costs" sheetId="3" state="hidden" r:id="rId3"/>
    <sheet name="Arable margins" sheetId="1" state="hidden" r:id="rId4"/>
    <sheet name="Energy Inputs" sheetId="5" r:id="rId5"/>
    <sheet name="Energy fixed costs" sheetId="7" state="hidden" r:id="rId6"/>
    <sheet name="Energy margins" sheetId="2" state="hidden" r:id="rId7"/>
    <sheet name="Margins summary" sheetId="8" state="hidden" r:id="rId8"/>
    <sheet name="Arable NPV" sheetId="9" state="hidden" r:id="rId9"/>
    <sheet name="Arable Model tables" sheetId="18" state="hidden" r:id="rId10"/>
    <sheet name="Arable Model" sheetId="17" r:id="rId11"/>
    <sheet name="Energy Model tables" sheetId="22" state="hidden" r:id="rId12"/>
    <sheet name="Energy Model" sheetId="23" r:id="rId13"/>
    <sheet name="Energy NPV" sheetId="10" state="hidden" r:id="rId14"/>
    <sheet name="Sensitivity Analysis Price" sheetId="13" r:id="rId15"/>
    <sheet name="Sensitivity Analysis Yield" sheetId="14" r:id="rId16"/>
    <sheet name="Sensitivity Analysis Costs" sheetId="15" state="hidden" r:id="rId17"/>
    <sheet name="Sensitivity Analysis Discount R" sheetId="16" state="hidden" r:id="rId18"/>
    <sheet name="Summary NPV" sheetId="11" r:id="rId19"/>
    <sheet name="Summary SA" sheetId="12" r:id="rId20"/>
  </sheets>
  <definedNames>
    <definedName name="Rate_PLN" localSheetId="6">'Energy margins'!$E$53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113" i="13" l="1"/>
  <c r="DF39" i="16" l="1"/>
  <c r="DG39" i="16"/>
  <c r="DH39" i="16"/>
  <c r="DI39" i="16"/>
  <c r="DJ39" i="16"/>
  <c r="DF40" i="16"/>
  <c r="DG40" i="16"/>
  <c r="DH40" i="16"/>
  <c r="DI40" i="16"/>
  <c r="DJ40" i="16"/>
  <c r="DF41" i="16"/>
  <c r="DG41" i="16"/>
  <c r="DH41" i="16"/>
  <c r="DI41" i="16"/>
  <c r="DJ41" i="16"/>
  <c r="DF42" i="16"/>
  <c r="DG42" i="16"/>
  <c r="DH42" i="16"/>
  <c r="DI42" i="16"/>
  <c r="DJ42" i="16"/>
  <c r="DF43" i="16"/>
  <c r="DG43" i="16"/>
  <c r="DH43" i="16"/>
  <c r="DI43" i="16"/>
  <c r="DJ43" i="16"/>
  <c r="DF44" i="16"/>
  <c r="DG44" i="16"/>
  <c r="DH44" i="16"/>
  <c r="DI44" i="16"/>
  <c r="DJ44" i="16"/>
  <c r="DF45" i="16"/>
  <c r="DG45" i="16"/>
  <c r="DH45" i="16"/>
  <c r="DI45" i="16"/>
  <c r="DJ45" i="16"/>
  <c r="DF46" i="16"/>
  <c r="DG46" i="16"/>
  <c r="DH46" i="16"/>
  <c r="DI46" i="16"/>
  <c r="DJ46" i="16"/>
  <c r="DF47" i="16"/>
  <c r="DG47" i="16"/>
  <c r="DH47" i="16"/>
  <c r="DI47" i="16"/>
  <c r="DJ47" i="16"/>
  <c r="DF48" i="16"/>
  <c r="DG48" i="16"/>
  <c r="DH48" i="16"/>
  <c r="DI48" i="16"/>
  <c r="DJ48" i="16"/>
  <c r="DF49" i="16"/>
  <c r="DG49" i="16"/>
  <c r="DH49" i="16"/>
  <c r="DI49" i="16"/>
  <c r="DJ49" i="16"/>
  <c r="DF50" i="16"/>
  <c r="DG50" i="16"/>
  <c r="DH50" i="16"/>
  <c r="DI50" i="16"/>
  <c r="DJ50" i="16"/>
  <c r="DF51" i="16"/>
  <c r="DG51" i="16"/>
  <c r="DH51" i="16"/>
  <c r="DI51" i="16"/>
  <c r="DJ51" i="16"/>
  <c r="DF52" i="16"/>
  <c r="DG52" i="16"/>
  <c r="DH52" i="16"/>
  <c r="DI52" i="16"/>
  <c r="DJ52" i="16"/>
  <c r="DF53" i="16"/>
  <c r="DG53" i="16"/>
  <c r="DH53" i="16"/>
  <c r="DI53" i="16"/>
  <c r="DJ53" i="16"/>
  <c r="DJ38" i="16"/>
  <c r="DI38" i="16"/>
  <c r="DH38" i="16"/>
  <c r="DG38" i="16"/>
  <c r="DF38" i="16"/>
  <c r="CH39" i="16"/>
  <c r="CI39" i="16"/>
  <c r="CJ39" i="16"/>
  <c r="CK39" i="16"/>
  <c r="CL39" i="16"/>
  <c r="CH40" i="16"/>
  <c r="CI40" i="16"/>
  <c r="CJ40" i="16"/>
  <c r="CK40" i="16"/>
  <c r="CL40" i="16"/>
  <c r="CH41" i="16"/>
  <c r="CI41" i="16"/>
  <c r="CJ41" i="16"/>
  <c r="CK41" i="16"/>
  <c r="CL41" i="16"/>
  <c r="CH42" i="16"/>
  <c r="CI42" i="16"/>
  <c r="CJ42" i="16"/>
  <c r="CK42" i="16"/>
  <c r="CL42" i="16"/>
  <c r="CH43" i="16"/>
  <c r="CI43" i="16"/>
  <c r="CJ43" i="16"/>
  <c r="CK43" i="16"/>
  <c r="CL43" i="16"/>
  <c r="CH44" i="16"/>
  <c r="CI44" i="16"/>
  <c r="CJ44" i="16"/>
  <c r="CK44" i="16"/>
  <c r="CL44" i="16"/>
  <c r="CH45" i="16"/>
  <c r="CI45" i="16"/>
  <c r="CJ45" i="16"/>
  <c r="CK45" i="16"/>
  <c r="CL45" i="16"/>
  <c r="CH46" i="16"/>
  <c r="CI46" i="16"/>
  <c r="CJ46" i="16"/>
  <c r="CK46" i="16"/>
  <c r="CL46" i="16"/>
  <c r="CH47" i="16"/>
  <c r="CI47" i="16"/>
  <c r="CJ47" i="16"/>
  <c r="CK47" i="16"/>
  <c r="CL47" i="16"/>
  <c r="CH48" i="16"/>
  <c r="CI48" i="16"/>
  <c r="CJ48" i="16"/>
  <c r="CK48" i="16"/>
  <c r="CL48" i="16"/>
  <c r="CH49" i="16"/>
  <c r="CI49" i="16"/>
  <c r="CJ49" i="16"/>
  <c r="CK49" i="16"/>
  <c r="CL49" i="16"/>
  <c r="CH50" i="16"/>
  <c r="CI50" i="16"/>
  <c r="CJ50" i="16"/>
  <c r="CK50" i="16"/>
  <c r="CL50" i="16"/>
  <c r="CH51" i="16"/>
  <c r="CI51" i="16"/>
  <c r="CJ51" i="16"/>
  <c r="CK51" i="16"/>
  <c r="CL51" i="16"/>
  <c r="CH52" i="16"/>
  <c r="CI52" i="16"/>
  <c r="CJ52" i="16"/>
  <c r="CK52" i="16"/>
  <c r="CL52" i="16"/>
  <c r="CH53" i="16"/>
  <c r="CI53" i="16"/>
  <c r="CJ53" i="16"/>
  <c r="CK53" i="16"/>
  <c r="CL53" i="16"/>
  <c r="CL38" i="16"/>
  <c r="CK38" i="16"/>
  <c r="CJ38" i="16"/>
  <c r="CI38" i="16"/>
  <c r="CH38" i="16"/>
  <c r="BJ39" i="16"/>
  <c r="BK39" i="16"/>
  <c r="BL39" i="16"/>
  <c r="BM39" i="16"/>
  <c r="BN39" i="16"/>
  <c r="BJ40" i="16"/>
  <c r="BK40" i="16"/>
  <c r="BL40" i="16"/>
  <c r="BM40" i="16"/>
  <c r="BN40" i="16"/>
  <c r="BJ41" i="16"/>
  <c r="BK41" i="16"/>
  <c r="BL41" i="16"/>
  <c r="BM41" i="16"/>
  <c r="BN41" i="16"/>
  <c r="BJ42" i="16"/>
  <c r="BK42" i="16"/>
  <c r="BL42" i="16"/>
  <c r="BM42" i="16"/>
  <c r="BN42" i="16"/>
  <c r="BJ43" i="16"/>
  <c r="BK43" i="16"/>
  <c r="BL43" i="16"/>
  <c r="BM43" i="16"/>
  <c r="BN43" i="16"/>
  <c r="BJ44" i="16"/>
  <c r="BK44" i="16"/>
  <c r="BL44" i="16"/>
  <c r="BM44" i="16"/>
  <c r="BN44" i="16"/>
  <c r="BJ45" i="16"/>
  <c r="BK45" i="16"/>
  <c r="BL45" i="16"/>
  <c r="BM45" i="16"/>
  <c r="BN45" i="16"/>
  <c r="BJ46" i="16"/>
  <c r="BK46" i="16"/>
  <c r="BL46" i="16"/>
  <c r="BM46" i="16"/>
  <c r="BN46" i="16"/>
  <c r="BJ47" i="16"/>
  <c r="BK47" i="16"/>
  <c r="BL47" i="16"/>
  <c r="BM47" i="16"/>
  <c r="BN47" i="16"/>
  <c r="BJ48" i="16"/>
  <c r="BK48" i="16"/>
  <c r="BL48" i="16"/>
  <c r="BM48" i="16"/>
  <c r="BN48" i="16"/>
  <c r="BJ49" i="16"/>
  <c r="BK49" i="16"/>
  <c r="BL49" i="16"/>
  <c r="BM49" i="16"/>
  <c r="BN49" i="16"/>
  <c r="BJ50" i="16"/>
  <c r="BK50" i="16"/>
  <c r="BL50" i="16"/>
  <c r="BM50" i="16"/>
  <c r="BN50" i="16"/>
  <c r="BJ51" i="16"/>
  <c r="BK51" i="16"/>
  <c r="BL51" i="16"/>
  <c r="BM51" i="16"/>
  <c r="BN51" i="16"/>
  <c r="BJ52" i="16"/>
  <c r="BK52" i="16"/>
  <c r="BL52" i="16"/>
  <c r="BM52" i="16"/>
  <c r="BN52" i="16"/>
  <c r="BJ53" i="16"/>
  <c r="BK53" i="16"/>
  <c r="BL53" i="16"/>
  <c r="BM53" i="16"/>
  <c r="BN53" i="16"/>
  <c r="BN38" i="16"/>
  <c r="BM38" i="16"/>
  <c r="BL38" i="16"/>
  <c r="BK38" i="16"/>
  <c r="BJ38" i="16"/>
  <c r="AL39" i="16"/>
  <c r="AM39" i="16"/>
  <c r="AN39" i="16"/>
  <c r="AO39" i="16"/>
  <c r="AP39" i="16"/>
  <c r="AL40" i="16"/>
  <c r="AM40" i="16"/>
  <c r="AN40" i="16"/>
  <c r="AO40" i="16"/>
  <c r="AP40" i="16"/>
  <c r="AL41" i="16"/>
  <c r="AM41" i="16"/>
  <c r="AN41" i="16"/>
  <c r="AO41" i="16"/>
  <c r="AP41" i="16"/>
  <c r="AL42" i="16"/>
  <c r="AM42" i="16"/>
  <c r="AN42" i="16"/>
  <c r="AO42" i="16"/>
  <c r="AP42" i="16"/>
  <c r="AL43" i="16"/>
  <c r="AM43" i="16"/>
  <c r="AN43" i="16"/>
  <c r="AO43" i="16"/>
  <c r="AP43" i="16"/>
  <c r="AL44" i="16"/>
  <c r="AM44" i="16"/>
  <c r="AN44" i="16"/>
  <c r="AO44" i="16"/>
  <c r="AP44" i="16"/>
  <c r="AL45" i="16"/>
  <c r="AM45" i="16"/>
  <c r="AN45" i="16"/>
  <c r="AO45" i="16"/>
  <c r="AP45" i="16"/>
  <c r="AL46" i="16"/>
  <c r="AM46" i="16"/>
  <c r="AN46" i="16"/>
  <c r="AO46" i="16"/>
  <c r="AP46" i="16"/>
  <c r="AL47" i="16"/>
  <c r="AM47" i="16"/>
  <c r="AN47" i="16"/>
  <c r="AO47" i="16"/>
  <c r="AP47" i="16"/>
  <c r="AL48" i="16"/>
  <c r="AM48" i="16"/>
  <c r="AN48" i="16"/>
  <c r="AO48" i="16"/>
  <c r="AP48" i="16"/>
  <c r="AL49" i="16"/>
  <c r="AM49" i="16"/>
  <c r="AN49" i="16"/>
  <c r="AO49" i="16"/>
  <c r="AP49" i="16"/>
  <c r="AL50" i="16"/>
  <c r="AM50" i="16"/>
  <c r="AN50" i="16"/>
  <c r="AO50" i="16"/>
  <c r="AP50" i="16"/>
  <c r="AL51" i="16"/>
  <c r="AM51" i="16"/>
  <c r="AN51" i="16"/>
  <c r="AO51" i="16"/>
  <c r="AP51" i="16"/>
  <c r="AL52" i="16"/>
  <c r="AM52" i="16"/>
  <c r="AN52" i="16"/>
  <c r="AO52" i="16"/>
  <c r="AP52" i="16"/>
  <c r="AL53" i="16"/>
  <c r="AM53" i="16"/>
  <c r="AN53" i="16"/>
  <c r="AO53" i="16"/>
  <c r="AP53" i="16"/>
  <c r="AP38" i="16"/>
  <c r="AO38" i="16"/>
  <c r="AN38" i="16"/>
  <c r="AM38" i="16"/>
  <c r="AL38" i="16"/>
  <c r="R53" i="16"/>
  <c r="Q53" i="16"/>
  <c r="P53" i="16"/>
  <c r="O53" i="16"/>
  <c r="N53" i="16"/>
  <c r="R52" i="16"/>
  <c r="Q52" i="16"/>
  <c r="P52" i="16"/>
  <c r="O52" i="16"/>
  <c r="N52" i="16"/>
  <c r="R51" i="16"/>
  <c r="Q51" i="16"/>
  <c r="P51" i="16"/>
  <c r="O51" i="16"/>
  <c r="N51" i="16"/>
  <c r="R50" i="16"/>
  <c r="Q50" i="16"/>
  <c r="P50" i="16"/>
  <c r="O50" i="16"/>
  <c r="N50" i="16"/>
  <c r="R49" i="16"/>
  <c r="Q49" i="16"/>
  <c r="P49" i="16"/>
  <c r="O49" i="16"/>
  <c r="N49" i="16"/>
  <c r="R48" i="16"/>
  <c r="Q48" i="16"/>
  <c r="P48" i="16"/>
  <c r="O48" i="16"/>
  <c r="N48" i="16"/>
  <c r="R47" i="16"/>
  <c r="Q47" i="16"/>
  <c r="P47" i="16"/>
  <c r="O47" i="16"/>
  <c r="N47" i="16"/>
  <c r="R46" i="16"/>
  <c r="Q46" i="16"/>
  <c r="P46" i="16"/>
  <c r="O46" i="16"/>
  <c r="N46" i="16"/>
  <c r="R45" i="16"/>
  <c r="Q45" i="16"/>
  <c r="P45" i="16"/>
  <c r="O45" i="16"/>
  <c r="N45" i="16"/>
  <c r="R44" i="16"/>
  <c r="Q44" i="16"/>
  <c r="P44" i="16"/>
  <c r="O44" i="16"/>
  <c r="N44" i="16"/>
  <c r="R43" i="16"/>
  <c r="Q43" i="16"/>
  <c r="P43" i="16"/>
  <c r="O43" i="16"/>
  <c r="N43" i="16"/>
  <c r="R42" i="16"/>
  <c r="Q42" i="16"/>
  <c r="P42" i="16"/>
  <c r="O42" i="16"/>
  <c r="N42" i="16"/>
  <c r="R41" i="16"/>
  <c r="Q41" i="16"/>
  <c r="P41" i="16"/>
  <c r="O41" i="16"/>
  <c r="N41" i="16"/>
  <c r="R40" i="16"/>
  <c r="Q40" i="16"/>
  <c r="P40" i="16"/>
  <c r="O40" i="16"/>
  <c r="N40" i="16"/>
  <c r="R39" i="16"/>
  <c r="Q39" i="16"/>
  <c r="P39" i="16"/>
  <c r="O39" i="16"/>
  <c r="N39" i="16"/>
  <c r="R38" i="16"/>
  <c r="Q38" i="16"/>
  <c r="P38" i="16"/>
  <c r="O38" i="16"/>
  <c r="N38" i="16"/>
  <c r="DJ53" i="15"/>
  <c r="DI53" i="15"/>
  <c r="DH53" i="15"/>
  <c r="DG53" i="15"/>
  <c r="DF53" i="15"/>
  <c r="DJ52" i="15"/>
  <c r="DI52" i="15"/>
  <c r="DH52" i="15"/>
  <c r="DG52" i="15"/>
  <c r="DF52" i="15"/>
  <c r="DJ51" i="15"/>
  <c r="DI51" i="15"/>
  <c r="DH51" i="15"/>
  <c r="DG51" i="15"/>
  <c r="DF51" i="15"/>
  <c r="DJ50" i="15"/>
  <c r="DI50" i="15"/>
  <c r="DH50" i="15"/>
  <c r="DG50" i="15"/>
  <c r="DF50" i="15"/>
  <c r="DJ49" i="15"/>
  <c r="DI49" i="15"/>
  <c r="DH49" i="15"/>
  <c r="DG49" i="15"/>
  <c r="DF49" i="15"/>
  <c r="DJ48" i="15"/>
  <c r="DI48" i="15"/>
  <c r="DH48" i="15"/>
  <c r="DG48" i="15"/>
  <c r="DF48" i="15"/>
  <c r="DJ47" i="15"/>
  <c r="DI47" i="15"/>
  <c r="DH47" i="15"/>
  <c r="DG47" i="15"/>
  <c r="DF47" i="15"/>
  <c r="DJ46" i="15"/>
  <c r="DI46" i="15"/>
  <c r="DH46" i="15"/>
  <c r="DG46" i="15"/>
  <c r="DF46" i="15"/>
  <c r="DJ45" i="15"/>
  <c r="DI45" i="15"/>
  <c r="DH45" i="15"/>
  <c r="DG45" i="15"/>
  <c r="DF45" i="15"/>
  <c r="DJ44" i="15"/>
  <c r="DI44" i="15"/>
  <c r="DH44" i="15"/>
  <c r="DG44" i="15"/>
  <c r="DF44" i="15"/>
  <c r="DJ43" i="15"/>
  <c r="DI43" i="15"/>
  <c r="DH43" i="15"/>
  <c r="DG43" i="15"/>
  <c r="DF43" i="15"/>
  <c r="DJ42" i="15"/>
  <c r="DI42" i="15"/>
  <c r="DH42" i="15"/>
  <c r="DG42" i="15"/>
  <c r="DF42" i="15"/>
  <c r="DJ41" i="15"/>
  <c r="DI41" i="15"/>
  <c r="DH41" i="15"/>
  <c r="DG41" i="15"/>
  <c r="DF41" i="15"/>
  <c r="DJ40" i="15"/>
  <c r="DI40" i="15"/>
  <c r="DH40" i="15"/>
  <c r="DG40" i="15"/>
  <c r="DF40" i="15"/>
  <c r="DJ39" i="15"/>
  <c r="DI39" i="15"/>
  <c r="DH39" i="15"/>
  <c r="DG39" i="15"/>
  <c r="DF39" i="15"/>
  <c r="DJ38" i="15"/>
  <c r="DI38" i="15"/>
  <c r="DH38" i="15"/>
  <c r="DG38" i="15"/>
  <c r="DF38" i="15"/>
  <c r="CL53" i="15"/>
  <c r="CK53" i="15"/>
  <c r="CJ53" i="15"/>
  <c r="CI53" i="15"/>
  <c r="CH53" i="15"/>
  <c r="CL52" i="15"/>
  <c r="CK52" i="15"/>
  <c r="CJ52" i="15"/>
  <c r="CI52" i="15"/>
  <c r="CH52" i="15"/>
  <c r="CL51" i="15"/>
  <c r="CK51" i="15"/>
  <c r="CJ51" i="15"/>
  <c r="CI51" i="15"/>
  <c r="CH51" i="15"/>
  <c r="CL50" i="15"/>
  <c r="CK50" i="15"/>
  <c r="CJ50" i="15"/>
  <c r="CI50" i="15"/>
  <c r="CH50" i="15"/>
  <c r="CL49" i="15"/>
  <c r="CK49" i="15"/>
  <c r="CJ49" i="15"/>
  <c r="CI49" i="15"/>
  <c r="CH49" i="15"/>
  <c r="CL48" i="15"/>
  <c r="CK48" i="15"/>
  <c r="CJ48" i="15"/>
  <c r="CI48" i="15"/>
  <c r="CH48" i="15"/>
  <c r="CL47" i="15"/>
  <c r="CK47" i="15"/>
  <c r="CJ47" i="15"/>
  <c r="CI47" i="15"/>
  <c r="CH47" i="15"/>
  <c r="CL46" i="15"/>
  <c r="CK46" i="15"/>
  <c r="CJ46" i="15"/>
  <c r="CI46" i="15"/>
  <c r="CH46" i="15"/>
  <c r="CL45" i="15"/>
  <c r="CK45" i="15"/>
  <c r="CJ45" i="15"/>
  <c r="CI45" i="15"/>
  <c r="CH45" i="15"/>
  <c r="CL44" i="15"/>
  <c r="CK44" i="15"/>
  <c r="CJ44" i="15"/>
  <c r="CI44" i="15"/>
  <c r="CH44" i="15"/>
  <c r="CL43" i="15"/>
  <c r="CK43" i="15"/>
  <c r="CJ43" i="15"/>
  <c r="CI43" i="15"/>
  <c r="CH43" i="15"/>
  <c r="CL42" i="15"/>
  <c r="CK42" i="15"/>
  <c r="CJ42" i="15"/>
  <c r="CI42" i="15"/>
  <c r="CH42" i="15"/>
  <c r="CL41" i="15"/>
  <c r="CK41" i="15"/>
  <c r="CJ41" i="15"/>
  <c r="CI41" i="15"/>
  <c r="CH41" i="15"/>
  <c r="CL40" i="15"/>
  <c r="CK40" i="15"/>
  <c r="CJ40" i="15"/>
  <c r="CI40" i="15"/>
  <c r="CH40" i="15"/>
  <c r="CL39" i="15"/>
  <c r="CK39" i="15"/>
  <c r="CJ39" i="15"/>
  <c r="CI39" i="15"/>
  <c r="CH39" i="15"/>
  <c r="CL38" i="15"/>
  <c r="CK38" i="15"/>
  <c r="CJ38" i="15"/>
  <c r="CI38" i="15"/>
  <c r="CH38" i="15"/>
  <c r="BN53" i="15"/>
  <c r="BM53" i="15"/>
  <c r="BL53" i="15"/>
  <c r="BK53" i="15"/>
  <c r="BJ53" i="15"/>
  <c r="BN52" i="15"/>
  <c r="BM52" i="15"/>
  <c r="BL52" i="15"/>
  <c r="BK52" i="15"/>
  <c r="BJ52" i="15"/>
  <c r="BN51" i="15"/>
  <c r="BM51" i="15"/>
  <c r="BL51" i="15"/>
  <c r="BK51" i="15"/>
  <c r="BJ51" i="15"/>
  <c r="BN50" i="15"/>
  <c r="BM50" i="15"/>
  <c r="BL50" i="15"/>
  <c r="BK50" i="15"/>
  <c r="BJ50" i="15"/>
  <c r="BN49" i="15"/>
  <c r="BM49" i="15"/>
  <c r="BL49" i="15"/>
  <c r="BK49" i="15"/>
  <c r="BJ49" i="15"/>
  <c r="BN48" i="15"/>
  <c r="BM48" i="15"/>
  <c r="BL48" i="15"/>
  <c r="BK48" i="15"/>
  <c r="BJ48" i="15"/>
  <c r="BN47" i="15"/>
  <c r="BM47" i="15"/>
  <c r="BL47" i="15"/>
  <c r="BK47" i="15"/>
  <c r="BJ47" i="15"/>
  <c r="BN46" i="15"/>
  <c r="BM46" i="15"/>
  <c r="BL46" i="15"/>
  <c r="BK46" i="15"/>
  <c r="BJ46" i="15"/>
  <c r="BN45" i="15"/>
  <c r="BM45" i="15"/>
  <c r="BL45" i="15"/>
  <c r="BK45" i="15"/>
  <c r="BJ45" i="15"/>
  <c r="BN44" i="15"/>
  <c r="BM44" i="15"/>
  <c r="BL44" i="15"/>
  <c r="BK44" i="15"/>
  <c r="BJ44" i="15"/>
  <c r="BN43" i="15"/>
  <c r="BM43" i="15"/>
  <c r="BL43" i="15"/>
  <c r="BK43" i="15"/>
  <c r="BJ43" i="15"/>
  <c r="BN42" i="15"/>
  <c r="BM42" i="15"/>
  <c r="BL42" i="15"/>
  <c r="BK42" i="15"/>
  <c r="BJ42" i="15"/>
  <c r="BN41" i="15"/>
  <c r="BM41" i="15"/>
  <c r="BL41" i="15"/>
  <c r="BK41" i="15"/>
  <c r="BJ41" i="15"/>
  <c r="BN40" i="15"/>
  <c r="BM40" i="15"/>
  <c r="BL40" i="15"/>
  <c r="BK40" i="15"/>
  <c r="BJ40" i="15"/>
  <c r="BN39" i="15"/>
  <c r="BM39" i="15"/>
  <c r="BL39" i="15"/>
  <c r="BK39" i="15"/>
  <c r="BJ39" i="15"/>
  <c r="BN38" i="15"/>
  <c r="BM38" i="15"/>
  <c r="BL38" i="15"/>
  <c r="BK38" i="15"/>
  <c r="BJ38" i="15"/>
  <c r="AP53" i="15"/>
  <c r="AO53" i="15"/>
  <c r="AN53" i="15"/>
  <c r="AM53" i="15"/>
  <c r="AL53" i="15"/>
  <c r="AP52" i="15"/>
  <c r="AO52" i="15"/>
  <c r="AN52" i="15"/>
  <c r="AM52" i="15"/>
  <c r="AL52" i="15"/>
  <c r="AP51" i="15"/>
  <c r="AO51" i="15"/>
  <c r="AN51" i="15"/>
  <c r="AM51" i="15"/>
  <c r="AL51" i="15"/>
  <c r="AP50" i="15"/>
  <c r="AO50" i="15"/>
  <c r="AN50" i="15"/>
  <c r="AM50" i="15"/>
  <c r="AL50" i="15"/>
  <c r="AP49" i="15"/>
  <c r="AO49" i="15"/>
  <c r="AN49" i="15"/>
  <c r="AM49" i="15"/>
  <c r="AL49" i="15"/>
  <c r="AP48" i="15"/>
  <c r="AO48" i="15"/>
  <c r="AN48" i="15"/>
  <c r="AM48" i="15"/>
  <c r="AL48" i="15"/>
  <c r="AP47" i="15"/>
  <c r="AO47" i="15"/>
  <c r="AN47" i="15"/>
  <c r="AM47" i="15"/>
  <c r="AL47" i="15"/>
  <c r="AP46" i="15"/>
  <c r="AO46" i="15"/>
  <c r="AN46" i="15"/>
  <c r="AM46" i="15"/>
  <c r="AL46" i="15"/>
  <c r="AP45" i="15"/>
  <c r="AO45" i="15"/>
  <c r="AN45" i="15"/>
  <c r="AM45" i="15"/>
  <c r="AL45" i="15"/>
  <c r="AP44" i="15"/>
  <c r="AO44" i="15"/>
  <c r="AN44" i="15"/>
  <c r="AM44" i="15"/>
  <c r="AL44" i="15"/>
  <c r="AP43" i="15"/>
  <c r="AO43" i="15"/>
  <c r="AN43" i="15"/>
  <c r="AM43" i="15"/>
  <c r="AL43" i="15"/>
  <c r="AP42" i="15"/>
  <c r="AO42" i="15"/>
  <c r="AN42" i="15"/>
  <c r="AM42" i="15"/>
  <c r="AL42" i="15"/>
  <c r="AP41" i="15"/>
  <c r="AO41" i="15"/>
  <c r="AN41" i="15"/>
  <c r="AM41" i="15"/>
  <c r="AL41" i="15"/>
  <c r="AP40" i="15"/>
  <c r="AO40" i="15"/>
  <c r="AN40" i="15"/>
  <c r="AM40" i="15"/>
  <c r="AL40" i="15"/>
  <c r="AP39" i="15"/>
  <c r="AO39" i="15"/>
  <c r="AN39" i="15"/>
  <c r="AM39" i="15"/>
  <c r="AL39" i="15"/>
  <c r="AP38" i="15"/>
  <c r="AO38" i="15"/>
  <c r="AN38" i="15"/>
  <c r="AM38" i="15"/>
  <c r="AL38" i="15"/>
  <c r="R53" i="15"/>
  <c r="Q53" i="15"/>
  <c r="P53" i="15"/>
  <c r="O53" i="15"/>
  <c r="N53" i="15"/>
  <c r="R52" i="15"/>
  <c r="Q52" i="15"/>
  <c r="P52" i="15"/>
  <c r="O52" i="15"/>
  <c r="N52" i="15"/>
  <c r="R51" i="15"/>
  <c r="Q51" i="15"/>
  <c r="P51" i="15"/>
  <c r="O51" i="15"/>
  <c r="N51" i="15"/>
  <c r="R50" i="15"/>
  <c r="Q50" i="15"/>
  <c r="P50" i="15"/>
  <c r="O50" i="15"/>
  <c r="N50" i="15"/>
  <c r="R49" i="15"/>
  <c r="Q49" i="15"/>
  <c r="P49" i="15"/>
  <c r="O49" i="15"/>
  <c r="N49" i="15"/>
  <c r="R48" i="15"/>
  <c r="Q48" i="15"/>
  <c r="P48" i="15"/>
  <c r="O48" i="15"/>
  <c r="N48" i="15"/>
  <c r="R47" i="15"/>
  <c r="Q47" i="15"/>
  <c r="P47" i="15"/>
  <c r="O47" i="15"/>
  <c r="N47" i="15"/>
  <c r="R46" i="15"/>
  <c r="Q46" i="15"/>
  <c r="P46" i="15"/>
  <c r="O46" i="15"/>
  <c r="N46" i="15"/>
  <c r="R45" i="15"/>
  <c r="Q45" i="15"/>
  <c r="P45" i="15"/>
  <c r="O45" i="15"/>
  <c r="N45" i="15"/>
  <c r="R44" i="15"/>
  <c r="Q44" i="15"/>
  <c r="P44" i="15"/>
  <c r="O44" i="15"/>
  <c r="N44" i="15"/>
  <c r="R43" i="15"/>
  <c r="Q43" i="15"/>
  <c r="P43" i="15"/>
  <c r="O43" i="15"/>
  <c r="N43" i="15"/>
  <c r="R42" i="15"/>
  <c r="Q42" i="15"/>
  <c r="P42" i="15"/>
  <c r="O42" i="15"/>
  <c r="N42" i="15"/>
  <c r="R41" i="15"/>
  <c r="Q41" i="15"/>
  <c r="P41" i="15"/>
  <c r="O41" i="15"/>
  <c r="N41" i="15"/>
  <c r="R40" i="15"/>
  <c r="Q40" i="15"/>
  <c r="P40" i="15"/>
  <c r="O40" i="15"/>
  <c r="N40" i="15"/>
  <c r="R39" i="15"/>
  <c r="Q39" i="15"/>
  <c r="P39" i="15"/>
  <c r="O39" i="15"/>
  <c r="N39" i="15"/>
  <c r="R38" i="15"/>
  <c r="Q38" i="15"/>
  <c r="P38" i="15"/>
  <c r="O38" i="15"/>
  <c r="N38" i="15"/>
  <c r="DJ53" i="14"/>
  <c r="DI53" i="14"/>
  <c r="DH53" i="14"/>
  <c r="DG53" i="14"/>
  <c r="DF53" i="14"/>
  <c r="DJ52" i="14"/>
  <c r="DI52" i="14"/>
  <c r="DH52" i="14"/>
  <c r="DG52" i="14"/>
  <c r="DF52" i="14"/>
  <c r="DJ51" i="14"/>
  <c r="DI51" i="14"/>
  <c r="DH51" i="14"/>
  <c r="DG51" i="14"/>
  <c r="DF51" i="14"/>
  <c r="DJ50" i="14"/>
  <c r="DI50" i="14"/>
  <c r="DH50" i="14"/>
  <c r="DG50" i="14"/>
  <c r="DF50" i="14"/>
  <c r="DJ49" i="14"/>
  <c r="DI49" i="14"/>
  <c r="DH49" i="14"/>
  <c r="DG49" i="14"/>
  <c r="DF49" i="14"/>
  <c r="DJ48" i="14"/>
  <c r="DI48" i="14"/>
  <c r="DH48" i="14"/>
  <c r="DG48" i="14"/>
  <c r="DF48" i="14"/>
  <c r="DJ47" i="14"/>
  <c r="DI47" i="14"/>
  <c r="DH47" i="14"/>
  <c r="DG47" i="14"/>
  <c r="DF47" i="14"/>
  <c r="DJ46" i="14"/>
  <c r="DI46" i="14"/>
  <c r="DH46" i="14"/>
  <c r="DG46" i="14"/>
  <c r="DF46" i="14"/>
  <c r="DJ45" i="14"/>
  <c r="DI45" i="14"/>
  <c r="DH45" i="14"/>
  <c r="DG45" i="14"/>
  <c r="DF45" i="14"/>
  <c r="DJ44" i="14"/>
  <c r="DI44" i="14"/>
  <c r="DH44" i="14"/>
  <c r="DG44" i="14"/>
  <c r="DF44" i="14"/>
  <c r="DJ43" i="14"/>
  <c r="DI43" i="14"/>
  <c r="DH43" i="14"/>
  <c r="DG43" i="14"/>
  <c r="DF43" i="14"/>
  <c r="DJ42" i="14"/>
  <c r="DI42" i="14"/>
  <c r="DH42" i="14"/>
  <c r="DG42" i="14"/>
  <c r="DF42" i="14"/>
  <c r="DJ41" i="14"/>
  <c r="DI41" i="14"/>
  <c r="DH41" i="14"/>
  <c r="DG41" i="14"/>
  <c r="DF41" i="14"/>
  <c r="DJ40" i="14"/>
  <c r="DI40" i="14"/>
  <c r="DH40" i="14"/>
  <c r="DG40" i="14"/>
  <c r="DF40" i="14"/>
  <c r="DJ39" i="14"/>
  <c r="DI39" i="14"/>
  <c r="DH39" i="14"/>
  <c r="DG39" i="14"/>
  <c r="DF39" i="14"/>
  <c r="DJ38" i="14"/>
  <c r="DI38" i="14"/>
  <c r="DH38" i="14"/>
  <c r="DG38" i="14"/>
  <c r="DF38" i="14"/>
  <c r="CL53" i="14"/>
  <c r="CK53" i="14"/>
  <c r="CJ53" i="14"/>
  <c r="CI53" i="14"/>
  <c r="CH53" i="14"/>
  <c r="CL52" i="14"/>
  <c r="CK52" i="14"/>
  <c r="CJ52" i="14"/>
  <c r="CI52" i="14"/>
  <c r="CH52" i="14"/>
  <c r="CL51" i="14"/>
  <c r="CK51" i="14"/>
  <c r="CJ51" i="14"/>
  <c r="CI51" i="14"/>
  <c r="CH51" i="14"/>
  <c r="CL50" i="14"/>
  <c r="CK50" i="14"/>
  <c r="CJ50" i="14"/>
  <c r="CI50" i="14"/>
  <c r="CH50" i="14"/>
  <c r="CL49" i="14"/>
  <c r="CK49" i="14"/>
  <c r="CJ49" i="14"/>
  <c r="CI49" i="14"/>
  <c r="CH49" i="14"/>
  <c r="CL48" i="14"/>
  <c r="CK48" i="14"/>
  <c r="CJ48" i="14"/>
  <c r="CI48" i="14"/>
  <c r="CH48" i="14"/>
  <c r="CL47" i="14"/>
  <c r="CK47" i="14"/>
  <c r="CJ47" i="14"/>
  <c r="CI47" i="14"/>
  <c r="CH47" i="14"/>
  <c r="CL46" i="14"/>
  <c r="CK46" i="14"/>
  <c r="CJ46" i="14"/>
  <c r="CI46" i="14"/>
  <c r="CH46" i="14"/>
  <c r="CL45" i="14"/>
  <c r="CK45" i="14"/>
  <c r="CJ45" i="14"/>
  <c r="CI45" i="14"/>
  <c r="CH45" i="14"/>
  <c r="CL44" i="14"/>
  <c r="CK44" i="14"/>
  <c r="CJ44" i="14"/>
  <c r="CI44" i="14"/>
  <c r="CH44" i="14"/>
  <c r="CL43" i="14"/>
  <c r="CK43" i="14"/>
  <c r="CJ43" i="14"/>
  <c r="CI43" i="14"/>
  <c r="CH43" i="14"/>
  <c r="CL42" i="14"/>
  <c r="CK42" i="14"/>
  <c r="CJ42" i="14"/>
  <c r="CI42" i="14"/>
  <c r="CH42" i="14"/>
  <c r="CL41" i="14"/>
  <c r="CK41" i="14"/>
  <c r="CJ41" i="14"/>
  <c r="CI41" i="14"/>
  <c r="CH41" i="14"/>
  <c r="CL40" i="14"/>
  <c r="CK40" i="14"/>
  <c r="CJ40" i="14"/>
  <c r="CI40" i="14"/>
  <c r="CH40" i="14"/>
  <c r="CL39" i="14"/>
  <c r="CK39" i="14"/>
  <c r="CJ39" i="14"/>
  <c r="CI39" i="14"/>
  <c r="CH39" i="14"/>
  <c r="CL38" i="14"/>
  <c r="CK38" i="14"/>
  <c r="CJ38" i="14"/>
  <c r="CI38" i="14"/>
  <c r="CH38" i="14"/>
  <c r="BL53" i="14"/>
  <c r="BK53" i="14"/>
  <c r="BL52" i="14"/>
  <c r="BK52" i="14"/>
  <c r="BL51" i="14"/>
  <c r="BK51" i="14"/>
  <c r="BL50" i="14"/>
  <c r="BK50" i="14"/>
  <c r="BL49" i="14"/>
  <c r="BK49" i="14"/>
  <c r="BL48" i="14"/>
  <c r="BK48" i="14"/>
  <c r="BL47" i="14"/>
  <c r="BK47" i="14"/>
  <c r="BL46" i="14"/>
  <c r="BK46" i="14"/>
  <c r="BL45" i="14"/>
  <c r="BK45" i="14"/>
  <c r="BL44" i="14"/>
  <c r="BK44" i="14"/>
  <c r="BL43" i="14"/>
  <c r="BK43" i="14"/>
  <c r="BL42" i="14"/>
  <c r="BK42" i="14"/>
  <c r="BL41" i="14"/>
  <c r="BK41" i="14"/>
  <c r="BL40" i="14"/>
  <c r="BK40" i="14"/>
  <c r="BL39" i="14"/>
  <c r="BK39" i="14"/>
  <c r="BL38" i="14"/>
  <c r="BK38" i="14"/>
  <c r="AN53" i="14"/>
  <c r="AM53" i="14"/>
  <c r="AN52" i="14"/>
  <c r="AM52" i="14"/>
  <c r="AN51" i="14"/>
  <c r="AM51" i="14"/>
  <c r="AN50" i="14"/>
  <c r="AM50" i="14"/>
  <c r="AN49" i="14"/>
  <c r="AM49" i="14"/>
  <c r="AN48" i="14"/>
  <c r="AM48" i="14"/>
  <c r="AN47" i="14"/>
  <c r="AM47" i="14"/>
  <c r="AN46" i="14"/>
  <c r="AM46" i="14"/>
  <c r="AN45" i="14"/>
  <c r="AM45" i="14"/>
  <c r="AN44" i="14"/>
  <c r="AM44" i="14"/>
  <c r="AN43" i="14"/>
  <c r="AM43" i="14"/>
  <c r="AN42" i="14"/>
  <c r="AM42" i="14"/>
  <c r="AN41" i="14"/>
  <c r="AM41" i="14"/>
  <c r="AN40" i="14"/>
  <c r="AM40" i="14"/>
  <c r="AN39" i="14"/>
  <c r="AM39" i="14"/>
  <c r="AN38" i="14"/>
  <c r="AM38" i="14"/>
  <c r="R53" i="14"/>
  <c r="Q53" i="14"/>
  <c r="P53" i="14"/>
  <c r="O53" i="14"/>
  <c r="N53" i="14"/>
  <c r="R52" i="14"/>
  <c r="Q52" i="14"/>
  <c r="P52" i="14"/>
  <c r="O52" i="14"/>
  <c r="N52" i="14"/>
  <c r="R51" i="14"/>
  <c r="Q51" i="14"/>
  <c r="P51" i="14"/>
  <c r="O51" i="14"/>
  <c r="N51" i="14"/>
  <c r="R50" i="14"/>
  <c r="Q50" i="14"/>
  <c r="P50" i="14"/>
  <c r="O50" i="14"/>
  <c r="N50" i="14"/>
  <c r="R49" i="14"/>
  <c r="Q49" i="14"/>
  <c r="P49" i="14"/>
  <c r="O49" i="14"/>
  <c r="N49" i="14"/>
  <c r="R48" i="14"/>
  <c r="Q48" i="14"/>
  <c r="P48" i="14"/>
  <c r="O48" i="14"/>
  <c r="N48" i="14"/>
  <c r="R47" i="14"/>
  <c r="Q47" i="14"/>
  <c r="P47" i="14"/>
  <c r="O47" i="14"/>
  <c r="N47" i="14"/>
  <c r="R46" i="14"/>
  <c r="Q46" i="14"/>
  <c r="P46" i="14"/>
  <c r="O46" i="14"/>
  <c r="N46" i="14"/>
  <c r="R45" i="14"/>
  <c r="Q45" i="14"/>
  <c r="P45" i="14"/>
  <c r="O45" i="14"/>
  <c r="N45" i="14"/>
  <c r="R44" i="14"/>
  <c r="Q44" i="14"/>
  <c r="P44" i="14"/>
  <c r="O44" i="14"/>
  <c r="N44" i="14"/>
  <c r="R43" i="14"/>
  <c r="Q43" i="14"/>
  <c r="P43" i="14"/>
  <c r="O43" i="14"/>
  <c r="N43" i="14"/>
  <c r="R42" i="14"/>
  <c r="Q42" i="14"/>
  <c r="P42" i="14"/>
  <c r="O42" i="14"/>
  <c r="N42" i="14"/>
  <c r="R41" i="14"/>
  <c r="Q41" i="14"/>
  <c r="P41" i="14"/>
  <c r="O41" i="14"/>
  <c r="N41" i="14"/>
  <c r="R40" i="14"/>
  <c r="Q40" i="14"/>
  <c r="P40" i="14"/>
  <c r="O40" i="14"/>
  <c r="N40" i="14"/>
  <c r="R39" i="14"/>
  <c r="Q39" i="14"/>
  <c r="P39" i="14"/>
  <c r="O39" i="14"/>
  <c r="N39" i="14"/>
  <c r="R38" i="14"/>
  <c r="Q38" i="14"/>
  <c r="P38" i="14"/>
  <c r="O38" i="14"/>
  <c r="N38" i="14"/>
  <c r="DJ51" i="13"/>
  <c r="DJ53" i="13"/>
  <c r="DI53" i="13"/>
  <c r="DH53" i="13"/>
  <c r="DG53" i="13"/>
  <c r="DF53" i="13"/>
  <c r="DJ52" i="13"/>
  <c r="DI52" i="13"/>
  <c r="DH52" i="13"/>
  <c r="DG52" i="13"/>
  <c r="DF52" i="13"/>
  <c r="DI51" i="13"/>
  <c r="DH51" i="13"/>
  <c r="DG51" i="13"/>
  <c r="DF51" i="13"/>
  <c r="DJ50" i="13"/>
  <c r="DI50" i="13"/>
  <c r="DH50" i="13"/>
  <c r="DG50" i="13"/>
  <c r="DF50" i="13"/>
  <c r="DJ49" i="13"/>
  <c r="DI49" i="13"/>
  <c r="DH49" i="13"/>
  <c r="DG49" i="13"/>
  <c r="DF49" i="13"/>
  <c r="DJ48" i="13"/>
  <c r="DI48" i="13"/>
  <c r="DH48" i="13"/>
  <c r="DG48" i="13"/>
  <c r="DF48" i="13"/>
  <c r="DJ47" i="13"/>
  <c r="DI47" i="13"/>
  <c r="DH47" i="13"/>
  <c r="DG47" i="13"/>
  <c r="DF47" i="13"/>
  <c r="DJ46" i="13"/>
  <c r="DI46" i="13"/>
  <c r="DH46" i="13"/>
  <c r="DG46" i="13"/>
  <c r="DF46" i="13"/>
  <c r="DJ45" i="13"/>
  <c r="DI45" i="13"/>
  <c r="DH45" i="13"/>
  <c r="DG45" i="13"/>
  <c r="DF45" i="13"/>
  <c r="DJ44" i="13"/>
  <c r="DI44" i="13"/>
  <c r="DH44" i="13"/>
  <c r="DG44" i="13"/>
  <c r="DF44" i="13"/>
  <c r="DJ43" i="13"/>
  <c r="DI43" i="13"/>
  <c r="DH43" i="13"/>
  <c r="DG43" i="13"/>
  <c r="DF43" i="13"/>
  <c r="DJ42" i="13"/>
  <c r="DI42" i="13"/>
  <c r="DH42" i="13"/>
  <c r="DG42" i="13"/>
  <c r="DF42" i="13"/>
  <c r="DJ41" i="13"/>
  <c r="DI41" i="13"/>
  <c r="DH41" i="13"/>
  <c r="DG41" i="13"/>
  <c r="DF41" i="13"/>
  <c r="DJ40" i="13"/>
  <c r="DI40" i="13"/>
  <c r="DH40" i="13"/>
  <c r="DG40" i="13"/>
  <c r="DF40" i="13"/>
  <c r="DJ39" i="13"/>
  <c r="DI39" i="13"/>
  <c r="DH39" i="13"/>
  <c r="DG39" i="13"/>
  <c r="DF39" i="13"/>
  <c r="DJ38" i="13"/>
  <c r="DI38" i="13"/>
  <c r="DH38" i="13"/>
  <c r="DG38" i="13"/>
  <c r="DF38" i="13"/>
  <c r="CL53" i="13"/>
  <c r="CK53" i="13"/>
  <c r="CJ53" i="13"/>
  <c r="CI53" i="13"/>
  <c r="CH53" i="13"/>
  <c r="CL52" i="13"/>
  <c r="CK52" i="13"/>
  <c r="CJ52" i="13"/>
  <c r="CI52" i="13"/>
  <c r="CH52" i="13"/>
  <c r="CL51" i="13"/>
  <c r="CK51" i="13"/>
  <c r="CJ51" i="13"/>
  <c r="CI51" i="13"/>
  <c r="CH51" i="13"/>
  <c r="CL50" i="13"/>
  <c r="CK50" i="13"/>
  <c r="CJ50" i="13"/>
  <c r="CI50" i="13"/>
  <c r="CH50" i="13"/>
  <c r="CL49" i="13"/>
  <c r="CK49" i="13"/>
  <c r="CJ49" i="13"/>
  <c r="CI49" i="13"/>
  <c r="CH49" i="13"/>
  <c r="CL48" i="13"/>
  <c r="CK48" i="13"/>
  <c r="CJ48" i="13"/>
  <c r="CI48" i="13"/>
  <c r="CH48" i="13"/>
  <c r="CL47" i="13"/>
  <c r="CK47" i="13"/>
  <c r="CJ47" i="13"/>
  <c r="CI47" i="13"/>
  <c r="CH47" i="13"/>
  <c r="CL46" i="13"/>
  <c r="CK46" i="13"/>
  <c r="CJ46" i="13"/>
  <c r="CI46" i="13"/>
  <c r="CH46" i="13"/>
  <c r="CL45" i="13"/>
  <c r="CK45" i="13"/>
  <c r="CJ45" i="13"/>
  <c r="CI45" i="13"/>
  <c r="CH45" i="13"/>
  <c r="CL44" i="13"/>
  <c r="CK44" i="13"/>
  <c r="CJ44" i="13"/>
  <c r="CI44" i="13"/>
  <c r="CH44" i="13"/>
  <c r="CL43" i="13"/>
  <c r="CK43" i="13"/>
  <c r="CJ43" i="13"/>
  <c r="CI43" i="13"/>
  <c r="CH43" i="13"/>
  <c r="CL42" i="13"/>
  <c r="CK42" i="13"/>
  <c r="CJ42" i="13"/>
  <c r="CI42" i="13"/>
  <c r="CH42" i="13"/>
  <c r="CL41" i="13"/>
  <c r="CK41" i="13"/>
  <c r="CJ41" i="13"/>
  <c r="CI41" i="13"/>
  <c r="CH41" i="13"/>
  <c r="CL40" i="13"/>
  <c r="CK40" i="13"/>
  <c r="CJ40" i="13"/>
  <c r="CI40" i="13"/>
  <c r="CH40" i="13"/>
  <c r="CL39" i="13"/>
  <c r="CK39" i="13"/>
  <c r="CJ39" i="13"/>
  <c r="CI39" i="13"/>
  <c r="CH39" i="13"/>
  <c r="CL38" i="13"/>
  <c r="CK38" i="13"/>
  <c r="CJ38" i="13"/>
  <c r="CI38" i="13"/>
  <c r="CH38" i="13"/>
  <c r="BN53" i="13"/>
  <c r="BM53" i="13"/>
  <c r="BL53" i="13"/>
  <c r="BK53" i="13"/>
  <c r="BJ53" i="13"/>
  <c r="BN52" i="13"/>
  <c r="BM52" i="13"/>
  <c r="BL52" i="13"/>
  <c r="BK52" i="13"/>
  <c r="BJ52" i="13"/>
  <c r="BN51" i="13"/>
  <c r="BM51" i="13"/>
  <c r="BL51" i="13"/>
  <c r="BK51" i="13"/>
  <c r="BJ51" i="13"/>
  <c r="BN50" i="13"/>
  <c r="BM50" i="13"/>
  <c r="BL50" i="13"/>
  <c r="BK50" i="13"/>
  <c r="BJ50" i="13"/>
  <c r="BN49" i="13"/>
  <c r="BM49" i="13"/>
  <c r="BL49" i="13"/>
  <c r="BK49" i="13"/>
  <c r="BJ49" i="13"/>
  <c r="BN48" i="13"/>
  <c r="BM48" i="13"/>
  <c r="BL48" i="13"/>
  <c r="BK48" i="13"/>
  <c r="BJ48" i="13"/>
  <c r="BN47" i="13"/>
  <c r="BM47" i="13"/>
  <c r="BL47" i="13"/>
  <c r="BK47" i="13"/>
  <c r="BJ47" i="13"/>
  <c r="BN46" i="13"/>
  <c r="BM46" i="13"/>
  <c r="BL46" i="13"/>
  <c r="BK46" i="13"/>
  <c r="BJ46" i="13"/>
  <c r="BN45" i="13"/>
  <c r="BM45" i="13"/>
  <c r="BL45" i="13"/>
  <c r="BK45" i="13"/>
  <c r="BJ45" i="13"/>
  <c r="BN44" i="13"/>
  <c r="BM44" i="13"/>
  <c r="BL44" i="13"/>
  <c r="BK44" i="13"/>
  <c r="BJ44" i="13"/>
  <c r="BN43" i="13"/>
  <c r="BM43" i="13"/>
  <c r="BL43" i="13"/>
  <c r="BK43" i="13"/>
  <c r="BJ43" i="13"/>
  <c r="BN42" i="13"/>
  <c r="BM42" i="13"/>
  <c r="BL42" i="13"/>
  <c r="BK42" i="13"/>
  <c r="BJ42" i="13"/>
  <c r="BN41" i="13"/>
  <c r="BM41" i="13"/>
  <c r="BL41" i="13"/>
  <c r="BK41" i="13"/>
  <c r="BJ41" i="13"/>
  <c r="BN40" i="13"/>
  <c r="BM40" i="13"/>
  <c r="BL40" i="13"/>
  <c r="BK40" i="13"/>
  <c r="BJ40" i="13"/>
  <c r="BN39" i="13"/>
  <c r="BM39" i="13"/>
  <c r="BL39" i="13"/>
  <c r="BK39" i="13"/>
  <c r="BJ39" i="13"/>
  <c r="BN38" i="13"/>
  <c r="BM38" i="13"/>
  <c r="BL38" i="13"/>
  <c r="BK38" i="13"/>
  <c r="BJ38" i="13"/>
  <c r="AP53" i="13"/>
  <c r="AO53" i="13"/>
  <c r="AN53" i="13"/>
  <c r="AM53" i="13"/>
  <c r="AL53" i="13"/>
  <c r="AP52" i="13"/>
  <c r="AO52" i="13"/>
  <c r="AN52" i="13"/>
  <c r="AM52" i="13"/>
  <c r="AL52" i="13"/>
  <c r="AP51" i="13"/>
  <c r="AO51" i="13"/>
  <c r="AN51" i="13"/>
  <c r="AM51" i="13"/>
  <c r="AL51" i="13"/>
  <c r="AP50" i="13"/>
  <c r="AO50" i="13"/>
  <c r="AN50" i="13"/>
  <c r="AM50" i="13"/>
  <c r="AL50" i="13"/>
  <c r="AP49" i="13"/>
  <c r="AO49" i="13"/>
  <c r="AN49" i="13"/>
  <c r="AM49" i="13"/>
  <c r="AL49" i="13"/>
  <c r="AP48" i="13"/>
  <c r="AO48" i="13"/>
  <c r="AN48" i="13"/>
  <c r="AM48" i="13"/>
  <c r="AL48" i="13"/>
  <c r="AP47" i="13"/>
  <c r="AO47" i="13"/>
  <c r="AN47" i="13"/>
  <c r="AM47" i="13"/>
  <c r="AL47" i="13"/>
  <c r="AP46" i="13"/>
  <c r="AO46" i="13"/>
  <c r="AN46" i="13"/>
  <c r="AM46" i="13"/>
  <c r="AL46" i="13"/>
  <c r="AP45" i="13"/>
  <c r="AO45" i="13"/>
  <c r="AN45" i="13"/>
  <c r="AM45" i="13"/>
  <c r="AL45" i="13"/>
  <c r="AP44" i="13"/>
  <c r="AO44" i="13"/>
  <c r="AN44" i="13"/>
  <c r="AM44" i="13"/>
  <c r="AL44" i="13"/>
  <c r="AP43" i="13"/>
  <c r="AO43" i="13"/>
  <c r="AN43" i="13"/>
  <c r="AM43" i="13"/>
  <c r="AL43" i="13"/>
  <c r="AP42" i="13"/>
  <c r="AO42" i="13"/>
  <c r="AN42" i="13"/>
  <c r="AM42" i="13"/>
  <c r="AL42" i="13"/>
  <c r="AP41" i="13"/>
  <c r="AO41" i="13"/>
  <c r="AN41" i="13"/>
  <c r="AM41" i="13"/>
  <c r="AL41" i="13"/>
  <c r="AP40" i="13"/>
  <c r="AO40" i="13"/>
  <c r="AN40" i="13"/>
  <c r="AM40" i="13"/>
  <c r="AL40" i="13"/>
  <c r="AP39" i="13"/>
  <c r="AO39" i="13"/>
  <c r="AN39" i="13"/>
  <c r="AM39" i="13"/>
  <c r="AL39" i="13"/>
  <c r="AP38" i="13"/>
  <c r="AO38" i="13"/>
  <c r="AN38" i="13"/>
  <c r="AM38" i="13"/>
  <c r="AL38" i="13"/>
  <c r="R53" i="13"/>
  <c r="N39" i="13"/>
  <c r="O39" i="13"/>
  <c r="P39" i="13"/>
  <c r="Q39" i="13"/>
  <c r="R39" i="13"/>
  <c r="N40" i="13"/>
  <c r="O40" i="13"/>
  <c r="P40" i="13"/>
  <c r="Q40" i="13"/>
  <c r="R40" i="13"/>
  <c r="N41" i="13"/>
  <c r="O41" i="13"/>
  <c r="P41" i="13"/>
  <c r="Q41" i="13"/>
  <c r="R41" i="13"/>
  <c r="N42" i="13"/>
  <c r="O42" i="13"/>
  <c r="P42" i="13"/>
  <c r="Q42" i="13"/>
  <c r="R42" i="13"/>
  <c r="N43" i="13"/>
  <c r="O43" i="13"/>
  <c r="P43" i="13"/>
  <c r="Q43" i="13"/>
  <c r="R43" i="13"/>
  <c r="N44" i="13"/>
  <c r="O44" i="13"/>
  <c r="P44" i="13"/>
  <c r="Q44" i="13"/>
  <c r="R44" i="13"/>
  <c r="N45" i="13"/>
  <c r="O45" i="13"/>
  <c r="P45" i="13"/>
  <c r="Q45" i="13"/>
  <c r="R45" i="13"/>
  <c r="N46" i="13"/>
  <c r="O46" i="13"/>
  <c r="P46" i="13"/>
  <c r="Q46" i="13"/>
  <c r="R46" i="13"/>
  <c r="N47" i="13"/>
  <c r="O47" i="13"/>
  <c r="P47" i="13"/>
  <c r="Q47" i="13"/>
  <c r="R47" i="13"/>
  <c r="N48" i="13"/>
  <c r="O48" i="13"/>
  <c r="P48" i="13"/>
  <c r="Q48" i="13"/>
  <c r="R48" i="13"/>
  <c r="N49" i="13"/>
  <c r="O49" i="13"/>
  <c r="P49" i="13"/>
  <c r="Q49" i="13"/>
  <c r="R49" i="13"/>
  <c r="N50" i="13"/>
  <c r="O50" i="13"/>
  <c r="P50" i="13"/>
  <c r="Q50" i="13"/>
  <c r="R50" i="13"/>
  <c r="N51" i="13"/>
  <c r="O51" i="13"/>
  <c r="P51" i="13"/>
  <c r="Q51" i="13"/>
  <c r="R51" i="13"/>
  <c r="N52" i="13"/>
  <c r="O52" i="13"/>
  <c r="P52" i="13"/>
  <c r="Q52" i="13"/>
  <c r="R52" i="13"/>
  <c r="N53" i="13"/>
  <c r="O53" i="13"/>
  <c r="P53" i="13"/>
  <c r="Q53" i="13"/>
  <c r="R38" i="13"/>
  <c r="Q38" i="13"/>
  <c r="P38" i="13"/>
  <c r="O38" i="13"/>
  <c r="N38" i="13"/>
  <c r="AC92" i="10"/>
  <c r="AD92" i="10"/>
  <c r="AC93" i="10"/>
  <c r="AD93" i="10"/>
  <c r="AC94" i="10"/>
  <c r="AD94" i="10"/>
  <c r="AC95" i="10"/>
  <c r="AD95" i="10"/>
  <c r="AC96" i="10"/>
  <c r="AD96" i="10"/>
  <c r="AC97" i="10"/>
  <c r="AD97" i="10"/>
  <c r="AC98" i="10"/>
  <c r="AD98" i="10"/>
  <c r="AC99" i="10"/>
  <c r="AD99" i="10"/>
  <c r="AC100" i="10"/>
  <c r="AD100" i="10"/>
  <c r="AC101" i="10"/>
  <c r="AD101" i="10"/>
  <c r="AC102" i="10"/>
  <c r="AD102" i="10"/>
  <c r="AC103" i="10"/>
  <c r="AD103" i="10"/>
  <c r="AC104" i="10"/>
  <c r="AD104" i="10"/>
  <c r="AC105" i="10"/>
  <c r="AD105" i="10"/>
  <c r="AC106" i="10"/>
  <c r="AD106" i="10"/>
  <c r="AC91" i="10"/>
  <c r="AD91" i="10"/>
  <c r="DF13" i="16"/>
  <c r="DG13" i="16"/>
  <c r="DH13" i="16"/>
  <c r="DI13" i="16"/>
  <c r="DJ13" i="16"/>
  <c r="DF14" i="16"/>
  <c r="DG14" i="16"/>
  <c r="DH14" i="16"/>
  <c r="DI14" i="16"/>
  <c r="DJ14" i="16"/>
  <c r="DF15" i="16"/>
  <c r="DG15" i="16"/>
  <c r="DH15" i="16"/>
  <c r="DI15" i="16"/>
  <c r="DJ15" i="16"/>
  <c r="DF16" i="16"/>
  <c r="DG16" i="16"/>
  <c r="DH16" i="16"/>
  <c r="DI16" i="16"/>
  <c r="DJ16" i="16"/>
  <c r="DF17" i="16"/>
  <c r="DG17" i="16"/>
  <c r="DH17" i="16"/>
  <c r="DI17" i="16"/>
  <c r="DJ17" i="16"/>
  <c r="DF18" i="16"/>
  <c r="DG18" i="16"/>
  <c r="DH18" i="16"/>
  <c r="DI18" i="16"/>
  <c r="DJ18" i="16"/>
  <c r="DF19" i="16"/>
  <c r="DG19" i="16"/>
  <c r="DH19" i="16"/>
  <c r="DI19" i="16"/>
  <c r="DJ19" i="16"/>
  <c r="DF20" i="16"/>
  <c r="DG20" i="16"/>
  <c r="DH20" i="16"/>
  <c r="DI20" i="16"/>
  <c r="DJ20" i="16"/>
  <c r="DF21" i="16"/>
  <c r="DG21" i="16"/>
  <c r="DH21" i="16"/>
  <c r="DI21" i="16"/>
  <c r="DJ21" i="16"/>
  <c r="DF22" i="16"/>
  <c r="DG22" i="16"/>
  <c r="DH22" i="16"/>
  <c r="DI22" i="16"/>
  <c r="DJ22" i="16"/>
  <c r="DF23" i="16"/>
  <c r="DG23" i="16"/>
  <c r="DH23" i="16"/>
  <c r="DI23" i="16"/>
  <c r="DJ23" i="16"/>
  <c r="DF24" i="16"/>
  <c r="DG24" i="16"/>
  <c r="DH24" i="16"/>
  <c r="DI24" i="16"/>
  <c r="DJ24" i="16"/>
  <c r="DF25" i="16"/>
  <c r="DG25" i="16"/>
  <c r="DH25" i="16"/>
  <c r="DI25" i="16"/>
  <c r="DJ25" i="16"/>
  <c r="DF26" i="16"/>
  <c r="DG26" i="16"/>
  <c r="DH26" i="16"/>
  <c r="DI26" i="16"/>
  <c r="DJ26" i="16"/>
  <c r="DF27" i="16"/>
  <c r="DG27" i="16"/>
  <c r="DH27" i="16"/>
  <c r="DI27" i="16"/>
  <c r="DJ27" i="16"/>
  <c r="DJ12" i="16"/>
  <c r="DI12" i="16"/>
  <c r="DH12" i="16"/>
  <c r="DG12" i="16"/>
  <c r="DF12" i="16"/>
  <c r="CH13" i="16"/>
  <c r="CI13" i="16"/>
  <c r="CJ13" i="16"/>
  <c r="CK13" i="16"/>
  <c r="CL13" i="16"/>
  <c r="CH14" i="16"/>
  <c r="CI14" i="16"/>
  <c r="CJ14" i="16"/>
  <c r="CK14" i="16"/>
  <c r="CL14" i="16"/>
  <c r="CH15" i="16"/>
  <c r="CI15" i="16"/>
  <c r="CJ15" i="16"/>
  <c r="CK15" i="16"/>
  <c r="CL15" i="16"/>
  <c r="CH16" i="16"/>
  <c r="CI16" i="16"/>
  <c r="CJ16" i="16"/>
  <c r="CK16" i="16"/>
  <c r="CL16" i="16"/>
  <c r="CH17" i="16"/>
  <c r="CI17" i="16"/>
  <c r="CJ17" i="16"/>
  <c r="CK17" i="16"/>
  <c r="CL17" i="16"/>
  <c r="CH18" i="16"/>
  <c r="CI18" i="16"/>
  <c r="CJ18" i="16"/>
  <c r="CK18" i="16"/>
  <c r="CL18" i="16"/>
  <c r="CH19" i="16"/>
  <c r="CI19" i="16"/>
  <c r="CJ19" i="16"/>
  <c r="CK19" i="16"/>
  <c r="CL19" i="16"/>
  <c r="CH20" i="16"/>
  <c r="CI20" i="16"/>
  <c r="CJ20" i="16"/>
  <c r="CK20" i="16"/>
  <c r="CL20" i="16"/>
  <c r="CH21" i="16"/>
  <c r="CI21" i="16"/>
  <c r="CJ21" i="16"/>
  <c r="CK21" i="16"/>
  <c r="CL21" i="16"/>
  <c r="CH22" i="16"/>
  <c r="CI22" i="16"/>
  <c r="CJ22" i="16"/>
  <c r="CK22" i="16"/>
  <c r="CL22" i="16"/>
  <c r="CH23" i="16"/>
  <c r="CI23" i="16"/>
  <c r="CJ23" i="16"/>
  <c r="CK23" i="16"/>
  <c r="CL23" i="16"/>
  <c r="CH24" i="16"/>
  <c r="CI24" i="16"/>
  <c r="CJ24" i="16"/>
  <c r="CK24" i="16"/>
  <c r="CL24" i="16"/>
  <c r="CH25" i="16"/>
  <c r="CI25" i="16"/>
  <c r="CJ25" i="16"/>
  <c r="CK25" i="16"/>
  <c r="CL25" i="16"/>
  <c r="CH26" i="16"/>
  <c r="CI26" i="16"/>
  <c r="CJ26" i="16"/>
  <c r="CK26" i="16"/>
  <c r="CL26" i="16"/>
  <c r="CH27" i="16"/>
  <c r="CI27" i="16"/>
  <c r="CJ27" i="16"/>
  <c r="CK27" i="16"/>
  <c r="CL27" i="16"/>
  <c r="CL12" i="16"/>
  <c r="CK12" i="16"/>
  <c r="CJ12" i="16"/>
  <c r="CI12" i="16"/>
  <c r="CH12" i="16"/>
  <c r="BJ13" i="16"/>
  <c r="BK13" i="16"/>
  <c r="BL13" i="16"/>
  <c r="BM13" i="16"/>
  <c r="BN13" i="16"/>
  <c r="BJ14" i="16"/>
  <c r="BK14" i="16"/>
  <c r="BL14" i="16"/>
  <c r="BM14" i="16"/>
  <c r="BN14" i="16"/>
  <c r="BJ15" i="16"/>
  <c r="BK15" i="16"/>
  <c r="BL15" i="16"/>
  <c r="BM15" i="16"/>
  <c r="BN15" i="16"/>
  <c r="BJ16" i="16"/>
  <c r="BK16" i="16"/>
  <c r="BL16" i="16"/>
  <c r="BM16" i="16"/>
  <c r="BN16" i="16"/>
  <c r="BJ17" i="16"/>
  <c r="BK17" i="16"/>
  <c r="BL17" i="16"/>
  <c r="BM17" i="16"/>
  <c r="BN17" i="16"/>
  <c r="BJ18" i="16"/>
  <c r="BK18" i="16"/>
  <c r="BL18" i="16"/>
  <c r="BM18" i="16"/>
  <c r="BN18" i="16"/>
  <c r="BJ19" i="16"/>
  <c r="BK19" i="16"/>
  <c r="BL19" i="16"/>
  <c r="BM19" i="16"/>
  <c r="BN19" i="16"/>
  <c r="BJ20" i="16"/>
  <c r="BK20" i="16"/>
  <c r="BL20" i="16"/>
  <c r="BM20" i="16"/>
  <c r="BN20" i="16"/>
  <c r="BJ21" i="16"/>
  <c r="BK21" i="16"/>
  <c r="BL21" i="16"/>
  <c r="BM21" i="16"/>
  <c r="BN21" i="16"/>
  <c r="BJ22" i="16"/>
  <c r="BK22" i="16"/>
  <c r="BL22" i="16"/>
  <c r="BM22" i="16"/>
  <c r="BN22" i="16"/>
  <c r="BJ23" i="16"/>
  <c r="BK23" i="16"/>
  <c r="BL23" i="16"/>
  <c r="BM23" i="16"/>
  <c r="BN23" i="16"/>
  <c r="BJ24" i="16"/>
  <c r="BK24" i="16"/>
  <c r="BL24" i="16"/>
  <c r="BM24" i="16"/>
  <c r="BN24" i="16"/>
  <c r="BJ25" i="16"/>
  <c r="BK25" i="16"/>
  <c r="BL25" i="16"/>
  <c r="BM25" i="16"/>
  <c r="BN25" i="16"/>
  <c r="BJ26" i="16"/>
  <c r="BK26" i="16"/>
  <c r="BL26" i="16"/>
  <c r="BM26" i="16"/>
  <c r="BN26" i="16"/>
  <c r="BJ27" i="16"/>
  <c r="BK27" i="16"/>
  <c r="BL27" i="16"/>
  <c r="BM27" i="16"/>
  <c r="BN27" i="16"/>
  <c r="BN12" i="16"/>
  <c r="BM12" i="16"/>
  <c r="BL12" i="16"/>
  <c r="BK12" i="16"/>
  <c r="BJ12" i="16"/>
  <c r="AP27" i="16"/>
  <c r="AL13" i="16"/>
  <c r="AM13" i="16"/>
  <c r="AN13" i="16"/>
  <c r="AO13" i="16"/>
  <c r="AP13" i="16"/>
  <c r="AL14" i="16"/>
  <c r="AM14" i="16"/>
  <c r="AN14" i="16"/>
  <c r="AO14" i="16"/>
  <c r="AP14" i="16"/>
  <c r="AL15" i="16"/>
  <c r="AM15" i="16"/>
  <c r="AN15" i="16"/>
  <c r="AO15" i="16"/>
  <c r="AP15" i="16"/>
  <c r="AL16" i="16"/>
  <c r="AM16" i="16"/>
  <c r="AN16" i="16"/>
  <c r="AO16" i="16"/>
  <c r="AP16" i="16"/>
  <c r="AL17" i="16"/>
  <c r="AM17" i="16"/>
  <c r="AN17" i="16"/>
  <c r="AO17" i="16"/>
  <c r="AP17" i="16"/>
  <c r="AL18" i="16"/>
  <c r="AM18" i="16"/>
  <c r="AN18" i="16"/>
  <c r="AO18" i="16"/>
  <c r="AP18" i="16"/>
  <c r="AL19" i="16"/>
  <c r="AM19" i="16"/>
  <c r="AN19" i="16"/>
  <c r="AO19" i="16"/>
  <c r="AP19" i="16"/>
  <c r="AL20" i="16"/>
  <c r="AM20" i="16"/>
  <c r="AN20" i="16"/>
  <c r="AO20" i="16"/>
  <c r="AP20" i="16"/>
  <c r="AL21" i="16"/>
  <c r="AM21" i="16"/>
  <c r="AN21" i="16"/>
  <c r="AO21" i="16"/>
  <c r="AP21" i="16"/>
  <c r="AL22" i="16"/>
  <c r="AM22" i="16"/>
  <c r="AN22" i="16"/>
  <c r="AO22" i="16"/>
  <c r="AP22" i="16"/>
  <c r="AL23" i="16"/>
  <c r="AM23" i="16"/>
  <c r="AN23" i="16"/>
  <c r="AO23" i="16"/>
  <c r="AP23" i="16"/>
  <c r="AL24" i="16"/>
  <c r="AM24" i="16"/>
  <c r="AN24" i="16"/>
  <c r="AO24" i="16"/>
  <c r="AP24" i="16"/>
  <c r="AL25" i="16"/>
  <c r="AM25" i="16"/>
  <c r="AN25" i="16"/>
  <c r="AO25" i="16"/>
  <c r="AP25" i="16"/>
  <c r="AL26" i="16"/>
  <c r="AM26" i="16"/>
  <c r="AN26" i="16"/>
  <c r="AO26" i="16"/>
  <c r="AP26" i="16"/>
  <c r="AL27" i="16"/>
  <c r="AM27" i="16"/>
  <c r="AN27" i="16"/>
  <c r="AO27" i="16"/>
  <c r="AP12" i="16"/>
  <c r="AO12" i="16"/>
  <c r="AN12" i="16"/>
  <c r="AM12" i="16"/>
  <c r="AL12" i="16"/>
  <c r="R27" i="16"/>
  <c r="Q27" i="16"/>
  <c r="P27" i="16"/>
  <c r="O27" i="16"/>
  <c r="N27" i="16"/>
  <c r="R26" i="16"/>
  <c r="Q26" i="16"/>
  <c r="P26" i="16"/>
  <c r="O26" i="16"/>
  <c r="N26" i="16"/>
  <c r="R25" i="16"/>
  <c r="Q25" i="16"/>
  <c r="P25" i="16"/>
  <c r="O25" i="16"/>
  <c r="N25" i="16"/>
  <c r="R24" i="16"/>
  <c r="Q24" i="16"/>
  <c r="P24" i="16"/>
  <c r="O24" i="16"/>
  <c r="N24" i="16"/>
  <c r="R23" i="16"/>
  <c r="Q23" i="16"/>
  <c r="P23" i="16"/>
  <c r="O23" i="16"/>
  <c r="N23" i="16"/>
  <c r="R22" i="16"/>
  <c r="Q22" i="16"/>
  <c r="P22" i="16"/>
  <c r="O22" i="16"/>
  <c r="N22" i="16"/>
  <c r="R21" i="16"/>
  <c r="Q21" i="16"/>
  <c r="P21" i="16"/>
  <c r="O21" i="16"/>
  <c r="N21" i="16"/>
  <c r="R20" i="16"/>
  <c r="Q20" i="16"/>
  <c r="P20" i="16"/>
  <c r="O20" i="16"/>
  <c r="N20" i="16"/>
  <c r="R19" i="16"/>
  <c r="Q19" i="16"/>
  <c r="P19" i="16"/>
  <c r="O19" i="16"/>
  <c r="N19" i="16"/>
  <c r="R18" i="16"/>
  <c r="Q18" i="16"/>
  <c r="P18" i="16"/>
  <c r="O18" i="16"/>
  <c r="N18" i="16"/>
  <c r="R17" i="16"/>
  <c r="Q17" i="16"/>
  <c r="P17" i="16"/>
  <c r="O17" i="16"/>
  <c r="N17" i="16"/>
  <c r="R16" i="16"/>
  <c r="Q16" i="16"/>
  <c r="P16" i="16"/>
  <c r="O16" i="16"/>
  <c r="N16" i="16"/>
  <c r="R15" i="16"/>
  <c r="Q15" i="16"/>
  <c r="P15" i="16"/>
  <c r="O15" i="16"/>
  <c r="N15" i="16"/>
  <c r="R14" i="16"/>
  <c r="Q14" i="16"/>
  <c r="P14" i="16"/>
  <c r="O14" i="16"/>
  <c r="N14" i="16"/>
  <c r="R13" i="16"/>
  <c r="Q13" i="16"/>
  <c r="P13" i="16"/>
  <c r="O13" i="16"/>
  <c r="N13" i="16"/>
  <c r="R12" i="16"/>
  <c r="Q12" i="16"/>
  <c r="P12" i="16"/>
  <c r="O12" i="16"/>
  <c r="N12" i="16"/>
  <c r="R27" i="15"/>
  <c r="Q27" i="15"/>
  <c r="P27" i="15"/>
  <c r="O27" i="15"/>
  <c r="N27" i="15"/>
  <c r="R26" i="15"/>
  <c r="Q26" i="15"/>
  <c r="P26" i="15"/>
  <c r="O26" i="15"/>
  <c r="N26" i="15"/>
  <c r="R25" i="15"/>
  <c r="Q25" i="15"/>
  <c r="P25" i="15"/>
  <c r="O25" i="15"/>
  <c r="N25" i="15"/>
  <c r="R24" i="15"/>
  <c r="Q24" i="15"/>
  <c r="P24" i="15"/>
  <c r="O24" i="15"/>
  <c r="N24" i="15"/>
  <c r="R23" i="15"/>
  <c r="Q23" i="15"/>
  <c r="P23" i="15"/>
  <c r="O23" i="15"/>
  <c r="N23" i="15"/>
  <c r="R22" i="15"/>
  <c r="Q22" i="15"/>
  <c r="P22" i="15"/>
  <c r="O22" i="15"/>
  <c r="N22" i="15"/>
  <c r="R21" i="15"/>
  <c r="Q21" i="15"/>
  <c r="P21" i="15"/>
  <c r="O21" i="15"/>
  <c r="N21" i="15"/>
  <c r="R20" i="15"/>
  <c r="Q20" i="15"/>
  <c r="P20" i="15"/>
  <c r="O20" i="15"/>
  <c r="N20" i="15"/>
  <c r="R19" i="15"/>
  <c r="Q19" i="15"/>
  <c r="P19" i="15"/>
  <c r="O19" i="15"/>
  <c r="N19" i="15"/>
  <c r="R18" i="15"/>
  <c r="Q18" i="15"/>
  <c r="P18" i="15"/>
  <c r="O18" i="15"/>
  <c r="N18" i="15"/>
  <c r="R17" i="15"/>
  <c r="Q17" i="15"/>
  <c r="P17" i="15"/>
  <c r="O17" i="15"/>
  <c r="N17" i="15"/>
  <c r="R16" i="15"/>
  <c r="Q16" i="15"/>
  <c r="P16" i="15"/>
  <c r="O16" i="15"/>
  <c r="N16" i="15"/>
  <c r="R15" i="15"/>
  <c r="Q15" i="15"/>
  <c r="P15" i="15"/>
  <c r="O15" i="15"/>
  <c r="N15" i="15"/>
  <c r="R14" i="15"/>
  <c r="Q14" i="15"/>
  <c r="P14" i="15"/>
  <c r="O14" i="15"/>
  <c r="N14" i="15"/>
  <c r="R13" i="15"/>
  <c r="Q13" i="15"/>
  <c r="P13" i="15"/>
  <c r="O13" i="15"/>
  <c r="N13" i="15"/>
  <c r="R12" i="15"/>
  <c r="Q12" i="15"/>
  <c r="P12" i="15"/>
  <c r="O12" i="15"/>
  <c r="N12" i="15"/>
  <c r="AP27" i="15"/>
  <c r="AO27" i="15"/>
  <c r="AN27" i="15"/>
  <c r="AM27" i="15"/>
  <c r="AL27" i="15"/>
  <c r="AP26" i="15"/>
  <c r="AO26" i="15"/>
  <c r="AN26" i="15"/>
  <c r="AM26" i="15"/>
  <c r="AL26" i="15"/>
  <c r="AP25" i="15"/>
  <c r="AO25" i="15"/>
  <c r="AN25" i="15"/>
  <c r="AM25" i="15"/>
  <c r="AL25" i="15"/>
  <c r="AP24" i="15"/>
  <c r="AO24" i="15"/>
  <c r="AN24" i="15"/>
  <c r="AM24" i="15"/>
  <c r="AL24" i="15"/>
  <c r="AP23" i="15"/>
  <c r="AO23" i="15"/>
  <c r="AN23" i="15"/>
  <c r="AM23" i="15"/>
  <c r="AL23" i="15"/>
  <c r="AP22" i="15"/>
  <c r="AO22" i="15"/>
  <c r="AN22" i="15"/>
  <c r="AM22" i="15"/>
  <c r="AL22" i="15"/>
  <c r="AP21" i="15"/>
  <c r="AO21" i="15"/>
  <c r="AN21" i="15"/>
  <c r="AM21" i="15"/>
  <c r="AL21" i="15"/>
  <c r="AP20" i="15"/>
  <c r="AO20" i="15"/>
  <c r="AN20" i="15"/>
  <c r="AM20" i="15"/>
  <c r="AL20" i="15"/>
  <c r="AP19" i="15"/>
  <c r="AO19" i="15"/>
  <c r="AN19" i="15"/>
  <c r="AM19" i="15"/>
  <c r="AL19" i="15"/>
  <c r="AP18" i="15"/>
  <c r="AO18" i="15"/>
  <c r="AN18" i="15"/>
  <c r="AM18" i="15"/>
  <c r="AL18" i="15"/>
  <c r="AP17" i="15"/>
  <c r="AO17" i="15"/>
  <c r="AN17" i="15"/>
  <c r="AM17" i="15"/>
  <c r="AL17" i="15"/>
  <c r="AP16" i="15"/>
  <c r="AO16" i="15"/>
  <c r="AN16" i="15"/>
  <c r="AM16" i="15"/>
  <c r="AL16" i="15"/>
  <c r="AP15" i="15"/>
  <c r="AO15" i="15"/>
  <c r="AN15" i="15"/>
  <c r="AM15" i="15"/>
  <c r="AL15" i="15"/>
  <c r="AP14" i="15"/>
  <c r="AO14" i="15"/>
  <c r="AN14" i="15"/>
  <c r="AM14" i="15"/>
  <c r="AL14" i="15"/>
  <c r="AP13" i="15"/>
  <c r="AO13" i="15"/>
  <c r="AN13" i="15"/>
  <c r="AM13" i="15"/>
  <c r="AL13" i="15"/>
  <c r="AP12" i="15"/>
  <c r="AO12" i="15"/>
  <c r="AN12" i="15"/>
  <c r="AM12" i="15"/>
  <c r="AL12" i="15"/>
  <c r="BN27" i="15"/>
  <c r="BM27" i="15"/>
  <c r="BL27" i="15"/>
  <c r="BK27" i="15"/>
  <c r="BJ27" i="15"/>
  <c r="BN26" i="15"/>
  <c r="BM26" i="15"/>
  <c r="BL26" i="15"/>
  <c r="BK26" i="15"/>
  <c r="BJ26" i="15"/>
  <c r="BN25" i="15"/>
  <c r="BM25" i="15"/>
  <c r="BL25" i="15"/>
  <c r="BK25" i="15"/>
  <c r="BJ25" i="15"/>
  <c r="BN24" i="15"/>
  <c r="BM24" i="15"/>
  <c r="BL24" i="15"/>
  <c r="BK24" i="15"/>
  <c r="BJ24" i="15"/>
  <c r="BN23" i="15"/>
  <c r="BM23" i="15"/>
  <c r="BL23" i="15"/>
  <c r="BK23" i="15"/>
  <c r="BJ23" i="15"/>
  <c r="BN22" i="15"/>
  <c r="BM22" i="15"/>
  <c r="BL22" i="15"/>
  <c r="BK22" i="15"/>
  <c r="BJ22" i="15"/>
  <c r="BN21" i="15"/>
  <c r="BM21" i="15"/>
  <c r="BL21" i="15"/>
  <c r="BK21" i="15"/>
  <c r="BJ21" i="15"/>
  <c r="BN20" i="15"/>
  <c r="BM20" i="15"/>
  <c r="BL20" i="15"/>
  <c r="BK20" i="15"/>
  <c r="BJ20" i="15"/>
  <c r="BN19" i="15"/>
  <c r="BM19" i="15"/>
  <c r="BL19" i="15"/>
  <c r="BK19" i="15"/>
  <c r="BJ19" i="15"/>
  <c r="BN18" i="15"/>
  <c r="BM18" i="15"/>
  <c r="BL18" i="15"/>
  <c r="BK18" i="15"/>
  <c r="BJ18" i="15"/>
  <c r="BN17" i="15"/>
  <c r="BM17" i="15"/>
  <c r="BL17" i="15"/>
  <c r="BK17" i="15"/>
  <c r="BJ17" i="15"/>
  <c r="BN16" i="15"/>
  <c r="BM16" i="15"/>
  <c r="BL16" i="15"/>
  <c r="BK16" i="15"/>
  <c r="BJ16" i="15"/>
  <c r="BN15" i="15"/>
  <c r="BM15" i="15"/>
  <c r="BL15" i="15"/>
  <c r="BK15" i="15"/>
  <c r="BJ15" i="15"/>
  <c r="BN14" i="15"/>
  <c r="BM14" i="15"/>
  <c r="BL14" i="15"/>
  <c r="BK14" i="15"/>
  <c r="BJ14" i="15"/>
  <c r="BN13" i="15"/>
  <c r="BM13" i="15"/>
  <c r="BL13" i="15"/>
  <c r="BK13" i="15"/>
  <c r="BJ13" i="15"/>
  <c r="BN12" i="15"/>
  <c r="BM12" i="15"/>
  <c r="BL12" i="15"/>
  <c r="BK12" i="15"/>
  <c r="BJ12" i="15"/>
  <c r="CL27" i="15"/>
  <c r="CK27" i="15"/>
  <c r="CJ27" i="15"/>
  <c r="CI27" i="15"/>
  <c r="CH27" i="15"/>
  <c r="CL26" i="15"/>
  <c r="CK26" i="15"/>
  <c r="CJ26" i="15"/>
  <c r="CI26" i="15"/>
  <c r="CH26" i="15"/>
  <c r="CL25" i="15"/>
  <c r="CK25" i="15"/>
  <c r="CJ25" i="15"/>
  <c r="CI25" i="15"/>
  <c r="CH25" i="15"/>
  <c r="CL24" i="15"/>
  <c r="CK24" i="15"/>
  <c r="CJ24" i="15"/>
  <c r="CI24" i="15"/>
  <c r="CH24" i="15"/>
  <c r="CL23" i="15"/>
  <c r="CK23" i="15"/>
  <c r="CJ23" i="15"/>
  <c r="CI23" i="15"/>
  <c r="CH23" i="15"/>
  <c r="CL22" i="15"/>
  <c r="CK22" i="15"/>
  <c r="CJ22" i="15"/>
  <c r="CI22" i="15"/>
  <c r="CH22" i="15"/>
  <c r="CL21" i="15"/>
  <c r="CK21" i="15"/>
  <c r="CJ21" i="15"/>
  <c r="CI21" i="15"/>
  <c r="CH21" i="15"/>
  <c r="CL20" i="15"/>
  <c r="CK20" i="15"/>
  <c r="CJ20" i="15"/>
  <c r="CI20" i="15"/>
  <c r="CH20" i="15"/>
  <c r="CL19" i="15"/>
  <c r="CK19" i="15"/>
  <c r="CJ19" i="15"/>
  <c r="CI19" i="15"/>
  <c r="CH19" i="15"/>
  <c r="CL18" i="15"/>
  <c r="CK18" i="15"/>
  <c r="CJ18" i="15"/>
  <c r="CI18" i="15"/>
  <c r="CH18" i="15"/>
  <c r="CL17" i="15"/>
  <c r="CK17" i="15"/>
  <c r="CJ17" i="15"/>
  <c r="CI17" i="15"/>
  <c r="CH17" i="15"/>
  <c r="CL16" i="15"/>
  <c r="CK16" i="15"/>
  <c r="CJ16" i="15"/>
  <c r="CI16" i="15"/>
  <c r="CH16" i="15"/>
  <c r="CL15" i="15"/>
  <c r="CK15" i="15"/>
  <c r="CJ15" i="15"/>
  <c r="CI15" i="15"/>
  <c r="CH15" i="15"/>
  <c r="CL14" i="15"/>
  <c r="CK14" i="15"/>
  <c r="CJ14" i="15"/>
  <c r="CI14" i="15"/>
  <c r="CH14" i="15"/>
  <c r="CL13" i="15"/>
  <c r="CK13" i="15"/>
  <c r="CJ13" i="15"/>
  <c r="CI13" i="15"/>
  <c r="CH13" i="15"/>
  <c r="CL12" i="15"/>
  <c r="CK12" i="15"/>
  <c r="CJ12" i="15"/>
  <c r="CI12" i="15"/>
  <c r="CH12" i="15"/>
  <c r="DJ27" i="15"/>
  <c r="DI27" i="15"/>
  <c r="DH27" i="15"/>
  <c r="DG27" i="15"/>
  <c r="DF27" i="15"/>
  <c r="DJ26" i="15"/>
  <c r="DI26" i="15"/>
  <c r="DH26" i="15"/>
  <c r="DG26" i="15"/>
  <c r="DF26" i="15"/>
  <c r="DJ25" i="15"/>
  <c r="DI25" i="15"/>
  <c r="DH25" i="15"/>
  <c r="DG25" i="15"/>
  <c r="DF25" i="15"/>
  <c r="DJ24" i="15"/>
  <c r="DI24" i="15"/>
  <c r="DH24" i="15"/>
  <c r="DG24" i="15"/>
  <c r="DF24" i="15"/>
  <c r="DJ23" i="15"/>
  <c r="DI23" i="15"/>
  <c r="DH23" i="15"/>
  <c r="DG23" i="15"/>
  <c r="DF23" i="15"/>
  <c r="DJ22" i="15"/>
  <c r="DI22" i="15"/>
  <c r="DH22" i="15"/>
  <c r="DG22" i="15"/>
  <c r="DF22" i="15"/>
  <c r="DJ21" i="15"/>
  <c r="DI21" i="15"/>
  <c r="DH21" i="15"/>
  <c r="DG21" i="15"/>
  <c r="DF21" i="15"/>
  <c r="DJ20" i="15"/>
  <c r="DI20" i="15"/>
  <c r="DH20" i="15"/>
  <c r="DG20" i="15"/>
  <c r="DF20" i="15"/>
  <c r="DJ19" i="15"/>
  <c r="DI19" i="15"/>
  <c r="DH19" i="15"/>
  <c r="DG19" i="15"/>
  <c r="DF19" i="15"/>
  <c r="DJ18" i="15"/>
  <c r="DI18" i="15"/>
  <c r="DH18" i="15"/>
  <c r="DG18" i="15"/>
  <c r="DF18" i="15"/>
  <c r="DJ17" i="15"/>
  <c r="DI17" i="15"/>
  <c r="DH17" i="15"/>
  <c r="DG17" i="15"/>
  <c r="DF17" i="15"/>
  <c r="DJ16" i="15"/>
  <c r="DI16" i="15"/>
  <c r="DH16" i="15"/>
  <c r="DG16" i="15"/>
  <c r="DF16" i="15"/>
  <c r="DJ15" i="15"/>
  <c r="DI15" i="15"/>
  <c r="DH15" i="15"/>
  <c r="DG15" i="15"/>
  <c r="DF15" i="15"/>
  <c r="DJ14" i="15"/>
  <c r="DI14" i="15"/>
  <c r="DH14" i="15"/>
  <c r="DG14" i="15"/>
  <c r="DF14" i="15"/>
  <c r="DJ13" i="15"/>
  <c r="DI13" i="15"/>
  <c r="DH13" i="15"/>
  <c r="DG13" i="15"/>
  <c r="DF13" i="15"/>
  <c r="DJ12" i="15"/>
  <c r="DI12" i="15"/>
  <c r="DH12" i="15"/>
  <c r="DG12" i="15"/>
  <c r="DF12" i="15"/>
  <c r="DJ27" i="14"/>
  <c r="DI27" i="14"/>
  <c r="DH27" i="14"/>
  <c r="DG27" i="14"/>
  <c r="DF27" i="14"/>
  <c r="DJ26" i="14"/>
  <c r="DI26" i="14"/>
  <c r="DH26" i="14"/>
  <c r="DG26" i="14"/>
  <c r="DF26" i="14"/>
  <c r="DJ25" i="14"/>
  <c r="DI25" i="14"/>
  <c r="DH25" i="14"/>
  <c r="DG25" i="14"/>
  <c r="DF25" i="14"/>
  <c r="DJ24" i="14"/>
  <c r="DI24" i="14"/>
  <c r="DH24" i="14"/>
  <c r="DG24" i="14"/>
  <c r="DF24" i="14"/>
  <c r="DJ23" i="14"/>
  <c r="DI23" i="14"/>
  <c r="DH23" i="14"/>
  <c r="DG23" i="14"/>
  <c r="DF23" i="14"/>
  <c r="DJ22" i="14"/>
  <c r="DI22" i="14"/>
  <c r="DH22" i="14"/>
  <c r="DG22" i="14"/>
  <c r="DF22" i="14"/>
  <c r="DJ21" i="14"/>
  <c r="DI21" i="14"/>
  <c r="DH21" i="14"/>
  <c r="DG21" i="14"/>
  <c r="DF21" i="14"/>
  <c r="DJ20" i="14"/>
  <c r="DI20" i="14"/>
  <c r="DH20" i="14"/>
  <c r="DG20" i="14"/>
  <c r="DF20" i="14"/>
  <c r="DJ19" i="14"/>
  <c r="DI19" i="14"/>
  <c r="DH19" i="14"/>
  <c r="DG19" i="14"/>
  <c r="DF19" i="14"/>
  <c r="DJ18" i="14"/>
  <c r="DI18" i="14"/>
  <c r="DH18" i="14"/>
  <c r="DG18" i="14"/>
  <c r="DF18" i="14"/>
  <c r="DJ17" i="14"/>
  <c r="DI17" i="14"/>
  <c r="DH17" i="14"/>
  <c r="DG17" i="14"/>
  <c r="DF17" i="14"/>
  <c r="DJ16" i="14"/>
  <c r="DI16" i="14"/>
  <c r="DH16" i="14"/>
  <c r="DG16" i="14"/>
  <c r="DF16" i="14"/>
  <c r="DJ15" i="14"/>
  <c r="DI15" i="14"/>
  <c r="DH15" i="14"/>
  <c r="DG15" i="14"/>
  <c r="DF15" i="14"/>
  <c r="DJ14" i="14"/>
  <c r="DI14" i="14"/>
  <c r="DH14" i="14"/>
  <c r="DG14" i="14"/>
  <c r="DF14" i="14"/>
  <c r="DJ13" i="14"/>
  <c r="DI13" i="14"/>
  <c r="DH13" i="14"/>
  <c r="DG13" i="14"/>
  <c r="DF13" i="14"/>
  <c r="DJ12" i="14"/>
  <c r="DI12" i="14"/>
  <c r="DH12" i="14"/>
  <c r="DG12" i="14"/>
  <c r="DF12" i="14"/>
  <c r="CJ27" i="14"/>
  <c r="CI27" i="14"/>
  <c r="CJ26" i="14"/>
  <c r="CI26" i="14"/>
  <c r="CJ25" i="14"/>
  <c r="CI25" i="14"/>
  <c r="CJ24" i="14"/>
  <c r="CI24" i="14"/>
  <c r="CJ23" i="14"/>
  <c r="CI23" i="14"/>
  <c r="CJ22" i="14"/>
  <c r="CI22" i="14"/>
  <c r="CJ21" i="14"/>
  <c r="CI21" i="14"/>
  <c r="CJ20" i="14"/>
  <c r="CI20" i="14"/>
  <c r="CJ19" i="14"/>
  <c r="CI19" i="14"/>
  <c r="CJ18" i="14"/>
  <c r="CI18" i="14"/>
  <c r="CJ17" i="14"/>
  <c r="CI17" i="14"/>
  <c r="CJ16" i="14"/>
  <c r="CI16" i="14"/>
  <c r="CJ15" i="14"/>
  <c r="CI15" i="14"/>
  <c r="CJ14" i="14"/>
  <c r="CI14" i="14"/>
  <c r="CJ13" i="14"/>
  <c r="CI13" i="14"/>
  <c r="CJ12" i="14"/>
  <c r="CI12" i="14"/>
  <c r="BN27" i="14"/>
  <c r="BM27" i="14"/>
  <c r="BL27" i="14"/>
  <c r="BK27" i="14"/>
  <c r="BJ27" i="14"/>
  <c r="BN26" i="14"/>
  <c r="BM26" i="14"/>
  <c r="BL26" i="14"/>
  <c r="BK26" i="14"/>
  <c r="BJ26" i="14"/>
  <c r="BN25" i="14"/>
  <c r="BM25" i="14"/>
  <c r="BL25" i="14"/>
  <c r="BK25" i="14"/>
  <c r="BJ25" i="14"/>
  <c r="BN24" i="14"/>
  <c r="BM24" i="14"/>
  <c r="BL24" i="14"/>
  <c r="BK24" i="14"/>
  <c r="BJ24" i="14"/>
  <c r="BN23" i="14"/>
  <c r="BM23" i="14"/>
  <c r="BL23" i="14"/>
  <c r="BK23" i="14"/>
  <c r="BJ23" i="14"/>
  <c r="BN22" i="14"/>
  <c r="BM22" i="14"/>
  <c r="BL22" i="14"/>
  <c r="BK22" i="14"/>
  <c r="BJ22" i="14"/>
  <c r="BN21" i="14"/>
  <c r="BM21" i="14"/>
  <c r="BL21" i="14"/>
  <c r="BK21" i="14"/>
  <c r="BJ21" i="14"/>
  <c r="BN20" i="14"/>
  <c r="BM20" i="14"/>
  <c r="BL20" i="14"/>
  <c r="BK20" i="14"/>
  <c r="BJ20" i="14"/>
  <c r="BN19" i="14"/>
  <c r="BM19" i="14"/>
  <c r="BL19" i="14"/>
  <c r="BK19" i="14"/>
  <c r="BJ19" i="14"/>
  <c r="BN18" i="14"/>
  <c r="BM18" i="14"/>
  <c r="BL18" i="14"/>
  <c r="BK18" i="14"/>
  <c r="BJ18" i="14"/>
  <c r="BN17" i="14"/>
  <c r="BM17" i="14"/>
  <c r="BL17" i="14"/>
  <c r="BK17" i="14"/>
  <c r="BJ17" i="14"/>
  <c r="BN16" i="14"/>
  <c r="BM16" i="14"/>
  <c r="BL16" i="14"/>
  <c r="BK16" i="14"/>
  <c r="BJ16" i="14"/>
  <c r="BN15" i="14"/>
  <c r="BM15" i="14"/>
  <c r="BL15" i="14"/>
  <c r="BK15" i="14"/>
  <c r="BJ15" i="14"/>
  <c r="BN14" i="14"/>
  <c r="BM14" i="14"/>
  <c r="BL14" i="14"/>
  <c r="BK14" i="14"/>
  <c r="BJ14" i="14"/>
  <c r="BN13" i="14"/>
  <c r="BM13" i="14"/>
  <c r="BL13" i="14"/>
  <c r="BK13" i="14"/>
  <c r="BJ13" i="14"/>
  <c r="BN12" i="14"/>
  <c r="BM12" i="14"/>
  <c r="BL12" i="14"/>
  <c r="BK12" i="14"/>
  <c r="BJ12" i="14"/>
  <c r="AN27" i="14"/>
  <c r="AM27" i="14"/>
  <c r="AN26" i="14"/>
  <c r="AM26" i="14"/>
  <c r="AN25" i="14"/>
  <c r="AM25" i="14"/>
  <c r="AN24" i="14"/>
  <c r="AM24" i="14"/>
  <c r="AN23" i="14"/>
  <c r="AM23" i="14"/>
  <c r="AN22" i="14"/>
  <c r="AM22" i="14"/>
  <c r="AN21" i="14"/>
  <c r="AM21" i="14"/>
  <c r="AN20" i="14"/>
  <c r="AM20" i="14"/>
  <c r="AN19" i="14"/>
  <c r="AM19" i="14"/>
  <c r="AN18" i="14"/>
  <c r="AM18" i="14"/>
  <c r="AN17" i="14"/>
  <c r="AM17" i="14"/>
  <c r="AN16" i="14"/>
  <c r="AM16" i="14"/>
  <c r="AN15" i="14"/>
  <c r="AM15" i="14"/>
  <c r="AN14" i="14"/>
  <c r="AM14" i="14"/>
  <c r="AN13" i="14"/>
  <c r="AM13" i="14"/>
  <c r="AN12" i="14"/>
  <c r="AM12" i="14"/>
  <c r="R27" i="14"/>
  <c r="Q27" i="14"/>
  <c r="P27" i="14"/>
  <c r="O27" i="14"/>
  <c r="N27" i="14"/>
  <c r="R26" i="14"/>
  <c r="Q26" i="14"/>
  <c r="P26" i="14"/>
  <c r="O26" i="14"/>
  <c r="N26" i="14"/>
  <c r="R25" i="14"/>
  <c r="Q25" i="14"/>
  <c r="P25" i="14"/>
  <c r="O25" i="14"/>
  <c r="N25" i="14"/>
  <c r="R24" i="14"/>
  <c r="Q24" i="14"/>
  <c r="P24" i="14"/>
  <c r="O24" i="14"/>
  <c r="N24" i="14"/>
  <c r="R23" i="14"/>
  <c r="Q23" i="14"/>
  <c r="P23" i="14"/>
  <c r="O23" i="14"/>
  <c r="N23" i="14"/>
  <c r="R22" i="14"/>
  <c r="Q22" i="14"/>
  <c r="P22" i="14"/>
  <c r="O22" i="14"/>
  <c r="N22" i="14"/>
  <c r="R21" i="14"/>
  <c r="Q21" i="14"/>
  <c r="P21" i="14"/>
  <c r="O21" i="14"/>
  <c r="N21" i="14"/>
  <c r="R20" i="14"/>
  <c r="Q20" i="14"/>
  <c r="P20" i="14"/>
  <c r="O20" i="14"/>
  <c r="N20" i="14"/>
  <c r="R19" i="14"/>
  <c r="Q19" i="14"/>
  <c r="P19" i="14"/>
  <c r="O19" i="14"/>
  <c r="N19" i="14"/>
  <c r="R18" i="14"/>
  <c r="Q18" i="14"/>
  <c r="P18" i="14"/>
  <c r="O18" i="14"/>
  <c r="N18" i="14"/>
  <c r="R17" i="14"/>
  <c r="Q17" i="14"/>
  <c r="P17" i="14"/>
  <c r="O17" i="14"/>
  <c r="N17" i="14"/>
  <c r="R16" i="14"/>
  <c r="Q16" i="14"/>
  <c r="P16" i="14"/>
  <c r="O16" i="14"/>
  <c r="N16" i="14"/>
  <c r="R15" i="14"/>
  <c r="Q15" i="14"/>
  <c r="P15" i="14"/>
  <c r="O15" i="14"/>
  <c r="N15" i="14"/>
  <c r="R14" i="14"/>
  <c r="Q14" i="14"/>
  <c r="P14" i="14"/>
  <c r="O14" i="14"/>
  <c r="N14" i="14"/>
  <c r="R13" i="14"/>
  <c r="Q13" i="14"/>
  <c r="P13" i="14"/>
  <c r="O13" i="14"/>
  <c r="N13" i="14"/>
  <c r="R12" i="14"/>
  <c r="Q12" i="14"/>
  <c r="P12" i="14"/>
  <c r="O12" i="14"/>
  <c r="N12" i="14"/>
  <c r="DJ27" i="13"/>
  <c r="DI27" i="13"/>
  <c r="DH27" i="13"/>
  <c r="DG27" i="13"/>
  <c r="DF27" i="13"/>
  <c r="DJ26" i="13"/>
  <c r="DI26" i="13"/>
  <c r="DH26" i="13"/>
  <c r="DG26" i="13"/>
  <c r="DF26" i="13"/>
  <c r="DJ25" i="13"/>
  <c r="DI25" i="13"/>
  <c r="DH25" i="13"/>
  <c r="DG25" i="13"/>
  <c r="DF25" i="13"/>
  <c r="DJ24" i="13"/>
  <c r="DI24" i="13"/>
  <c r="DH24" i="13"/>
  <c r="DG24" i="13"/>
  <c r="DF24" i="13"/>
  <c r="DJ23" i="13"/>
  <c r="DI23" i="13"/>
  <c r="DH23" i="13"/>
  <c r="DG23" i="13"/>
  <c r="DF23" i="13"/>
  <c r="DJ22" i="13"/>
  <c r="DI22" i="13"/>
  <c r="DH22" i="13"/>
  <c r="DG22" i="13"/>
  <c r="DF22" i="13"/>
  <c r="DJ21" i="13"/>
  <c r="DI21" i="13"/>
  <c r="DH21" i="13"/>
  <c r="DG21" i="13"/>
  <c r="DF21" i="13"/>
  <c r="DJ20" i="13"/>
  <c r="DI20" i="13"/>
  <c r="DH20" i="13"/>
  <c r="DG20" i="13"/>
  <c r="DF20" i="13"/>
  <c r="DJ19" i="13"/>
  <c r="DI19" i="13"/>
  <c r="DH19" i="13"/>
  <c r="DG19" i="13"/>
  <c r="DF19" i="13"/>
  <c r="DJ18" i="13"/>
  <c r="DI18" i="13"/>
  <c r="DH18" i="13"/>
  <c r="DG18" i="13"/>
  <c r="DF18" i="13"/>
  <c r="DJ17" i="13"/>
  <c r="DI17" i="13"/>
  <c r="DH17" i="13"/>
  <c r="DG17" i="13"/>
  <c r="DF17" i="13"/>
  <c r="DJ16" i="13"/>
  <c r="DI16" i="13"/>
  <c r="DH16" i="13"/>
  <c r="DG16" i="13"/>
  <c r="DF16" i="13"/>
  <c r="DJ15" i="13"/>
  <c r="DI15" i="13"/>
  <c r="DH15" i="13"/>
  <c r="DG15" i="13"/>
  <c r="DF15" i="13"/>
  <c r="DJ14" i="13"/>
  <c r="DI14" i="13"/>
  <c r="DH14" i="13"/>
  <c r="DG14" i="13"/>
  <c r="DF14" i="13"/>
  <c r="DJ13" i="13"/>
  <c r="DI13" i="13"/>
  <c r="DH13" i="13"/>
  <c r="DG13" i="13"/>
  <c r="DF13" i="13"/>
  <c r="DJ12" i="13"/>
  <c r="DI12" i="13"/>
  <c r="DH12" i="13"/>
  <c r="DG12" i="13"/>
  <c r="DF12" i="13"/>
  <c r="CL27" i="13"/>
  <c r="CK27" i="13"/>
  <c r="CJ27" i="13"/>
  <c r="CI27" i="13"/>
  <c r="CH27" i="13"/>
  <c r="CL26" i="13"/>
  <c r="CK26" i="13"/>
  <c r="CJ26" i="13"/>
  <c r="CI26" i="13"/>
  <c r="CH26" i="13"/>
  <c r="CL25" i="13"/>
  <c r="CK25" i="13"/>
  <c r="CJ25" i="13"/>
  <c r="CI25" i="13"/>
  <c r="CH25" i="13"/>
  <c r="CL24" i="13"/>
  <c r="CK24" i="13"/>
  <c r="CJ24" i="13"/>
  <c r="CI24" i="13"/>
  <c r="CH24" i="13"/>
  <c r="CL23" i="13"/>
  <c r="CK23" i="13"/>
  <c r="CJ23" i="13"/>
  <c r="CI23" i="13"/>
  <c r="CH23" i="13"/>
  <c r="CL22" i="13"/>
  <c r="CK22" i="13"/>
  <c r="CJ22" i="13"/>
  <c r="CI22" i="13"/>
  <c r="CH22" i="13"/>
  <c r="CL21" i="13"/>
  <c r="CK21" i="13"/>
  <c r="CJ21" i="13"/>
  <c r="CI21" i="13"/>
  <c r="CH21" i="13"/>
  <c r="CL20" i="13"/>
  <c r="CK20" i="13"/>
  <c r="CJ20" i="13"/>
  <c r="CI20" i="13"/>
  <c r="CH20" i="13"/>
  <c r="CL19" i="13"/>
  <c r="CK19" i="13"/>
  <c r="CJ19" i="13"/>
  <c r="CI19" i="13"/>
  <c r="CH19" i="13"/>
  <c r="CL18" i="13"/>
  <c r="CK18" i="13"/>
  <c r="CJ18" i="13"/>
  <c r="CI18" i="13"/>
  <c r="CH18" i="13"/>
  <c r="CL17" i="13"/>
  <c r="CK17" i="13"/>
  <c r="CJ17" i="13"/>
  <c r="CI17" i="13"/>
  <c r="CH17" i="13"/>
  <c r="CL16" i="13"/>
  <c r="CK16" i="13"/>
  <c r="CJ16" i="13"/>
  <c r="CI16" i="13"/>
  <c r="CH16" i="13"/>
  <c r="CL15" i="13"/>
  <c r="CK15" i="13"/>
  <c r="CJ15" i="13"/>
  <c r="CI15" i="13"/>
  <c r="CH15" i="13"/>
  <c r="CL14" i="13"/>
  <c r="CK14" i="13"/>
  <c r="CJ14" i="13"/>
  <c r="CI14" i="13"/>
  <c r="CH14" i="13"/>
  <c r="CL13" i="13"/>
  <c r="CK13" i="13"/>
  <c r="CJ13" i="13"/>
  <c r="CI13" i="13"/>
  <c r="CH13" i="13"/>
  <c r="CL12" i="13"/>
  <c r="CK12" i="13"/>
  <c r="CJ12" i="13"/>
  <c r="CI12" i="13"/>
  <c r="CH12" i="13"/>
  <c r="BN27" i="13"/>
  <c r="BM27" i="13"/>
  <c r="BL27" i="13"/>
  <c r="BK27" i="13"/>
  <c r="BJ27" i="13"/>
  <c r="BN26" i="13"/>
  <c r="BM26" i="13"/>
  <c r="BL26" i="13"/>
  <c r="BK26" i="13"/>
  <c r="BJ26" i="13"/>
  <c r="BN25" i="13"/>
  <c r="BM25" i="13"/>
  <c r="BL25" i="13"/>
  <c r="BK25" i="13"/>
  <c r="BJ25" i="13"/>
  <c r="BN24" i="13"/>
  <c r="BM24" i="13"/>
  <c r="BL24" i="13"/>
  <c r="BK24" i="13"/>
  <c r="BJ24" i="13"/>
  <c r="BN23" i="13"/>
  <c r="BM23" i="13"/>
  <c r="BL23" i="13"/>
  <c r="BK23" i="13"/>
  <c r="BJ23" i="13"/>
  <c r="BN22" i="13"/>
  <c r="BM22" i="13"/>
  <c r="BL22" i="13"/>
  <c r="BK22" i="13"/>
  <c r="BJ22" i="13"/>
  <c r="BN21" i="13"/>
  <c r="BM21" i="13"/>
  <c r="BL21" i="13"/>
  <c r="BK21" i="13"/>
  <c r="BJ21" i="13"/>
  <c r="BN20" i="13"/>
  <c r="BM20" i="13"/>
  <c r="BL20" i="13"/>
  <c r="BK20" i="13"/>
  <c r="BJ20" i="13"/>
  <c r="BN19" i="13"/>
  <c r="BM19" i="13"/>
  <c r="BL19" i="13"/>
  <c r="BK19" i="13"/>
  <c r="BJ19" i="13"/>
  <c r="BN18" i="13"/>
  <c r="BM18" i="13"/>
  <c r="BL18" i="13"/>
  <c r="BK18" i="13"/>
  <c r="BJ18" i="13"/>
  <c r="BN17" i="13"/>
  <c r="BM17" i="13"/>
  <c r="BL17" i="13"/>
  <c r="BK17" i="13"/>
  <c r="BJ17" i="13"/>
  <c r="BN16" i="13"/>
  <c r="BM16" i="13"/>
  <c r="BL16" i="13"/>
  <c r="BK16" i="13"/>
  <c r="BJ16" i="13"/>
  <c r="BN15" i="13"/>
  <c r="BM15" i="13"/>
  <c r="BL15" i="13"/>
  <c r="BK15" i="13"/>
  <c r="BJ15" i="13"/>
  <c r="BN14" i="13"/>
  <c r="BM14" i="13"/>
  <c r="BL14" i="13"/>
  <c r="BK14" i="13"/>
  <c r="BJ14" i="13"/>
  <c r="BN13" i="13"/>
  <c r="BM13" i="13"/>
  <c r="BL13" i="13"/>
  <c r="BK13" i="13"/>
  <c r="BJ13" i="13"/>
  <c r="BN12" i="13"/>
  <c r="BM12" i="13"/>
  <c r="BL12" i="13"/>
  <c r="BK12" i="13"/>
  <c r="BJ12" i="13"/>
  <c r="AP27" i="13"/>
  <c r="AO27" i="13"/>
  <c r="AN27" i="13"/>
  <c r="AM27" i="13"/>
  <c r="AL27" i="13"/>
  <c r="AP26" i="13"/>
  <c r="AO26" i="13"/>
  <c r="AN26" i="13"/>
  <c r="AM26" i="13"/>
  <c r="AL26" i="13"/>
  <c r="AP25" i="13"/>
  <c r="AO25" i="13"/>
  <c r="AN25" i="13"/>
  <c r="AM25" i="13"/>
  <c r="AL25" i="13"/>
  <c r="AP24" i="13"/>
  <c r="AO24" i="13"/>
  <c r="AN24" i="13"/>
  <c r="AM24" i="13"/>
  <c r="AL24" i="13"/>
  <c r="AP23" i="13"/>
  <c r="AO23" i="13"/>
  <c r="AN23" i="13"/>
  <c r="AM23" i="13"/>
  <c r="AL23" i="13"/>
  <c r="AP22" i="13"/>
  <c r="AO22" i="13"/>
  <c r="AN22" i="13"/>
  <c r="AM22" i="13"/>
  <c r="AL22" i="13"/>
  <c r="AP21" i="13"/>
  <c r="AO21" i="13"/>
  <c r="AN21" i="13"/>
  <c r="AM21" i="13"/>
  <c r="AL21" i="13"/>
  <c r="AP20" i="13"/>
  <c r="AO20" i="13"/>
  <c r="AN20" i="13"/>
  <c r="AM20" i="13"/>
  <c r="AL20" i="13"/>
  <c r="AP19" i="13"/>
  <c r="AO19" i="13"/>
  <c r="AN19" i="13"/>
  <c r="AM19" i="13"/>
  <c r="AL19" i="13"/>
  <c r="AP18" i="13"/>
  <c r="AO18" i="13"/>
  <c r="AN18" i="13"/>
  <c r="AM18" i="13"/>
  <c r="AL18" i="13"/>
  <c r="AP17" i="13"/>
  <c r="AO17" i="13"/>
  <c r="AN17" i="13"/>
  <c r="AM17" i="13"/>
  <c r="AL17" i="13"/>
  <c r="AP16" i="13"/>
  <c r="AO16" i="13"/>
  <c r="AN16" i="13"/>
  <c r="AM16" i="13"/>
  <c r="AL16" i="13"/>
  <c r="AP15" i="13"/>
  <c r="AO15" i="13"/>
  <c r="AN15" i="13"/>
  <c r="AM15" i="13"/>
  <c r="AL15" i="13"/>
  <c r="AP14" i="13"/>
  <c r="AO14" i="13"/>
  <c r="AN14" i="13"/>
  <c r="AM14" i="13"/>
  <c r="AL14" i="13"/>
  <c r="AP13" i="13"/>
  <c r="AO13" i="13"/>
  <c r="AN13" i="13"/>
  <c r="AM13" i="13"/>
  <c r="AL13" i="13"/>
  <c r="AP12" i="13"/>
  <c r="AO12" i="13"/>
  <c r="AN12" i="13"/>
  <c r="AM12" i="13"/>
  <c r="AL12" i="13"/>
  <c r="R27" i="13"/>
  <c r="N13" i="13"/>
  <c r="O13" i="13"/>
  <c r="P13" i="13"/>
  <c r="Q13" i="13"/>
  <c r="R13" i="13"/>
  <c r="N14" i="13"/>
  <c r="O14" i="13"/>
  <c r="P14" i="13"/>
  <c r="Q14" i="13"/>
  <c r="R14" i="13"/>
  <c r="N15" i="13"/>
  <c r="O15" i="13"/>
  <c r="P15" i="13"/>
  <c r="Q15" i="13"/>
  <c r="R15" i="13"/>
  <c r="N16" i="13"/>
  <c r="O16" i="13"/>
  <c r="P16" i="13"/>
  <c r="Q16" i="13"/>
  <c r="R16" i="13"/>
  <c r="N17" i="13"/>
  <c r="O17" i="13"/>
  <c r="P17" i="13"/>
  <c r="Q17" i="13"/>
  <c r="R17" i="13"/>
  <c r="N18" i="13"/>
  <c r="O18" i="13"/>
  <c r="P18" i="13"/>
  <c r="Q18" i="13"/>
  <c r="R18" i="13"/>
  <c r="N19" i="13"/>
  <c r="O19" i="13"/>
  <c r="P19" i="13"/>
  <c r="Q19" i="13"/>
  <c r="R19" i="13"/>
  <c r="N20" i="13"/>
  <c r="O20" i="13"/>
  <c r="P20" i="13"/>
  <c r="Q20" i="13"/>
  <c r="R20" i="13"/>
  <c r="N21" i="13"/>
  <c r="O21" i="13"/>
  <c r="P21" i="13"/>
  <c r="Q21" i="13"/>
  <c r="R21" i="13"/>
  <c r="N22" i="13"/>
  <c r="O22" i="13"/>
  <c r="P22" i="13"/>
  <c r="Q22" i="13"/>
  <c r="R22" i="13"/>
  <c r="N23" i="13"/>
  <c r="O23" i="13"/>
  <c r="P23" i="13"/>
  <c r="Q23" i="13"/>
  <c r="R23" i="13"/>
  <c r="N24" i="13"/>
  <c r="O24" i="13"/>
  <c r="P24" i="13"/>
  <c r="Q24" i="13"/>
  <c r="R24" i="13"/>
  <c r="N25" i="13"/>
  <c r="O25" i="13"/>
  <c r="P25" i="13"/>
  <c r="Q25" i="13"/>
  <c r="R25" i="13"/>
  <c r="N26" i="13"/>
  <c r="O26" i="13"/>
  <c r="P26" i="13"/>
  <c r="Q26" i="13"/>
  <c r="R26" i="13"/>
  <c r="N27" i="13"/>
  <c r="O27" i="13"/>
  <c r="P27" i="13"/>
  <c r="Q27" i="13"/>
  <c r="R12" i="13"/>
  <c r="Q12" i="13"/>
  <c r="P12" i="13"/>
  <c r="O12" i="13"/>
  <c r="N12" i="13"/>
  <c r="AC66" i="10"/>
  <c r="AD66" i="10"/>
  <c r="AC67" i="10"/>
  <c r="AD67" i="10"/>
  <c r="AC68" i="10"/>
  <c r="AD68" i="10"/>
  <c r="AC69" i="10"/>
  <c r="AD69" i="10"/>
  <c r="AC70" i="10"/>
  <c r="AD70" i="10"/>
  <c r="AC71" i="10"/>
  <c r="AD71" i="10"/>
  <c r="AC72" i="10"/>
  <c r="AD72" i="10"/>
  <c r="AC73" i="10"/>
  <c r="AD73" i="10"/>
  <c r="AC74" i="10"/>
  <c r="AD74" i="10"/>
  <c r="AC75" i="10"/>
  <c r="AD75" i="10"/>
  <c r="AC76" i="10"/>
  <c r="AD76" i="10"/>
  <c r="AC77" i="10"/>
  <c r="AD77" i="10"/>
  <c r="AC78" i="10"/>
  <c r="AD78" i="10"/>
  <c r="AC79" i="10"/>
  <c r="AD79" i="10"/>
  <c r="AC80" i="10"/>
  <c r="AD80" i="10"/>
  <c r="AC65" i="10"/>
  <c r="AD65" i="10"/>
  <c r="DJ128" i="16"/>
  <c r="DH128" i="16"/>
  <c r="DG128" i="16"/>
  <c r="DF128" i="16"/>
  <c r="DF114" i="16"/>
  <c r="DG114" i="16"/>
  <c r="DH114" i="16"/>
  <c r="DI114" i="16"/>
  <c r="DJ114" i="16"/>
  <c r="DF115" i="16"/>
  <c r="DG115" i="16"/>
  <c r="DH115" i="16"/>
  <c r="DI115" i="16"/>
  <c r="DJ115" i="16"/>
  <c r="DF116" i="16"/>
  <c r="DG116" i="16"/>
  <c r="DH116" i="16"/>
  <c r="DI116" i="16"/>
  <c r="DJ116" i="16"/>
  <c r="DF117" i="16"/>
  <c r="DG117" i="16"/>
  <c r="DH117" i="16"/>
  <c r="DI117" i="16"/>
  <c r="DJ117" i="16"/>
  <c r="DF118" i="16"/>
  <c r="DG118" i="16"/>
  <c r="DH118" i="16"/>
  <c r="DI118" i="16"/>
  <c r="DJ118" i="16"/>
  <c r="DF119" i="16"/>
  <c r="DG119" i="16"/>
  <c r="DH119" i="16"/>
  <c r="DI119" i="16"/>
  <c r="DJ119" i="16"/>
  <c r="DF120" i="16"/>
  <c r="DG120" i="16"/>
  <c r="DH120" i="16"/>
  <c r="DI120" i="16"/>
  <c r="DJ120" i="16"/>
  <c r="DF121" i="16"/>
  <c r="DG121" i="16"/>
  <c r="DH121" i="16"/>
  <c r="DI121" i="16"/>
  <c r="DJ121" i="16"/>
  <c r="DF122" i="16"/>
  <c r="DG122" i="16"/>
  <c r="DH122" i="16"/>
  <c r="DI122" i="16"/>
  <c r="DJ122" i="16"/>
  <c r="DF123" i="16"/>
  <c r="DG123" i="16"/>
  <c r="DH123" i="16"/>
  <c r="DI123" i="16"/>
  <c r="DJ123" i="16"/>
  <c r="DF124" i="16"/>
  <c r="DG124" i="16"/>
  <c r="DH124" i="16"/>
  <c r="DI124" i="16"/>
  <c r="DJ124" i="16"/>
  <c r="DF125" i="16"/>
  <c r="DG125" i="16"/>
  <c r="DH125" i="16"/>
  <c r="DI125" i="16"/>
  <c r="DJ125" i="16"/>
  <c r="DF126" i="16"/>
  <c r="DG126" i="16"/>
  <c r="DH126" i="16"/>
  <c r="DI126" i="16"/>
  <c r="DJ126" i="16"/>
  <c r="DF127" i="16"/>
  <c r="DG127" i="16"/>
  <c r="DH127" i="16"/>
  <c r="DI127" i="16"/>
  <c r="DJ127" i="16"/>
  <c r="DI128" i="16"/>
  <c r="DJ113" i="16"/>
  <c r="DI113" i="16"/>
  <c r="DH113" i="16"/>
  <c r="DG113" i="16"/>
  <c r="DF113" i="16"/>
  <c r="CH114" i="16"/>
  <c r="CI114" i="16"/>
  <c r="CJ114" i="16"/>
  <c r="CK114" i="16"/>
  <c r="CL114" i="16"/>
  <c r="CH115" i="16"/>
  <c r="CI115" i="16"/>
  <c r="CJ115" i="16"/>
  <c r="CK115" i="16"/>
  <c r="CL115" i="16"/>
  <c r="CH116" i="16"/>
  <c r="CI116" i="16"/>
  <c r="CJ116" i="16"/>
  <c r="CK116" i="16"/>
  <c r="CL116" i="16"/>
  <c r="CH117" i="16"/>
  <c r="CI117" i="16"/>
  <c r="CJ117" i="16"/>
  <c r="CK117" i="16"/>
  <c r="CL117" i="16"/>
  <c r="CH118" i="16"/>
  <c r="CI118" i="16"/>
  <c r="CJ118" i="16"/>
  <c r="CK118" i="16"/>
  <c r="CL118" i="16"/>
  <c r="CH119" i="16"/>
  <c r="CI119" i="16"/>
  <c r="CJ119" i="16"/>
  <c r="CK119" i="16"/>
  <c r="CL119" i="16"/>
  <c r="CH120" i="16"/>
  <c r="CI120" i="16"/>
  <c r="CJ120" i="16"/>
  <c r="CK120" i="16"/>
  <c r="CL120" i="16"/>
  <c r="CH121" i="16"/>
  <c r="CI121" i="16"/>
  <c r="CJ121" i="16"/>
  <c r="CK121" i="16"/>
  <c r="CL121" i="16"/>
  <c r="CH122" i="16"/>
  <c r="CI122" i="16"/>
  <c r="CJ122" i="16"/>
  <c r="CK122" i="16"/>
  <c r="CL122" i="16"/>
  <c r="CH123" i="16"/>
  <c r="CI123" i="16"/>
  <c r="CJ123" i="16"/>
  <c r="CK123" i="16"/>
  <c r="CL123" i="16"/>
  <c r="CH124" i="16"/>
  <c r="CI124" i="16"/>
  <c r="CJ124" i="16"/>
  <c r="CK124" i="16"/>
  <c r="CL124" i="16"/>
  <c r="CH125" i="16"/>
  <c r="CI125" i="16"/>
  <c r="CJ125" i="16"/>
  <c r="CK125" i="16"/>
  <c r="CL125" i="16"/>
  <c r="CH126" i="16"/>
  <c r="CI126" i="16"/>
  <c r="CJ126" i="16"/>
  <c r="CK126" i="16"/>
  <c r="CL126" i="16"/>
  <c r="CH127" i="16"/>
  <c r="CI127" i="16"/>
  <c r="CJ127" i="16"/>
  <c r="CK127" i="16"/>
  <c r="CL127" i="16"/>
  <c r="CH128" i="16"/>
  <c r="CI128" i="16"/>
  <c r="CJ128" i="16"/>
  <c r="CK128" i="16"/>
  <c r="CL128" i="16"/>
  <c r="CL113" i="16"/>
  <c r="CK113" i="16"/>
  <c r="CJ113" i="16"/>
  <c r="CI113" i="16"/>
  <c r="CH113" i="16"/>
  <c r="BJ114" i="16"/>
  <c r="BK114" i="16"/>
  <c r="BL114" i="16"/>
  <c r="BM114" i="16"/>
  <c r="BN114" i="16"/>
  <c r="BJ115" i="16"/>
  <c r="BK115" i="16"/>
  <c r="BL115" i="16"/>
  <c r="BM115" i="16"/>
  <c r="BN115" i="16"/>
  <c r="BJ116" i="16"/>
  <c r="BK116" i="16"/>
  <c r="BL116" i="16"/>
  <c r="BM116" i="16"/>
  <c r="BN116" i="16"/>
  <c r="BJ117" i="16"/>
  <c r="BK117" i="16"/>
  <c r="BL117" i="16"/>
  <c r="BM117" i="16"/>
  <c r="BN117" i="16"/>
  <c r="BJ118" i="16"/>
  <c r="BK118" i="16"/>
  <c r="BL118" i="16"/>
  <c r="BM118" i="16"/>
  <c r="BN118" i="16"/>
  <c r="BJ119" i="16"/>
  <c r="BK119" i="16"/>
  <c r="BL119" i="16"/>
  <c r="BM119" i="16"/>
  <c r="BN119" i="16"/>
  <c r="BJ120" i="16"/>
  <c r="BK120" i="16"/>
  <c r="BL120" i="16"/>
  <c r="BM120" i="16"/>
  <c r="BN120" i="16"/>
  <c r="BJ121" i="16"/>
  <c r="BK121" i="16"/>
  <c r="BL121" i="16"/>
  <c r="BM121" i="16"/>
  <c r="BN121" i="16"/>
  <c r="BJ122" i="16"/>
  <c r="BK122" i="16"/>
  <c r="BL122" i="16"/>
  <c r="BM122" i="16"/>
  <c r="BN122" i="16"/>
  <c r="BJ123" i="16"/>
  <c r="BK123" i="16"/>
  <c r="BL123" i="16"/>
  <c r="BM123" i="16"/>
  <c r="BN123" i="16"/>
  <c r="BJ124" i="16"/>
  <c r="BK124" i="16"/>
  <c r="BL124" i="16"/>
  <c r="BM124" i="16"/>
  <c r="BN124" i="16"/>
  <c r="BJ125" i="16"/>
  <c r="BK125" i="16"/>
  <c r="BL125" i="16"/>
  <c r="BM125" i="16"/>
  <c r="BN125" i="16"/>
  <c r="BJ126" i="16"/>
  <c r="BK126" i="16"/>
  <c r="BL126" i="16"/>
  <c r="BM126" i="16"/>
  <c r="BN126" i="16"/>
  <c r="BJ127" i="16"/>
  <c r="BK127" i="16"/>
  <c r="BL127" i="16"/>
  <c r="BM127" i="16"/>
  <c r="BN127" i="16"/>
  <c r="BJ128" i="16"/>
  <c r="BK128" i="16"/>
  <c r="BL128" i="16"/>
  <c r="BM128" i="16"/>
  <c r="BN128" i="16"/>
  <c r="BN113" i="16"/>
  <c r="BM113" i="16"/>
  <c r="BL113" i="16"/>
  <c r="BK113" i="16"/>
  <c r="BJ113" i="16"/>
  <c r="AL114" i="16"/>
  <c r="AM114" i="16"/>
  <c r="AN114" i="16"/>
  <c r="AO114" i="16"/>
  <c r="AP114" i="16"/>
  <c r="AL115" i="16"/>
  <c r="AM115" i="16"/>
  <c r="AN115" i="16"/>
  <c r="AO115" i="16"/>
  <c r="AP115" i="16"/>
  <c r="AL116" i="16"/>
  <c r="AM116" i="16"/>
  <c r="AN116" i="16"/>
  <c r="AO116" i="16"/>
  <c r="AP116" i="16"/>
  <c r="AL117" i="16"/>
  <c r="AM117" i="16"/>
  <c r="AN117" i="16"/>
  <c r="AO117" i="16"/>
  <c r="AP117" i="16"/>
  <c r="AL118" i="16"/>
  <c r="AM118" i="16"/>
  <c r="AN118" i="16"/>
  <c r="AO118" i="16"/>
  <c r="AP118" i="16"/>
  <c r="AL119" i="16"/>
  <c r="AM119" i="16"/>
  <c r="AN119" i="16"/>
  <c r="AO119" i="16"/>
  <c r="AP119" i="16"/>
  <c r="AL120" i="16"/>
  <c r="AM120" i="16"/>
  <c r="AN120" i="16"/>
  <c r="AO120" i="16"/>
  <c r="AP120" i="16"/>
  <c r="AL121" i="16"/>
  <c r="AM121" i="16"/>
  <c r="AN121" i="16"/>
  <c r="AO121" i="16"/>
  <c r="AP121" i="16"/>
  <c r="AL122" i="16"/>
  <c r="AM122" i="16"/>
  <c r="AN122" i="16"/>
  <c r="AO122" i="16"/>
  <c r="AP122" i="16"/>
  <c r="AL123" i="16"/>
  <c r="AM123" i="16"/>
  <c r="AN123" i="16"/>
  <c r="AO123" i="16"/>
  <c r="AP123" i="16"/>
  <c r="AL124" i="16"/>
  <c r="AM124" i="16"/>
  <c r="AN124" i="16"/>
  <c r="AO124" i="16"/>
  <c r="AP124" i="16"/>
  <c r="AL125" i="16"/>
  <c r="AM125" i="16"/>
  <c r="AN125" i="16"/>
  <c r="AO125" i="16"/>
  <c r="AP125" i="16"/>
  <c r="AL126" i="16"/>
  <c r="AM126" i="16"/>
  <c r="AN126" i="16"/>
  <c r="AO126" i="16"/>
  <c r="AP126" i="16"/>
  <c r="AL127" i="16"/>
  <c r="AM127" i="16"/>
  <c r="AN127" i="16"/>
  <c r="AO127" i="16"/>
  <c r="AP127" i="16"/>
  <c r="AL128" i="16"/>
  <c r="AM128" i="16"/>
  <c r="AN128" i="16"/>
  <c r="AO128" i="16"/>
  <c r="AP128" i="16"/>
  <c r="AP113" i="16"/>
  <c r="AO113" i="16"/>
  <c r="AN113" i="16"/>
  <c r="AM113" i="16"/>
  <c r="AL113" i="16"/>
  <c r="R128" i="16"/>
  <c r="Q128" i="16"/>
  <c r="P128" i="16"/>
  <c r="O128" i="16"/>
  <c r="N128" i="16"/>
  <c r="R127" i="16"/>
  <c r="Q127" i="16"/>
  <c r="P127" i="16"/>
  <c r="O127" i="16"/>
  <c r="N127" i="16"/>
  <c r="R126" i="16"/>
  <c r="Q126" i="16"/>
  <c r="P126" i="16"/>
  <c r="O126" i="16"/>
  <c r="N126" i="16"/>
  <c r="R125" i="16"/>
  <c r="Q125" i="16"/>
  <c r="P125" i="16"/>
  <c r="O125" i="16"/>
  <c r="N125" i="16"/>
  <c r="R124" i="16"/>
  <c r="Q124" i="16"/>
  <c r="P124" i="16"/>
  <c r="O124" i="16"/>
  <c r="N124" i="16"/>
  <c r="R123" i="16"/>
  <c r="Q123" i="16"/>
  <c r="P123" i="16"/>
  <c r="O123" i="16"/>
  <c r="N123" i="16"/>
  <c r="R122" i="16"/>
  <c r="Q122" i="16"/>
  <c r="P122" i="16"/>
  <c r="O122" i="16"/>
  <c r="N122" i="16"/>
  <c r="R121" i="16"/>
  <c r="Q121" i="16"/>
  <c r="P121" i="16"/>
  <c r="O121" i="16"/>
  <c r="N121" i="16"/>
  <c r="R120" i="16"/>
  <c r="Q120" i="16"/>
  <c r="P120" i="16"/>
  <c r="O120" i="16"/>
  <c r="N120" i="16"/>
  <c r="R119" i="16"/>
  <c r="Q119" i="16"/>
  <c r="P119" i="16"/>
  <c r="O119" i="16"/>
  <c r="N119" i="16"/>
  <c r="R118" i="16"/>
  <c r="Q118" i="16"/>
  <c r="P118" i="16"/>
  <c r="O118" i="16"/>
  <c r="N118" i="16"/>
  <c r="R117" i="16"/>
  <c r="Q117" i="16"/>
  <c r="P117" i="16"/>
  <c r="O117" i="16"/>
  <c r="N117" i="16"/>
  <c r="R116" i="16"/>
  <c r="Q116" i="16"/>
  <c r="P116" i="16"/>
  <c r="O116" i="16"/>
  <c r="N116" i="16"/>
  <c r="R115" i="16"/>
  <c r="Q115" i="16"/>
  <c r="P115" i="16"/>
  <c r="O115" i="16"/>
  <c r="N115" i="16"/>
  <c r="R114" i="16"/>
  <c r="Q114" i="16"/>
  <c r="P114" i="16"/>
  <c r="O114" i="16"/>
  <c r="N114" i="16"/>
  <c r="R113" i="16"/>
  <c r="Q113" i="16"/>
  <c r="P113" i="16"/>
  <c r="O113" i="16"/>
  <c r="N113" i="16"/>
  <c r="DJ128" i="15"/>
  <c r="DI128" i="15"/>
  <c r="DH128" i="15"/>
  <c r="DG128" i="15"/>
  <c r="DF128" i="15"/>
  <c r="DJ127" i="15"/>
  <c r="DI127" i="15"/>
  <c r="DH127" i="15"/>
  <c r="DG127" i="15"/>
  <c r="DF127" i="15"/>
  <c r="DJ126" i="15"/>
  <c r="DI126" i="15"/>
  <c r="DH126" i="15"/>
  <c r="DG126" i="15"/>
  <c r="DF126" i="15"/>
  <c r="DJ125" i="15"/>
  <c r="DI125" i="15"/>
  <c r="DH125" i="15"/>
  <c r="DG125" i="15"/>
  <c r="DF125" i="15"/>
  <c r="DJ124" i="15"/>
  <c r="DI124" i="15"/>
  <c r="DH124" i="15"/>
  <c r="DG124" i="15"/>
  <c r="DF124" i="15"/>
  <c r="DJ123" i="15"/>
  <c r="DI123" i="15"/>
  <c r="DH123" i="15"/>
  <c r="DG123" i="15"/>
  <c r="DF123" i="15"/>
  <c r="DJ122" i="15"/>
  <c r="DI122" i="15"/>
  <c r="DH122" i="15"/>
  <c r="DG122" i="15"/>
  <c r="DF122" i="15"/>
  <c r="DJ121" i="15"/>
  <c r="DI121" i="15"/>
  <c r="DH121" i="15"/>
  <c r="DG121" i="15"/>
  <c r="DF121" i="15"/>
  <c r="DJ120" i="15"/>
  <c r="DI120" i="15"/>
  <c r="DH120" i="15"/>
  <c r="DG120" i="15"/>
  <c r="DF120" i="15"/>
  <c r="DJ119" i="15"/>
  <c r="DI119" i="15"/>
  <c r="DH119" i="15"/>
  <c r="DG119" i="15"/>
  <c r="DF119" i="15"/>
  <c r="DJ118" i="15"/>
  <c r="DI118" i="15"/>
  <c r="DH118" i="15"/>
  <c r="DG118" i="15"/>
  <c r="DF118" i="15"/>
  <c r="DJ117" i="15"/>
  <c r="DI117" i="15"/>
  <c r="DH117" i="15"/>
  <c r="DG117" i="15"/>
  <c r="DF117" i="15"/>
  <c r="DJ116" i="15"/>
  <c r="DI116" i="15"/>
  <c r="DH116" i="15"/>
  <c r="DG116" i="15"/>
  <c r="DF116" i="15"/>
  <c r="DJ115" i="15"/>
  <c r="DI115" i="15"/>
  <c r="DH115" i="15"/>
  <c r="DG115" i="15"/>
  <c r="DF115" i="15"/>
  <c r="DJ114" i="15"/>
  <c r="DI114" i="15"/>
  <c r="DH114" i="15"/>
  <c r="DG114" i="15"/>
  <c r="DF114" i="15"/>
  <c r="DJ113" i="15"/>
  <c r="DI113" i="15"/>
  <c r="DH113" i="15"/>
  <c r="DG113" i="15"/>
  <c r="DF113" i="15"/>
  <c r="CL128" i="15"/>
  <c r="CK128" i="15"/>
  <c r="CJ128" i="15"/>
  <c r="CI128" i="15"/>
  <c r="CH128" i="15"/>
  <c r="CL127" i="15"/>
  <c r="CK127" i="15"/>
  <c r="CJ127" i="15"/>
  <c r="CI127" i="15"/>
  <c r="CH127" i="15"/>
  <c r="CL126" i="15"/>
  <c r="CK126" i="15"/>
  <c r="CJ126" i="15"/>
  <c r="CI126" i="15"/>
  <c r="CH126" i="15"/>
  <c r="CL125" i="15"/>
  <c r="CK125" i="15"/>
  <c r="CJ125" i="15"/>
  <c r="CI125" i="15"/>
  <c r="CH125" i="15"/>
  <c r="CL124" i="15"/>
  <c r="CK124" i="15"/>
  <c r="CJ124" i="15"/>
  <c r="CI124" i="15"/>
  <c r="CH124" i="15"/>
  <c r="CL123" i="15"/>
  <c r="CK123" i="15"/>
  <c r="CJ123" i="15"/>
  <c r="CI123" i="15"/>
  <c r="CH123" i="15"/>
  <c r="CL122" i="15"/>
  <c r="CK122" i="15"/>
  <c r="CJ122" i="15"/>
  <c r="CI122" i="15"/>
  <c r="CH122" i="15"/>
  <c r="CL121" i="15"/>
  <c r="CK121" i="15"/>
  <c r="CJ121" i="15"/>
  <c r="CI121" i="15"/>
  <c r="CH121" i="15"/>
  <c r="CL120" i="15"/>
  <c r="CK120" i="15"/>
  <c r="CJ120" i="15"/>
  <c r="CI120" i="15"/>
  <c r="CH120" i="15"/>
  <c r="CL119" i="15"/>
  <c r="CK119" i="15"/>
  <c r="CJ119" i="15"/>
  <c r="CI119" i="15"/>
  <c r="CH119" i="15"/>
  <c r="CL118" i="15"/>
  <c r="CK118" i="15"/>
  <c r="CJ118" i="15"/>
  <c r="CI118" i="15"/>
  <c r="CH118" i="15"/>
  <c r="CL117" i="15"/>
  <c r="CK117" i="15"/>
  <c r="CJ117" i="15"/>
  <c r="CI117" i="15"/>
  <c r="CH117" i="15"/>
  <c r="CL116" i="15"/>
  <c r="CK116" i="15"/>
  <c r="CJ116" i="15"/>
  <c r="CI116" i="15"/>
  <c r="CH116" i="15"/>
  <c r="CL115" i="15"/>
  <c r="CK115" i="15"/>
  <c r="CJ115" i="15"/>
  <c r="CI115" i="15"/>
  <c r="CH115" i="15"/>
  <c r="CL114" i="15"/>
  <c r="CK114" i="15"/>
  <c r="CJ114" i="15"/>
  <c r="CI114" i="15"/>
  <c r="CH114" i="15"/>
  <c r="CL113" i="15"/>
  <c r="CK113" i="15"/>
  <c r="CJ113" i="15"/>
  <c r="CI113" i="15"/>
  <c r="CH113" i="15"/>
  <c r="BN128" i="15"/>
  <c r="BM128" i="15"/>
  <c r="BL128" i="15"/>
  <c r="BK128" i="15"/>
  <c r="BJ128" i="15"/>
  <c r="BN127" i="15"/>
  <c r="BM127" i="15"/>
  <c r="BL127" i="15"/>
  <c r="BK127" i="15"/>
  <c r="BJ127" i="15"/>
  <c r="BN126" i="15"/>
  <c r="BM126" i="15"/>
  <c r="BL126" i="15"/>
  <c r="BK126" i="15"/>
  <c r="BJ126" i="15"/>
  <c r="BN125" i="15"/>
  <c r="BM125" i="15"/>
  <c r="BL125" i="15"/>
  <c r="BK125" i="15"/>
  <c r="BJ125" i="15"/>
  <c r="BN124" i="15"/>
  <c r="BM124" i="15"/>
  <c r="BL124" i="15"/>
  <c r="BK124" i="15"/>
  <c r="BJ124" i="15"/>
  <c r="BN123" i="15"/>
  <c r="BM123" i="15"/>
  <c r="BL123" i="15"/>
  <c r="BK123" i="15"/>
  <c r="BJ123" i="15"/>
  <c r="BN122" i="15"/>
  <c r="BM122" i="15"/>
  <c r="BL122" i="15"/>
  <c r="BK122" i="15"/>
  <c r="BJ122" i="15"/>
  <c r="BN121" i="15"/>
  <c r="BM121" i="15"/>
  <c r="BL121" i="15"/>
  <c r="BK121" i="15"/>
  <c r="BJ121" i="15"/>
  <c r="BN120" i="15"/>
  <c r="BM120" i="15"/>
  <c r="BL120" i="15"/>
  <c r="BK120" i="15"/>
  <c r="BJ120" i="15"/>
  <c r="BN119" i="15"/>
  <c r="BM119" i="15"/>
  <c r="BL119" i="15"/>
  <c r="BK119" i="15"/>
  <c r="BJ119" i="15"/>
  <c r="BN118" i="15"/>
  <c r="BM118" i="15"/>
  <c r="BL118" i="15"/>
  <c r="BK118" i="15"/>
  <c r="BJ118" i="15"/>
  <c r="BN117" i="15"/>
  <c r="BM117" i="15"/>
  <c r="BL117" i="15"/>
  <c r="BK117" i="15"/>
  <c r="BJ117" i="15"/>
  <c r="BN116" i="15"/>
  <c r="BM116" i="15"/>
  <c r="BL116" i="15"/>
  <c r="BK116" i="15"/>
  <c r="BJ116" i="15"/>
  <c r="BN115" i="15"/>
  <c r="BM115" i="15"/>
  <c r="BL115" i="15"/>
  <c r="BK115" i="15"/>
  <c r="BJ115" i="15"/>
  <c r="BN114" i="15"/>
  <c r="BM114" i="15"/>
  <c r="BL114" i="15"/>
  <c r="BK114" i="15"/>
  <c r="BJ114" i="15"/>
  <c r="BN113" i="15"/>
  <c r="BM113" i="15"/>
  <c r="BL113" i="15"/>
  <c r="BK113" i="15"/>
  <c r="BJ113" i="15"/>
  <c r="AP128" i="15"/>
  <c r="AO128" i="15"/>
  <c r="AN128" i="15"/>
  <c r="AM128" i="15"/>
  <c r="AL128" i="15"/>
  <c r="AP127" i="15"/>
  <c r="AO127" i="15"/>
  <c r="AN127" i="15"/>
  <c r="AM127" i="15"/>
  <c r="AL127" i="15"/>
  <c r="AP126" i="15"/>
  <c r="AO126" i="15"/>
  <c r="AN126" i="15"/>
  <c r="AM126" i="15"/>
  <c r="AL126" i="15"/>
  <c r="AP125" i="15"/>
  <c r="AO125" i="15"/>
  <c r="AN125" i="15"/>
  <c r="AM125" i="15"/>
  <c r="AL125" i="15"/>
  <c r="AP124" i="15"/>
  <c r="AO124" i="15"/>
  <c r="AN124" i="15"/>
  <c r="AM124" i="15"/>
  <c r="AL124" i="15"/>
  <c r="AP123" i="15"/>
  <c r="AO123" i="15"/>
  <c r="AN123" i="15"/>
  <c r="AM123" i="15"/>
  <c r="AL123" i="15"/>
  <c r="AP122" i="15"/>
  <c r="AO122" i="15"/>
  <c r="AN122" i="15"/>
  <c r="AM122" i="15"/>
  <c r="AL122" i="15"/>
  <c r="AP121" i="15"/>
  <c r="AO121" i="15"/>
  <c r="AN121" i="15"/>
  <c r="AM121" i="15"/>
  <c r="AL121" i="15"/>
  <c r="AP120" i="15"/>
  <c r="AO120" i="15"/>
  <c r="AN120" i="15"/>
  <c r="AM120" i="15"/>
  <c r="AL120" i="15"/>
  <c r="AP119" i="15"/>
  <c r="AO119" i="15"/>
  <c r="AN119" i="15"/>
  <c r="AM119" i="15"/>
  <c r="AL119" i="15"/>
  <c r="AP118" i="15"/>
  <c r="AO118" i="15"/>
  <c r="AN118" i="15"/>
  <c r="AM118" i="15"/>
  <c r="AL118" i="15"/>
  <c r="AP117" i="15"/>
  <c r="AO117" i="15"/>
  <c r="AN117" i="15"/>
  <c r="AM117" i="15"/>
  <c r="AL117" i="15"/>
  <c r="AP116" i="15"/>
  <c r="AO116" i="15"/>
  <c r="AN116" i="15"/>
  <c r="AM116" i="15"/>
  <c r="AL116" i="15"/>
  <c r="AP115" i="15"/>
  <c r="AO115" i="15"/>
  <c r="AN115" i="15"/>
  <c r="AM115" i="15"/>
  <c r="AL115" i="15"/>
  <c r="AP114" i="15"/>
  <c r="AO114" i="15"/>
  <c r="AN114" i="15"/>
  <c r="AM114" i="15"/>
  <c r="AL114" i="15"/>
  <c r="AP113" i="15"/>
  <c r="AO113" i="15"/>
  <c r="AN113" i="15"/>
  <c r="AM113" i="15"/>
  <c r="AL113" i="15"/>
  <c r="R128" i="15"/>
  <c r="Q128" i="15"/>
  <c r="P128" i="15"/>
  <c r="O128" i="15"/>
  <c r="N128" i="15"/>
  <c r="R127" i="15"/>
  <c r="Q127" i="15"/>
  <c r="P127" i="15"/>
  <c r="O127" i="15"/>
  <c r="N127" i="15"/>
  <c r="R126" i="15"/>
  <c r="Q126" i="15"/>
  <c r="P126" i="15"/>
  <c r="O126" i="15"/>
  <c r="N126" i="15"/>
  <c r="R125" i="15"/>
  <c r="Q125" i="15"/>
  <c r="P125" i="15"/>
  <c r="O125" i="15"/>
  <c r="N125" i="15"/>
  <c r="R124" i="15"/>
  <c r="Q124" i="15"/>
  <c r="P124" i="15"/>
  <c r="O124" i="15"/>
  <c r="N124" i="15"/>
  <c r="R123" i="15"/>
  <c r="Q123" i="15"/>
  <c r="P123" i="15"/>
  <c r="O123" i="15"/>
  <c r="N123" i="15"/>
  <c r="R122" i="15"/>
  <c r="Q122" i="15"/>
  <c r="P122" i="15"/>
  <c r="O122" i="15"/>
  <c r="N122" i="15"/>
  <c r="R121" i="15"/>
  <c r="Q121" i="15"/>
  <c r="P121" i="15"/>
  <c r="O121" i="15"/>
  <c r="N121" i="15"/>
  <c r="R120" i="15"/>
  <c r="Q120" i="15"/>
  <c r="P120" i="15"/>
  <c r="O120" i="15"/>
  <c r="N120" i="15"/>
  <c r="R119" i="15"/>
  <c r="Q119" i="15"/>
  <c r="P119" i="15"/>
  <c r="O119" i="15"/>
  <c r="N119" i="15"/>
  <c r="R118" i="15"/>
  <c r="Q118" i="15"/>
  <c r="P118" i="15"/>
  <c r="O118" i="15"/>
  <c r="N118" i="15"/>
  <c r="R117" i="15"/>
  <c r="Q117" i="15"/>
  <c r="P117" i="15"/>
  <c r="O117" i="15"/>
  <c r="N117" i="15"/>
  <c r="R116" i="15"/>
  <c r="Q116" i="15"/>
  <c r="P116" i="15"/>
  <c r="O116" i="15"/>
  <c r="N116" i="15"/>
  <c r="R115" i="15"/>
  <c r="Q115" i="15"/>
  <c r="P115" i="15"/>
  <c r="O115" i="15"/>
  <c r="N115" i="15"/>
  <c r="R114" i="15"/>
  <c r="Q114" i="15"/>
  <c r="P114" i="15"/>
  <c r="O114" i="15"/>
  <c r="N114" i="15"/>
  <c r="R113" i="15"/>
  <c r="Q113" i="15"/>
  <c r="P113" i="15"/>
  <c r="O113" i="15"/>
  <c r="N113" i="15"/>
  <c r="R128" i="14"/>
  <c r="Q128" i="14"/>
  <c r="P128" i="14"/>
  <c r="O128" i="14"/>
  <c r="N128" i="14"/>
  <c r="R127" i="14"/>
  <c r="Q127" i="14"/>
  <c r="P127" i="14"/>
  <c r="O127" i="14"/>
  <c r="N127" i="14"/>
  <c r="R126" i="14"/>
  <c r="Q126" i="14"/>
  <c r="P126" i="14"/>
  <c r="O126" i="14"/>
  <c r="N126" i="14"/>
  <c r="R125" i="14"/>
  <c r="Q125" i="14"/>
  <c r="P125" i="14"/>
  <c r="O125" i="14"/>
  <c r="N125" i="14"/>
  <c r="R124" i="14"/>
  <c r="Q124" i="14"/>
  <c r="P124" i="14"/>
  <c r="O124" i="14"/>
  <c r="N124" i="14"/>
  <c r="R123" i="14"/>
  <c r="Q123" i="14"/>
  <c r="P123" i="14"/>
  <c r="O123" i="14"/>
  <c r="N123" i="14"/>
  <c r="R122" i="14"/>
  <c r="Q122" i="14"/>
  <c r="P122" i="14"/>
  <c r="O122" i="14"/>
  <c r="N122" i="14"/>
  <c r="R121" i="14"/>
  <c r="Q121" i="14"/>
  <c r="P121" i="14"/>
  <c r="O121" i="14"/>
  <c r="N121" i="14"/>
  <c r="R120" i="14"/>
  <c r="Q120" i="14"/>
  <c r="P120" i="14"/>
  <c r="O120" i="14"/>
  <c r="N120" i="14"/>
  <c r="R119" i="14"/>
  <c r="Q119" i="14"/>
  <c r="P119" i="14"/>
  <c r="O119" i="14"/>
  <c r="N119" i="14"/>
  <c r="R118" i="14"/>
  <c r="Q118" i="14"/>
  <c r="P118" i="14"/>
  <c r="O118" i="14"/>
  <c r="N118" i="14"/>
  <c r="R117" i="14"/>
  <c r="Q117" i="14"/>
  <c r="P117" i="14"/>
  <c r="O117" i="14"/>
  <c r="N117" i="14"/>
  <c r="R116" i="14"/>
  <c r="Q116" i="14"/>
  <c r="P116" i="14"/>
  <c r="O116" i="14"/>
  <c r="N116" i="14"/>
  <c r="R115" i="14"/>
  <c r="Q115" i="14"/>
  <c r="P115" i="14"/>
  <c r="O115" i="14"/>
  <c r="N115" i="14"/>
  <c r="R114" i="14"/>
  <c r="Q114" i="14"/>
  <c r="P114" i="14"/>
  <c r="O114" i="14"/>
  <c r="N114" i="14"/>
  <c r="R113" i="14"/>
  <c r="Q113" i="14"/>
  <c r="P113" i="14"/>
  <c r="O113" i="14"/>
  <c r="N113" i="14"/>
  <c r="AP128" i="14"/>
  <c r="AO128" i="14"/>
  <c r="AN128" i="14"/>
  <c r="AM128" i="14"/>
  <c r="AL128" i="14"/>
  <c r="AP127" i="14"/>
  <c r="AO127" i="14"/>
  <c r="AN127" i="14"/>
  <c r="AM127" i="14"/>
  <c r="AL127" i="14"/>
  <c r="AP126" i="14"/>
  <c r="AO126" i="14"/>
  <c r="AN126" i="14"/>
  <c r="AM126" i="14"/>
  <c r="AL126" i="14"/>
  <c r="AP125" i="14"/>
  <c r="AO125" i="14"/>
  <c r="AN125" i="14"/>
  <c r="AM125" i="14"/>
  <c r="AL125" i="14"/>
  <c r="AP124" i="14"/>
  <c r="AO124" i="14"/>
  <c r="AN124" i="14"/>
  <c r="AM124" i="14"/>
  <c r="AL124" i="14"/>
  <c r="AP123" i="14"/>
  <c r="AO123" i="14"/>
  <c r="AN123" i="14"/>
  <c r="AM123" i="14"/>
  <c r="AL123" i="14"/>
  <c r="AP122" i="14"/>
  <c r="AO122" i="14"/>
  <c r="AN122" i="14"/>
  <c r="AM122" i="14"/>
  <c r="AL122" i="14"/>
  <c r="AP121" i="14"/>
  <c r="AO121" i="14"/>
  <c r="AN121" i="14"/>
  <c r="AM121" i="14"/>
  <c r="AL121" i="14"/>
  <c r="AP120" i="14"/>
  <c r="AO120" i="14"/>
  <c r="AN120" i="14"/>
  <c r="AM120" i="14"/>
  <c r="AL120" i="14"/>
  <c r="AP119" i="14"/>
  <c r="AO119" i="14"/>
  <c r="AN119" i="14"/>
  <c r="AM119" i="14"/>
  <c r="AL119" i="14"/>
  <c r="AP118" i="14"/>
  <c r="AO118" i="14"/>
  <c r="AN118" i="14"/>
  <c r="AM118" i="14"/>
  <c r="AL118" i="14"/>
  <c r="AP117" i="14"/>
  <c r="AO117" i="14"/>
  <c r="AN117" i="14"/>
  <c r="AM117" i="14"/>
  <c r="AL117" i="14"/>
  <c r="AP116" i="14"/>
  <c r="AO116" i="14"/>
  <c r="AN116" i="14"/>
  <c r="AM116" i="14"/>
  <c r="AL116" i="14"/>
  <c r="AP115" i="14"/>
  <c r="AO115" i="14"/>
  <c r="AN115" i="14"/>
  <c r="AM115" i="14"/>
  <c r="AL115" i="14"/>
  <c r="AP114" i="14"/>
  <c r="AO114" i="14"/>
  <c r="AN114" i="14"/>
  <c r="AM114" i="14"/>
  <c r="AL114" i="14"/>
  <c r="AP113" i="14"/>
  <c r="AO113" i="14"/>
  <c r="AN113" i="14"/>
  <c r="AM113" i="14"/>
  <c r="AL113" i="14"/>
  <c r="BN128" i="14"/>
  <c r="BM128" i="14"/>
  <c r="BL128" i="14"/>
  <c r="BK128" i="14"/>
  <c r="BJ128" i="14"/>
  <c r="BN127" i="14"/>
  <c r="BM127" i="14"/>
  <c r="BL127" i="14"/>
  <c r="BK127" i="14"/>
  <c r="BJ127" i="14"/>
  <c r="BN126" i="14"/>
  <c r="BM126" i="14"/>
  <c r="BL126" i="14"/>
  <c r="BK126" i="14"/>
  <c r="BJ126" i="14"/>
  <c r="BN125" i="14"/>
  <c r="BM125" i="14"/>
  <c r="BL125" i="14"/>
  <c r="BK125" i="14"/>
  <c r="BJ125" i="14"/>
  <c r="BN124" i="14"/>
  <c r="BM124" i="14"/>
  <c r="BL124" i="14"/>
  <c r="BK124" i="14"/>
  <c r="BJ124" i="14"/>
  <c r="BN123" i="14"/>
  <c r="BM123" i="14"/>
  <c r="BL123" i="14"/>
  <c r="BK123" i="14"/>
  <c r="BJ123" i="14"/>
  <c r="BN122" i="14"/>
  <c r="BM122" i="14"/>
  <c r="BL122" i="14"/>
  <c r="BK122" i="14"/>
  <c r="BJ122" i="14"/>
  <c r="BN121" i="14"/>
  <c r="BM121" i="14"/>
  <c r="BL121" i="14"/>
  <c r="BK121" i="14"/>
  <c r="BJ121" i="14"/>
  <c r="BN120" i="14"/>
  <c r="BM120" i="14"/>
  <c r="BL120" i="14"/>
  <c r="BK120" i="14"/>
  <c r="BJ120" i="14"/>
  <c r="BN119" i="14"/>
  <c r="BM119" i="14"/>
  <c r="BL119" i="14"/>
  <c r="BK119" i="14"/>
  <c r="BJ119" i="14"/>
  <c r="BN118" i="14"/>
  <c r="BM118" i="14"/>
  <c r="BL118" i="14"/>
  <c r="BK118" i="14"/>
  <c r="BJ118" i="14"/>
  <c r="BN117" i="14"/>
  <c r="BM117" i="14"/>
  <c r="BL117" i="14"/>
  <c r="BK117" i="14"/>
  <c r="BJ117" i="14"/>
  <c r="BN116" i="14"/>
  <c r="BM116" i="14"/>
  <c r="BL116" i="14"/>
  <c r="BK116" i="14"/>
  <c r="BJ116" i="14"/>
  <c r="BN115" i="14"/>
  <c r="BM115" i="14"/>
  <c r="BL115" i="14"/>
  <c r="BK115" i="14"/>
  <c r="BJ115" i="14"/>
  <c r="BN114" i="14"/>
  <c r="BM114" i="14"/>
  <c r="BL114" i="14"/>
  <c r="BK114" i="14"/>
  <c r="BJ114" i="14"/>
  <c r="BN113" i="14"/>
  <c r="BM113" i="14"/>
  <c r="BL113" i="14"/>
  <c r="BK113" i="14"/>
  <c r="BJ113" i="14"/>
  <c r="CL128" i="14"/>
  <c r="CK128" i="14"/>
  <c r="CJ128" i="14"/>
  <c r="CI128" i="14"/>
  <c r="CH128" i="14"/>
  <c r="CL127" i="14"/>
  <c r="CK127" i="14"/>
  <c r="CJ127" i="14"/>
  <c r="CI127" i="14"/>
  <c r="CH127" i="14"/>
  <c r="CL126" i="14"/>
  <c r="CK126" i="14"/>
  <c r="CJ126" i="14"/>
  <c r="CI126" i="14"/>
  <c r="CH126" i="14"/>
  <c r="CL125" i="14"/>
  <c r="CK125" i="14"/>
  <c r="CJ125" i="14"/>
  <c r="CI125" i="14"/>
  <c r="CH125" i="14"/>
  <c r="CL124" i="14"/>
  <c r="CK124" i="14"/>
  <c r="CJ124" i="14"/>
  <c r="CI124" i="14"/>
  <c r="CH124" i="14"/>
  <c r="CL123" i="14"/>
  <c r="CK123" i="14"/>
  <c r="CJ123" i="14"/>
  <c r="CI123" i="14"/>
  <c r="CH123" i="14"/>
  <c r="CL122" i="14"/>
  <c r="CK122" i="14"/>
  <c r="CJ122" i="14"/>
  <c r="CI122" i="14"/>
  <c r="CH122" i="14"/>
  <c r="CL121" i="14"/>
  <c r="CK121" i="14"/>
  <c r="CJ121" i="14"/>
  <c r="CI121" i="14"/>
  <c r="CH121" i="14"/>
  <c r="CL120" i="14"/>
  <c r="CK120" i="14"/>
  <c r="CJ120" i="14"/>
  <c r="CI120" i="14"/>
  <c r="CH120" i="14"/>
  <c r="CL119" i="14"/>
  <c r="CK119" i="14"/>
  <c r="CJ119" i="14"/>
  <c r="CI119" i="14"/>
  <c r="CH119" i="14"/>
  <c r="CL118" i="14"/>
  <c r="CK118" i="14"/>
  <c r="CJ118" i="14"/>
  <c r="CI118" i="14"/>
  <c r="CH118" i="14"/>
  <c r="CL117" i="14"/>
  <c r="CK117" i="14"/>
  <c r="CJ117" i="14"/>
  <c r="CI117" i="14"/>
  <c r="CH117" i="14"/>
  <c r="CL116" i="14"/>
  <c r="CK116" i="14"/>
  <c r="CJ116" i="14"/>
  <c r="CI116" i="14"/>
  <c r="CH116" i="14"/>
  <c r="CL115" i="14"/>
  <c r="CK115" i="14"/>
  <c r="CJ115" i="14"/>
  <c r="CI115" i="14"/>
  <c r="CH115" i="14"/>
  <c r="CL114" i="14"/>
  <c r="CK114" i="14"/>
  <c r="CJ114" i="14"/>
  <c r="CI114" i="14"/>
  <c r="CH114" i="14"/>
  <c r="CL113" i="14"/>
  <c r="CK113" i="14"/>
  <c r="CJ113" i="14"/>
  <c r="CI113" i="14"/>
  <c r="CH113" i="14"/>
  <c r="DJ128" i="14"/>
  <c r="DI128" i="14"/>
  <c r="DH128" i="14"/>
  <c r="DG128" i="14"/>
  <c r="DF128" i="14"/>
  <c r="DJ127" i="14"/>
  <c r="DI127" i="14"/>
  <c r="DH127" i="14"/>
  <c r="DG127" i="14"/>
  <c r="DF127" i="14"/>
  <c r="DJ126" i="14"/>
  <c r="DI126" i="14"/>
  <c r="DH126" i="14"/>
  <c r="DG126" i="14"/>
  <c r="DF126" i="14"/>
  <c r="DJ125" i="14"/>
  <c r="DI125" i="14"/>
  <c r="DH125" i="14"/>
  <c r="DG125" i="14"/>
  <c r="DF125" i="14"/>
  <c r="DJ124" i="14"/>
  <c r="DI124" i="14"/>
  <c r="DH124" i="14"/>
  <c r="DG124" i="14"/>
  <c r="DF124" i="14"/>
  <c r="DJ123" i="14"/>
  <c r="DI123" i="14"/>
  <c r="DH123" i="14"/>
  <c r="DG123" i="14"/>
  <c r="DF123" i="14"/>
  <c r="DJ122" i="14"/>
  <c r="DI122" i="14"/>
  <c r="DH122" i="14"/>
  <c r="DG122" i="14"/>
  <c r="DF122" i="14"/>
  <c r="DJ121" i="14"/>
  <c r="DI121" i="14"/>
  <c r="DH121" i="14"/>
  <c r="DG121" i="14"/>
  <c r="DF121" i="14"/>
  <c r="DJ120" i="14"/>
  <c r="DI120" i="14"/>
  <c r="DH120" i="14"/>
  <c r="DG120" i="14"/>
  <c r="DF120" i="14"/>
  <c r="DJ119" i="14"/>
  <c r="DI119" i="14"/>
  <c r="DH119" i="14"/>
  <c r="DG119" i="14"/>
  <c r="DF119" i="14"/>
  <c r="DJ118" i="14"/>
  <c r="DI118" i="14"/>
  <c r="DH118" i="14"/>
  <c r="DG118" i="14"/>
  <c r="DF118" i="14"/>
  <c r="DJ117" i="14"/>
  <c r="DI117" i="14"/>
  <c r="DH117" i="14"/>
  <c r="DG117" i="14"/>
  <c r="DF117" i="14"/>
  <c r="DJ116" i="14"/>
  <c r="DI116" i="14"/>
  <c r="DH116" i="14"/>
  <c r="DG116" i="14"/>
  <c r="DF116" i="14"/>
  <c r="DJ115" i="14"/>
  <c r="DI115" i="14"/>
  <c r="DH115" i="14"/>
  <c r="DG115" i="14"/>
  <c r="DF115" i="14"/>
  <c r="DJ114" i="14"/>
  <c r="DI114" i="14"/>
  <c r="DH114" i="14"/>
  <c r="DG114" i="14"/>
  <c r="DF114" i="14"/>
  <c r="DJ113" i="14"/>
  <c r="DI113" i="14"/>
  <c r="DH113" i="14"/>
  <c r="DG113" i="14"/>
  <c r="DF113" i="14"/>
  <c r="DJ128" i="13"/>
  <c r="DI128" i="13"/>
  <c r="DH128" i="13"/>
  <c r="DG128" i="13"/>
  <c r="DF128" i="13"/>
  <c r="DJ127" i="13"/>
  <c r="DI127" i="13"/>
  <c r="DH127" i="13"/>
  <c r="DG127" i="13"/>
  <c r="DF127" i="13"/>
  <c r="DJ126" i="13"/>
  <c r="DI126" i="13"/>
  <c r="DH126" i="13"/>
  <c r="DG126" i="13"/>
  <c r="DF126" i="13"/>
  <c r="DJ125" i="13"/>
  <c r="DI125" i="13"/>
  <c r="DH125" i="13"/>
  <c r="DG125" i="13"/>
  <c r="DF125" i="13"/>
  <c r="DJ124" i="13"/>
  <c r="DI124" i="13"/>
  <c r="DH124" i="13"/>
  <c r="DG124" i="13"/>
  <c r="DF124" i="13"/>
  <c r="DJ123" i="13"/>
  <c r="DI123" i="13"/>
  <c r="DH123" i="13"/>
  <c r="DG123" i="13"/>
  <c r="DF123" i="13"/>
  <c r="DJ122" i="13"/>
  <c r="DI122" i="13"/>
  <c r="DH122" i="13"/>
  <c r="DG122" i="13"/>
  <c r="DF122" i="13"/>
  <c r="DJ121" i="13"/>
  <c r="DI121" i="13"/>
  <c r="DH121" i="13"/>
  <c r="DG121" i="13"/>
  <c r="DF121" i="13"/>
  <c r="DJ120" i="13"/>
  <c r="DI120" i="13"/>
  <c r="DH120" i="13"/>
  <c r="DG120" i="13"/>
  <c r="DF120" i="13"/>
  <c r="DJ119" i="13"/>
  <c r="DI119" i="13"/>
  <c r="DH119" i="13"/>
  <c r="DG119" i="13"/>
  <c r="DF119" i="13"/>
  <c r="DJ118" i="13"/>
  <c r="DI118" i="13"/>
  <c r="DH118" i="13"/>
  <c r="DG118" i="13"/>
  <c r="DF118" i="13"/>
  <c r="DJ117" i="13"/>
  <c r="DI117" i="13"/>
  <c r="DH117" i="13"/>
  <c r="DG117" i="13"/>
  <c r="DF117" i="13"/>
  <c r="DJ116" i="13"/>
  <c r="DI116" i="13"/>
  <c r="DH116" i="13"/>
  <c r="DG116" i="13"/>
  <c r="DF116" i="13"/>
  <c r="DJ115" i="13"/>
  <c r="DI115" i="13"/>
  <c r="DH115" i="13"/>
  <c r="DG115" i="13"/>
  <c r="DF115" i="13"/>
  <c r="DJ114" i="13"/>
  <c r="DI114" i="13"/>
  <c r="DH114" i="13"/>
  <c r="DG114" i="13"/>
  <c r="DF114" i="13"/>
  <c r="DJ113" i="13"/>
  <c r="DI113" i="13"/>
  <c r="DH113" i="13"/>
  <c r="DG113" i="13"/>
  <c r="DF113" i="13"/>
  <c r="CL128" i="13"/>
  <c r="CK128" i="13"/>
  <c r="CJ128" i="13"/>
  <c r="CI128" i="13"/>
  <c r="CH128" i="13"/>
  <c r="CL127" i="13"/>
  <c r="CK127" i="13"/>
  <c r="CJ127" i="13"/>
  <c r="CI127" i="13"/>
  <c r="CH127" i="13"/>
  <c r="CL126" i="13"/>
  <c r="CK126" i="13"/>
  <c r="CJ126" i="13"/>
  <c r="CI126" i="13"/>
  <c r="CH126" i="13"/>
  <c r="CL125" i="13"/>
  <c r="CK125" i="13"/>
  <c r="CJ125" i="13"/>
  <c r="CI125" i="13"/>
  <c r="CH125" i="13"/>
  <c r="CL124" i="13"/>
  <c r="CK124" i="13"/>
  <c r="CJ124" i="13"/>
  <c r="CI124" i="13"/>
  <c r="CH124" i="13"/>
  <c r="CL123" i="13"/>
  <c r="CK123" i="13"/>
  <c r="CJ123" i="13"/>
  <c r="CI123" i="13"/>
  <c r="CH123" i="13"/>
  <c r="CL122" i="13"/>
  <c r="CK122" i="13"/>
  <c r="CJ122" i="13"/>
  <c r="CI122" i="13"/>
  <c r="CH122" i="13"/>
  <c r="CL121" i="13"/>
  <c r="CK121" i="13"/>
  <c r="CJ121" i="13"/>
  <c r="CI121" i="13"/>
  <c r="CH121" i="13"/>
  <c r="CL120" i="13"/>
  <c r="CK120" i="13"/>
  <c r="CJ120" i="13"/>
  <c r="CI120" i="13"/>
  <c r="CH120" i="13"/>
  <c r="CL119" i="13"/>
  <c r="CK119" i="13"/>
  <c r="CJ119" i="13"/>
  <c r="CI119" i="13"/>
  <c r="CH119" i="13"/>
  <c r="CL118" i="13"/>
  <c r="CK118" i="13"/>
  <c r="CJ118" i="13"/>
  <c r="CI118" i="13"/>
  <c r="CH118" i="13"/>
  <c r="CL117" i="13"/>
  <c r="CK117" i="13"/>
  <c r="CJ117" i="13"/>
  <c r="CI117" i="13"/>
  <c r="CH117" i="13"/>
  <c r="CL116" i="13"/>
  <c r="CK116" i="13"/>
  <c r="CJ116" i="13"/>
  <c r="CI116" i="13"/>
  <c r="CH116" i="13"/>
  <c r="CL115" i="13"/>
  <c r="CK115" i="13"/>
  <c r="CJ115" i="13"/>
  <c r="CI115" i="13"/>
  <c r="CH115" i="13"/>
  <c r="CL114" i="13"/>
  <c r="CK114" i="13"/>
  <c r="CJ114" i="13"/>
  <c r="CI114" i="13"/>
  <c r="CH114" i="13"/>
  <c r="CL113" i="13"/>
  <c r="CK113" i="13"/>
  <c r="CJ113" i="13"/>
  <c r="CI113" i="13"/>
  <c r="CH113" i="13"/>
  <c r="BN128" i="13"/>
  <c r="BM128" i="13"/>
  <c r="BL128" i="13"/>
  <c r="BK128" i="13"/>
  <c r="BJ128" i="13"/>
  <c r="BN127" i="13"/>
  <c r="BM127" i="13"/>
  <c r="BL127" i="13"/>
  <c r="BK127" i="13"/>
  <c r="BJ127" i="13"/>
  <c r="BN126" i="13"/>
  <c r="BM126" i="13"/>
  <c r="BL126" i="13"/>
  <c r="BK126" i="13"/>
  <c r="BJ126" i="13"/>
  <c r="BN125" i="13"/>
  <c r="BM125" i="13"/>
  <c r="BL125" i="13"/>
  <c r="BK125" i="13"/>
  <c r="BJ125" i="13"/>
  <c r="BN124" i="13"/>
  <c r="BM124" i="13"/>
  <c r="BL124" i="13"/>
  <c r="BK124" i="13"/>
  <c r="BJ124" i="13"/>
  <c r="BN123" i="13"/>
  <c r="BM123" i="13"/>
  <c r="BL123" i="13"/>
  <c r="BK123" i="13"/>
  <c r="BJ123" i="13"/>
  <c r="BN122" i="13"/>
  <c r="BM122" i="13"/>
  <c r="BL122" i="13"/>
  <c r="BK122" i="13"/>
  <c r="BJ122" i="13"/>
  <c r="BN121" i="13"/>
  <c r="BM121" i="13"/>
  <c r="BL121" i="13"/>
  <c r="BK121" i="13"/>
  <c r="BJ121" i="13"/>
  <c r="BN120" i="13"/>
  <c r="BM120" i="13"/>
  <c r="BL120" i="13"/>
  <c r="BK120" i="13"/>
  <c r="BJ120" i="13"/>
  <c r="BN119" i="13"/>
  <c r="BM119" i="13"/>
  <c r="BL119" i="13"/>
  <c r="BK119" i="13"/>
  <c r="BJ119" i="13"/>
  <c r="BN118" i="13"/>
  <c r="BM118" i="13"/>
  <c r="BL118" i="13"/>
  <c r="BK118" i="13"/>
  <c r="BJ118" i="13"/>
  <c r="BN117" i="13"/>
  <c r="BM117" i="13"/>
  <c r="BL117" i="13"/>
  <c r="BK117" i="13"/>
  <c r="BJ117" i="13"/>
  <c r="BN116" i="13"/>
  <c r="BM116" i="13"/>
  <c r="BL116" i="13"/>
  <c r="BK116" i="13"/>
  <c r="BJ116" i="13"/>
  <c r="BN115" i="13"/>
  <c r="BM115" i="13"/>
  <c r="BL115" i="13"/>
  <c r="BK115" i="13"/>
  <c r="BJ115" i="13"/>
  <c r="BN114" i="13"/>
  <c r="BM114" i="13"/>
  <c r="BL114" i="13"/>
  <c r="BK114" i="13"/>
  <c r="BJ114" i="13"/>
  <c r="BN113" i="13"/>
  <c r="BM113" i="13"/>
  <c r="BL113" i="13"/>
  <c r="BK113" i="13"/>
  <c r="BJ113" i="13"/>
  <c r="AP128" i="13"/>
  <c r="AO128" i="13"/>
  <c r="AN128" i="13"/>
  <c r="AM128" i="13"/>
  <c r="AL128" i="13"/>
  <c r="AP127" i="13"/>
  <c r="AO127" i="13"/>
  <c r="AN127" i="13"/>
  <c r="AM127" i="13"/>
  <c r="AL127" i="13"/>
  <c r="AP126" i="13"/>
  <c r="AO126" i="13"/>
  <c r="AN126" i="13"/>
  <c r="AM126" i="13"/>
  <c r="AL126" i="13"/>
  <c r="AP125" i="13"/>
  <c r="AO125" i="13"/>
  <c r="AN125" i="13"/>
  <c r="AM125" i="13"/>
  <c r="AL125" i="13"/>
  <c r="AP124" i="13"/>
  <c r="AO124" i="13"/>
  <c r="AN124" i="13"/>
  <c r="AM124" i="13"/>
  <c r="AL124" i="13"/>
  <c r="AP123" i="13"/>
  <c r="AO123" i="13"/>
  <c r="AN123" i="13"/>
  <c r="AM123" i="13"/>
  <c r="AL123" i="13"/>
  <c r="AP122" i="13"/>
  <c r="AO122" i="13"/>
  <c r="AN122" i="13"/>
  <c r="AM122" i="13"/>
  <c r="AL122" i="13"/>
  <c r="AP121" i="13"/>
  <c r="AO121" i="13"/>
  <c r="AN121" i="13"/>
  <c r="AM121" i="13"/>
  <c r="AL121" i="13"/>
  <c r="AP120" i="13"/>
  <c r="AO120" i="13"/>
  <c r="AN120" i="13"/>
  <c r="AM120" i="13"/>
  <c r="AL120" i="13"/>
  <c r="AP119" i="13"/>
  <c r="AO119" i="13"/>
  <c r="AN119" i="13"/>
  <c r="AM119" i="13"/>
  <c r="AL119" i="13"/>
  <c r="AP118" i="13"/>
  <c r="AO118" i="13"/>
  <c r="AN118" i="13"/>
  <c r="AM118" i="13"/>
  <c r="AL118" i="13"/>
  <c r="AP117" i="13"/>
  <c r="AO117" i="13"/>
  <c r="AN117" i="13"/>
  <c r="AM117" i="13"/>
  <c r="AL117" i="13"/>
  <c r="AP116" i="13"/>
  <c r="AO116" i="13"/>
  <c r="AN116" i="13"/>
  <c r="AM116" i="13"/>
  <c r="AL116" i="13"/>
  <c r="AP115" i="13"/>
  <c r="AO115" i="13"/>
  <c r="AN115" i="13"/>
  <c r="AM115" i="13"/>
  <c r="AL115" i="13"/>
  <c r="AP114" i="13"/>
  <c r="AO114" i="13"/>
  <c r="AN114" i="13"/>
  <c r="AM114" i="13"/>
  <c r="AL114" i="13"/>
  <c r="AP113" i="13"/>
  <c r="AO113" i="13"/>
  <c r="AN113" i="13"/>
  <c r="AM113" i="13"/>
  <c r="AL113" i="13"/>
  <c r="N114" i="13"/>
  <c r="O114" i="13"/>
  <c r="P114" i="13"/>
  <c r="Q114" i="13"/>
  <c r="R114" i="13"/>
  <c r="N115" i="13"/>
  <c r="O115" i="13"/>
  <c r="P115" i="13"/>
  <c r="Q115" i="13"/>
  <c r="R115" i="13"/>
  <c r="N116" i="13"/>
  <c r="O116" i="13"/>
  <c r="P116" i="13"/>
  <c r="Q116" i="13"/>
  <c r="R116" i="13"/>
  <c r="N117" i="13"/>
  <c r="O117" i="13"/>
  <c r="P117" i="13"/>
  <c r="Q117" i="13"/>
  <c r="R117" i="13"/>
  <c r="N118" i="13"/>
  <c r="O118" i="13"/>
  <c r="P118" i="13"/>
  <c r="Q118" i="13"/>
  <c r="R118" i="13"/>
  <c r="N119" i="13"/>
  <c r="O119" i="13"/>
  <c r="P119" i="13"/>
  <c r="Q119" i="13"/>
  <c r="R119" i="13"/>
  <c r="N120" i="13"/>
  <c r="O120" i="13"/>
  <c r="P120" i="13"/>
  <c r="Q120" i="13"/>
  <c r="R120" i="13"/>
  <c r="N121" i="13"/>
  <c r="O121" i="13"/>
  <c r="P121" i="13"/>
  <c r="Q121" i="13"/>
  <c r="R121" i="13"/>
  <c r="N122" i="13"/>
  <c r="O122" i="13"/>
  <c r="P122" i="13"/>
  <c r="Q122" i="13"/>
  <c r="R122" i="13"/>
  <c r="N123" i="13"/>
  <c r="O123" i="13"/>
  <c r="P123" i="13"/>
  <c r="Q123" i="13"/>
  <c r="R123" i="13"/>
  <c r="N124" i="13"/>
  <c r="O124" i="13"/>
  <c r="P124" i="13"/>
  <c r="Q124" i="13"/>
  <c r="R124" i="13"/>
  <c r="N125" i="13"/>
  <c r="O125" i="13"/>
  <c r="P125" i="13"/>
  <c r="Q125" i="13"/>
  <c r="R125" i="13"/>
  <c r="N126" i="13"/>
  <c r="O126" i="13"/>
  <c r="P126" i="13"/>
  <c r="Q126" i="13"/>
  <c r="R126" i="13"/>
  <c r="N127" i="13"/>
  <c r="O127" i="13"/>
  <c r="P127" i="13"/>
  <c r="Q127" i="13"/>
  <c r="R127" i="13"/>
  <c r="N128" i="13"/>
  <c r="O128" i="13"/>
  <c r="P128" i="13"/>
  <c r="Q128" i="13"/>
  <c r="R128" i="13"/>
  <c r="R113" i="13"/>
  <c r="Q113" i="13"/>
  <c r="P113" i="13"/>
  <c r="O113" i="13"/>
  <c r="N113" i="13"/>
  <c r="AC40" i="10"/>
  <c r="AD40" i="10"/>
  <c r="AC41" i="10"/>
  <c r="AD41" i="10"/>
  <c r="AC42" i="10"/>
  <c r="AD42" i="10"/>
  <c r="AC43" i="10"/>
  <c r="AD43" i="10"/>
  <c r="AC44" i="10"/>
  <c r="AD44" i="10"/>
  <c r="AC45" i="10"/>
  <c r="AD45" i="10"/>
  <c r="AC46" i="10"/>
  <c r="AD46" i="10"/>
  <c r="AC47" i="10"/>
  <c r="AD47" i="10"/>
  <c r="AC48" i="10"/>
  <c r="AD48" i="10"/>
  <c r="AC49" i="10"/>
  <c r="AD49" i="10"/>
  <c r="AC50" i="10"/>
  <c r="AD50" i="10"/>
  <c r="AC51" i="10"/>
  <c r="AD51" i="10"/>
  <c r="AC52" i="10"/>
  <c r="AD52" i="10"/>
  <c r="AC53" i="10"/>
  <c r="AD53" i="10"/>
  <c r="AC54" i="10"/>
  <c r="AD54" i="10"/>
  <c r="AC39" i="10"/>
  <c r="AD39" i="10"/>
  <c r="DJ103" i="16"/>
  <c r="DF89" i="16"/>
  <c r="DG89" i="16"/>
  <c r="DH89" i="16"/>
  <c r="DI89" i="16"/>
  <c r="DJ89" i="16"/>
  <c r="DF90" i="16"/>
  <c r="DG90" i="16"/>
  <c r="DH90" i="16"/>
  <c r="DI90" i="16"/>
  <c r="DJ90" i="16"/>
  <c r="DF91" i="16"/>
  <c r="DG91" i="16"/>
  <c r="DH91" i="16"/>
  <c r="DI91" i="16"/>
  <c r="DJ91" i="16"/>
  <c r="DF92" i="16"/>
  <c r="DG92" i="16"/>
  <c r="DH92" i="16"/>
  <c r="DI92" i="16"/>
  <c r="DJ92" i="16"/>
  <c r="DF93" i="16"/>
  <c r="DG93" i="16"/>
  <c r="DH93" i="16"/>
  <c r="DI93" i="16"/>
  <c r="DJ93" i="16"/>
  <c r="DF94" i="16"/>
  <c r="DG94" i="16"/>
  <c r="DH94" i="16"/>
  <c r="DI94" i="16"/>
  <c r="DJ94" i="16"/>
  <c r="DF95" i="16"/>
  <c r="DG95" i="16"/>
  <c r="DH95" i="16"/>
  <c r="DI95" i="16"/>
  <c r="DJ95" i="16"/>
  <c r="DF96" i="16"/>
  <c r="DG96" i="16"/>
  <c r="DH96" i="16"/>
  <c r="DI96" i="16"/>
  <c r="DJ96" i="16"/>
  <c r="DF97" i="16"/>
  <c r="DG97" i="16"/>
  <c r="DH97" i="16"/>
  <c r="DI97" i="16"/>
  <c r="DJ97" i="16"/>
  <c r="DF98" i="16"/>
  <c r="DG98" i="16"/>
  <c r="DH98" i="16"/>
  <c r="DI98" i="16"/>
  <c r="DJ98" i="16"/>
  <c r="DF99" i="16"/>
  <c r="DG99" i="16"/>
  <c r="DH99" i="16"/>
  <c r="DI99" i="16"/>
  <c r="DJ99" i="16"/>
  <c r="DF100" i="16"/>
  <c r="DG100" i="16"/>
  <c r="DH100" i="16"/>
  <c r="DI100" i="16"/>
  <c r="DJ100" i="16"/>
  <c r="DF101" i="16"/>
  <c r="DG101" i="16"/>
  <c r="DH101" i="16"/>
  <c r="DI101" i="16"/>
  <c r="DJ101" i="16"/>
  <c r="DF102" i="16"/>
  <c r="DG102" i="16"/>
  <c r="DH102" i="16"/>
  <c r="DI102" i="16"/>
  <c r="DJ102" i="16"/>
  <c r="DF103" i="16"/>
  <c r="DG103" i="16"/>
  <c r="DH103" i="16"/>
  <c r="DI103" i="16"/>
  <c r="DJ88" i="16"/>
  <c r="DI88" i="16"/>
  <c r="DH88" i="16"/>
  <c r="DG88" i="16"/>
  <c r="DF88" i="16"/>
  <c r="CH89" i="16"/>
  <c r="CI89" i="16"/>
  <c r="CJ89" i="16"/>
  <c r="CK89" i="16"/>
  <c r="CL89" i="16"/>
  <c r="CH90" i="16"/>
  <c r="CI90" i="16"/>
  <c r="CJ90" i="16"/>
  <c r="CK90" i="16"/>
  <c r="CL90" i="16"/>
  <c r="CH91" i="16"/>
  <c r="CI91" i="16"/>
  <c r="CJ91" i="16"/>
  <c r="CK91" i="16"/>
  <c r="CL91" i="16"/>
  <c r="CH92" i="16"/>
  <c r="CI92" i="16"/>
  <c r="CJ92" i="16"/>
  <c r="CK92" i="16"/>
  <c r="CL92" i="16"/>
  <c r="CH93" i="16"/>
  <c r="CI93" i="16"/>
  <c r="CJ93" i="16"/>
  <c r="CK93" i="16"/>
  <c r="CL93" i="16"/>
  <c r="CH94" i="16"/>
  <c r="CI94" i="16"/>
  <c r="CJ94" i="16"/>
  <c r="CK94" i="16"/>
  <c r="CL94" i="16"/>
  <c r="CH95" i="16"/>
  <c r="CI95" i="16"/>
  <c r="CJ95" i="16"/>
  <c r="CK95" i="16"/>
  <c r="CL95" i="16"/>
  <c r="CH96" i="16"/>
  <c r="CI96" i="16"/>
  <c r="CJ96" i="16"/>
  <c r="CK96" i="16"/>
  <c r="CL96" i="16"/>
  <c r="CH97" i="16"/>
  <c r="CI97" i="16"/>
  <c r="CJ97" i="16"/>
  <c r="CK97" i="16"/>
  <c r="CL97" i="16"/>
  <c r="CH98" i="16"/>
  <c r="CI98" i="16"/>
  <c r="CJ98" i="16"/>
  <c r="CK98" i="16"/>
  <c r="CL98" i="16"/>
  <c r="CH99" i="16"/>
  <c r="CI99" i="16"/>
  <c r="CJ99" i="16"/>
  <c r="CK99" i="16"/>
  <c r="CL99" i="16"/>
  <c r="CH100" i="16"/>
  <c r="CI100" i="16"/>
  <c r="CJ100" i="16"/>
  <c r="CK100" i="16"/>
  <c r="CL100" i="16"/>
  <c r="CH101" i="16"/>
  <c r="CI101" i="16"/>
  <c r="CJ101" i="16"/>
  <c r="CK101" i="16"/>
  <c r="CL101" i="16"/>
  <c r="CH102" i="16"/>
  <c r="CI102" i="16"/>
  <c r="CJ102" i="16"/>
  <c r="CK102" i="16"/>
  <c r="CL102" i="16"/>
  <c r="CH103" i="16"/>
  <c r="CI103" i="16"/>
  <c r="CJ103" i="16"/>
  <c r="CK103" i="16"/>
  <c r="CL103" i="16"/>
  <c r="CL88" i="16"/>
  <c r="CK88" i="16"/>
  <c r="CJ88" i="16"/>
  <c r="CI88" i="16"/>
  <c r="CH88" i="16"/>
  <c r="BJ89" i="16"/>
  <c r="BK89" i="16"/>
  <c r="BL89" i="16"/>
  <c r="BM89" i="16"/>
  <c r="BN89" i="16"/>
  <c r="BJ90" i="16"/>
  <c r="BK90" i="16"/>
  <c r="BL90" i="16"/>
  <c r="BM90" i="16"/>
  <c r="BN90" i="16"/>
  <c r="BJ91" i="16"/>
  <c r="BK91" i="16"/>
  <c r="BL91" i="16"/>
  <c r="BM91" i="16"/>
  <c r="BN91" i="16"/>
  <c r="BJ92" i="16"/>
  <c r="BK92" i="16"/>
  <c r="BL92" i="16"/>
  <c r="BM92" i="16"/>
  <c r="BN92" i="16"/>
  <c r="BJ93" i="16"/>
  <c r="BK93" i="16"/>
  <c r="BL93" i="16"/>
  <c r="BM93" i="16"/>
  <c r="BN93" i="16"/>
  <c r="BJ94" i="16"/>
  <c r="BK94" i="16"/>
  <c r="BL94" i="16"/>
  <c r="BM94" i="16"/>
  <c r="BN94" i="16"/>
  <c r="BJ95" i="16"/>
  <c r="BK95" i="16"/>
  <c r="BL95" i="16"/>
  <c r="BM95" i="16"/>
  <c r="BN95" i="16"/>
  <c r="BJ96" i="16"/>
  <c r="BK96" i="16"/>
  <c r="BL96" i="16"/>
  <c r="BM96" i="16"/>
  <c r="BN96" i="16"/>
  <c r="BJ97" i="16"/>
  <c r="BK97" i="16"/>
  <c r="BL97" i="16"/>
  <c r="BM97" i="16"/>
  <c r="BN97" i="16"/>
  <c r="BJ98" i="16"/>
  <c r="BK98" i="16"/>
  <c r="BL98" i="16"/>
  <c r="BM98" i="16"/>
  <c r="BN98" i="16"/>
  <c r="BJ99" i="16"/>
  <c r="BK99" i="16"/>
  <c r="BL99" i="16"/>
  <c r="BM99" i="16"/>
  <c r="BN99" i="16"/>
  <c r="BJ100" i="16"/>
  <c r="BK100" i="16"/>
  <c r="BL100" i="16"/>
  <c r="BM100" i="16"/>
  <c r="BN100" i="16"/>
  <c r="BJ101" i="16"/>
  <c r="BK101" i="16"/>
  <c r="BL101" i="16"/>
  <c r="BM101" i="16"/>
  <c r="BN101" i="16"/>
  <c r="BJ102" i="16"/>
  <c r="BK102" i="16"/>
  <c r="BL102" i="16"/>
  <c r="BM102" i="16"/>
  <c r="BN102" i="16"/>
  <c r="BJ103" i="16"/>
  <c r="BK103" i="16"/>
  <c r="BL103" i="16"/>
  <c r="BM103" i="16"/>
  <c r="BN103" i="16"/>
  <c r="BN88" i="16"/>
  <c r="BM88" i="16"/>
  <c r="BL88" i="16"/>
  <c r="BK88" i="16"/>
  <c r="BJ88" i="16"/>
  <c r="AL89" i="16"/>
  <c r="AM89" i="16"/>
  <c r="AN89" i="16"/>
  <c r="AO89" i="16"/>
  <c r="AP89" i="16"/>
  <c r="AL90" i="16"/>
  <c r="AM90" i="16"/>
  <c r="AN90" i="16"/>
  <c r="AO90" i="16"/>
  <c r="AP90" i="16"/>
  <c r="AL91" i="16"/>
  <c r="AM91" i="16"/>
  <c r="AN91" i="16"/>
  <c r="AO91" i="16"/>
  <c r="AP91" i="16"/>
  <c r="AL92" i="16"/>
  <c r="AM92" i="16"/>
  <c r="AN92" i="16"/>
  <c r="AO92" i="16"/>
  <c r="AP92" i="16"/>
  <c r="AL93" i="16"/>
  <c r="AM93" i="16"/>
  <c r="AN93" i="16"/>
  <c r="AO93" i="16"/>
  <c r="AP93" i="16"/>
  <c r="AL94" i="16"/>
  <c r="AM94" i="16"/>
  <c r="AN94" i="16"/>
  <c r="AO94" i="16"/>
  <c r="AP94" i="16"/>
  <c r="AL95" i="16"/>
  <c r="AM95" i="16"/>
  <c r="AN95" i="16"/>
  <c r="AO95" i="16"/>
  <c r="AP95" i="16"/>
  <c r="AL96" i="16"/>
  <c r="AM96" i="16"/>
  <c r="AN96" i="16"/>
  <c r="AO96" i="16"/>
  <c r="AP96" i="16"/>
  <c r="AL97" i="16"/>
  <c r="AM97" i="16"/>
  <c r="AN97" i="16"/>
  <c r="AO97" i="16"/>
  <c r="AP97" i="16"/>
  <c r="AL98" i="16"/>
  <c r="AM98" i="16"/>
  <c r="AN98" i="16"/>
  <c r="AO98" i="16"/>
  <c r="AP98" i="16"/>
  <c r="AL99" i="16"/>
  <c r="AM99" i="16"/>
  <c r="AN99" i="16"/>
  <c r="AO99" i="16"/>
  <c r="AP99" i="16"/>
  <c r="AL100" i="16"/>
  <c r="AM100" i="16"/>
  <c r="AN100" i="16"/>
  <c r="AO100" i="16"/>
  <c r="AP100" i="16"/>
  <c r="AL101" i="16"/>
  <c r="AM101" i="16"/>
  <c r="AN101" i="16"/>
  <c r="AO101" i="16"/>
  <c r="AP101" i="16"/>
  <c r="AL102" i="16"/>
  <c r="AM102" i="16"/>
  <c r="AN102" i="16"/>
  <c r="AO102" i="16"/>
  <c r="AP102" i="16"/>
  <c r="AL103" i="16"/>
  <c r="AM103" i="16"/>
  <c r="AN103" i="16"/>
  <c r="AO103" i="16"/>
  <c r="AP103" i="16"/>
  <c r="AP88" i="16"/>
  <c r="AO88" i="16"/>
  <c r="AN88" i="16"/>
  <c r="AM88" i="16"/>
  <c r="AL88" i="16"/>
  <c r="R103" i="16"/>
  <c r="Q103" i="16"/>
  <c r="P103" i="16"/>
  <c r="O103" i="16"/>
  <c r="N103" i="16"/>
  <c r="R102" i="16"/>
  <c r="Q102" i="16"/>
  <c r="P102" i="16"/>
  <c r="O102" i="16"/>
  <c r="N102" i="16"/>
  <c r="R101" i="16"/>
  <c r="Q101" i="16"/>
  <c r="P101" i="16"/>
  <c r="O101" i="16"/>
  <c r="N101" i="16"/>
  <c r="R100" i="16"/>
  <c r="Q100" i="16"/>
  <c r="P100" i="16"/>
  <c r="O100" i="16"/>
  <c r="N100" i="16"/>
  <c r="R99" i="16"/>
  <c r="Q99" i="16"/>
  <c r="P99" i="16"/>
  <c r="O99" i="16"/>
  <c r="N99" i="16"/>
  <c r="R98" i="16"/>
  <c r="Q98" i="16"/>
  <c r="P98" i="16"/>
  <c r="O98" i="16"/>
  <c r="N98" i="16"/>
  <c r="R97" i="16"/>
  <c r="Q97" i="16"/>
  <c r="P97" i="16"/>
  <c r="O97" i="16"/>
  <c r="N97" i="16"/>
  <c r="R96" i="16"/>
  <c r="Q96" i="16"/>
  <c r="P96" i="16"/>
  <c r="O96" i="16"/>
  <c r="N96" i="16"/>
  <c r="R95" i="16"/>
  <c r="Q95" i="16"/>
  <c r="P95" i="16"/>
  <c r="O95" i="16"/>
  <c r="N95" i="16"/>
  <c r="R94" i="16"/>
  <c r="Q94" i="16"/>
  <c r="P94" i="16"/>
  <c r="O94" i="16"/>
  <c r="N94" i="16"/>
  <c r="R93" i="16"/>
  <c r="Q93" i="16"/>
  <c r="P93" i="16"/>
  <c r="O93" i="16"/>
  <c r="N93" i="16"/>
  <c r="R92" i="16"/>
  <c r="Q92" i="16"/>
  <c r="P92" i="16"/>
  <c r="O92" i="16"/>
  <c r="N92" i="16"/>
  <c r="R91" i="16"/>
  <c r="Q91" i="16"/>
  <c r="P91" i="16"/>
  <c r="O91" i="16"/>
  <c r="N91" i="16"/>
  <c r="R90" i="16"/>
  <c r="Q90" i="16"/>
  <c r="P90" i="16"/>
  <c r="O90" i="16"/>
  <c r="N90" i="16"/>
  <c r="R89" i="16"/>
  <c r="Q89" i="16"/>
  <c r="P89" i="16"/>
  <c r="O89" i="16"/>
  <c r="N89" i="16"/>
  <c r="R88" i="16"/>
  <c r="Q88" i="16"/>
  <c r="P88" i="16"/>
  <c r="O88" i="16"/>
  <c r="N88" i="16"/>
  <c r="DJ103" i="15"/>
  <c r="DI103" i="15"/>
  <c r="DH103" i="15"/>
  <c r="DG103" i="15"/>
  <c r="DF103" i="15"/>
  <c r="DJ102" i="15"/>
  <c r="DI102" i="15"/>
  <c r="DH102" i="15"/>
  <c r="DG102" i="15"/>
  <c r="DF102" i="15"/>
  <c r="DJ101" i="15"/>
  <c r="DI101" i="15"/>
  <c r="DH101" i="15"/>
  <c r="DG101" i="15"/>
  <c r="DF101" i="15"/>
  <c r="DJ100" i="15"/>
  <c r="DI100" i="15"/>
  <c r="DH100" i="15"/>
  <c r="DG100" i="15"/>
  <c r="DF100" i="15"/>
  <c r="DJ99" i="15"/>
  <c r="DI99" i="15"/>
  <c r="DH99" i="15"/>
  <c r="DG99" i="15"/>
  <c r="DF99" i="15"/>
  <c r="DJ98" i="15"/>
  <c r="DI98" i="15"/>
  <c r="DH98" i="15"/>
  <c r="DG98" i="15"/>
  <c r="DF98" i="15"/>
  <c r="DJ97" i="15"/>
  <c r="DI97" i="15"/>
  <c r="DH97" i="15"/>
  <c r="DG97" i="15"/>
  <c r="DF97" i="15"/>
  <c r="DJ96" i="15"/>
  <c r="DI96" i="15"/>
  <c r="DH96" i="15"/>
  <c r="DG96" i="15"/>
  <c r="DF96" i="15"/>
  <c r="DJ95" i="15"/>
  <c r="DI95" i="15"/>
  <c r="DH95" i="15"/>
  <c r="DG95" i="15"/>
  <c r="DF95" i="15"/>
  <c r="DJ94" i="15"/>
  <c r="DI94" i="15"/>
  <c r="DH94" i="15"/>
  <c r="DG94" i="15"/>
  <c r="DF94" i="15"/>
  <c r="DJ93" i="15"/>
  <c r="DI93" i="15"/>
  <c r="DH93" i="15"/>
  <c r="DG93" i="15"/>
  <c r="DF93" i="15"/>
  <c r="DJ92" i="15"/>
  <c r="DI92" i="15"/>
  <c r="DH92" i="15"/>
  <c r="DG92" i="15"/>
  <c r="DF92" i="15"/>
  <c r="DJ91" i="15"/>
  <c r="DI91" i="15"/>
  <c r="DH91" i="15"/>
  <c r="DG91" i="15"/>
  <c r="DF91" i="15"/>
  <c r="DJ90" i="15"/>
  <c r="DI90" i="15"/>
  <c r="DH90" i="15"/>
  <c r="DG90" i="15"/>
  <c r="DF90" i="15"/>
  <c r="DJ89" i="15"/>
  <c r="DI89" i="15"/>
  <c r="DH89" i="15"/>
  <c r="DG89" i="15"/>
  <c r="DF89" i="15"/>
  <c r="DJ88" i="15"/>
  <c r="DI88" i="15"/>
  <c r="DH88" i="15"/>
  <c r="DG88" i="15"/>
  <c r="DF88" i="15"/>
  <c r="CL103" i="15"/>
  <c r="CK103" i="15"/>
  <c r="CJ103" i="15"/>
  <c r="CI103" i="15"/>
  <c r="CH103" i="15"/>
  <c r="CL102" i="15"/>
  <c r="CK102" i="15"/>
  <c r="CJ102" i="15"/>
  <c r="CI102" i="15"/>
  <c r="CH102" i="15"/>
  <c r="CL101" i="15"/>
  <c r="CK101" i="15"/>
  <c r="CJ101" i="15"/>
  <c r="CI101" i="15"/>
  <c r="CH101" i="15"/>
  <c r="CL100" i="15"/>
  <c r="CK100" i="15"/>
  <c r="CJ100" i="15"/>
  <c r="CI100" i="15"/>
  <c r="CH100" i="15"/>
  <c r="CL99" i="15"/>
  <c r="CK99" i="15"/>
  <c r="CJ99" i="15"/>
  <c r="CI99" i="15"/>
  <c r="CH99" i="15"/>
  <c r="CL98" i="15"/>
  <c r="CK98" i="15"/>
  <c r="CJ98" i="15"/>
  <c r="CI98" i="15"/>
  <c r="CH98" i="15"/>
  <c r="CL97" i="15"/>
  <c r="CK97" i="15"/>
  <c r="CJ97" i="15"/>
  <c r="CI97" i="15"/>
  <c r="CH97" i="15"/>
  <c r="CL96" i="15"/>
  <c r="CK96" i="15"/>
  <c r="CJ96" i="15"/>
  <c r="CI96" i="15"/>
  <c r="CH96" i="15"/>
  <c r="CL95" i="15"/>
  <c r="CK95" i="15"/>
  <c r="CJ95" i="15"/>
  <c r="CI95" i="15"/>
  <c r="CH95" i="15"/>
  <c r="CL94" i="15"/>
  <c r="CK94" i="15"/>
  <c r="CJ94" i="15"/>
  <c r="CI94" i="15"/>
  <c r="CH94" i="15"/>
  <c r="CL93" i="15"/>
  <c r="CK93" i="15"/>
  <c r="CJ93" i="15"/>
  <c r="CI93" i="15"/>
  <c r="CH93" i="15"/>
  <c r="CL92" i="15"/>
  <c r="CK92" i="15"/>
  <c r="CJ92" i="15"/>
  <c r="CI92" i="15"/>
  <c r="CH92" i="15"/>
  <c r="CL91" i="15"/>
  <c r="CK91" i="15"/>
  <c r="CJ91" i="15"/>
  <c r="CI91" i="15"/>
  <c r="CH91" i="15"/>
  <c r="CL90" i="15"/>
  <c r="CK90" i="15"/>
  <c r="CJ90" i="15"/>
  <c r="CI90" i="15"/>
  <c r="CH90" i="15"/>
  <c r="CL89" i="15"/>
  <c r="CK89" i="15"/>
  <c r="CJ89" i="15"/>
  <c r="CI89" i="15"/>
  <c r="CH89" i="15"/>
  <c r="CL88" i="15"/>
  <c r="CK88" i="15"/>
  <c r="CJ88" i="15"/>
  <c r="CI88" i="15"/>
  <c r="CH88" i="15"/>
  <c r="BN103" i="15"/>
  <c r="BM103" i="15"/>
  <c r="BL103" i="15"/>
  <c r="BK103" i="15"/>
  <c r="BJ103" i="15"/>
  <c r="BN102" i="15"/>
  <c r="BM102" i="15"/>
  <c r="BL102" i="15"/>
  <c r="BK102" i="15"/>
  <c r="BJ102" i="15"/>
  <c r="BN101" i="15"/>
  <c r="BM101" i="15"/>
  <c r="BL101" i="15"/>
  <c r="BK101" i="15"/>
  <c r="BJ101" i="15"/>
  <c r="BN100" i="15"/>
  <c r="BM100" i="15"/>
  <c r="BL100" i="15"/>
  <c r="BK100" i="15"/>
  <c r="BJ100" i="15"/>
  <c r="BN99" i="15"/>
  <c r="BM99" i="15"/>
  <c r="BL99" i="15"/>
  <c r="BK99" i="15"/>
  <c r="BJ99" i="15"/>
  <c r="BN98" i="15"/>
  <c r="BM98" i="15"/>
  <c r="BL98" i="15"/>
  <c r="BK98" i="15"/>
  <c r="BJ98" i="15"/>
  <c r="BN97" i="15"/>
  <c r="BM97" i="15"/>
  <c r="BL97" i="15"/>
  <c r="BK97" i="15"/>
  <c r="BJ97" i="15"/>
  <c r="BN96" i="15"/>
  <c r="BM96" i="15"/>
  <c r="BL96" i="15"/>
  <c r="BK96" i="15"/>
  <c r="BJ96" i="15"/>
  <c r="BN95" i="15"/>
  <c r="BM95" i="15"/>
  <c r="BL95" i="15"/>
  <c r="BK95" i="15"/>
  <c r="BJ95" i="15"/>
  <c r="BN94" i="15"/>
  <c r="BM94" i="15"/>
  <c r="BL94" i="15"/>
  <c r="BK94" i="15"/>
  <c r="BJ94" i="15"/>
  <c r="BN93" i="15"/>
  <c r="BM93" i="15"/>
  <c r="BL93" i="15"/>
  <c r="BK93" i="15"/>
  <c r="BJ93" i="15"/>
  <c r="BN92" i="15"/>
  <c r="BM92" i="15"/>
  <c r="BL92" i="15"/>
  <c r="BK92" i="15"/>
  <c r="BJ92" i="15"/>
  <c r="BN91" i="15"/>
  <c r="BM91" i="15"/>
  <c r="BL91" i="15"/>
  <c r="BK91" i="15"/>
  <c r="BJ91" i="15"/>
  <c r="BN90" i="15"/>
  <c r="BM90" i="15"/>
  <c r="BL90" i="15"/>
  <c r="BK90" i="15"/>
  <c r="BJ90" i="15"/>
  <c r="BN89" i="15"/>
  <c r="BM89" i="15"/>
  <c r="BL89" i="15"/>
  <c r="BK89" i="15"/>
  <c r="BJ89" i="15"/>
  <c r="BN88" i="15"/>
  <c r="BM88" i="15"/>
  <c r="BL88" i="15"/>
  <c r="BK88" i="15"/>
  <c r="BJ88" i="15"/>
  <c r="AP103" i="15"/>
  <c r="AO103" i="15"/>
  <c r="AN103" i="15"/>
  <c r="AM103" i="15"/>
  <c r="AL103" i="15"/>
  <c r="AP102" i="15"/>
  <c r="AO102" i="15"/>
  <c r="AN102" i="15"/>
  <c r="AM102" i="15"/>
  <c r="AL102" i="15"/>
  <c r="AP101" i="15"/>
  <c r="AO101" i="15"/>
  <c r="AN101" i="15"/>
  <c r="AM101" i="15"/>
  <c r="AL101" i="15"/>
  <c r="AP100" i="15"/>
  <c r="AO100" i="15"/>
  <c r="AN100" i="15"/>
  <c r="AM100" i="15"/>
  <c r="AL100" i="15"/>
  <c r="AP99" i="15"/>
  <c r="AO99" i="15"/>
  <c r="AN99" i="15"/>
  <c r="AM99" i="15"/>
  <c r="AL99" i="15"/>
  <c r="AP98" i="15"/>
  <c r="AO98" i="15"/>
  <c r="AN98" i="15"/>
  <c r="AM98" i="15"/>
  <c r="AL98" i="15"/>
  <c r="AP97" i="15"/>
  <c r="AO97" i="15"/>
  <c r="AN97" i="15"/>
  <c r="AM97" i="15"/>
  <c r="AL97" i="15"/>
  <c r="AP96" i="15"/>
  <c r="AO96" i="15"/>
  <c r="AN96" i="15"/>
  <c r="AM96" i="15"/>
  <c r="AL96" i="15"/>
  <c r="AP95" i="15"/>
  <c r="AO95" i="15"/>
  <c r="AN95" i="15"/>
  <c r="AM95" i="15"/>
  <c r="AL95" i="15"/>
  <c r="AP94" i="15"/>
  <c r="AO94" i="15"/>
  <c r="AN94" i="15"/>
  <c r="AM94" i="15"/>
  <c r="AL94" i="15"/>
  <c r="AP93" i="15"/>
  <c r="AO93" i="15"/>
  <c r="AN93" i="15"/>
  <c r="AM93" i="15"/>
  <c r="AL93" i="15"/>
  <c r="AP92" i="15"/>
  <c r="AO92" i="15"/>
  <c r="AN92" i="15"/>
  <c r="AM92" i="15"/>
  <c r="AL92" i="15"/>
  <c r="AP91" i="15"/>
  <c r="AO91" i="15"/>
  <c r="AN91" i="15"/>
  <c r="AM91" i="15"/>
  <c r="AL91" i="15"/>
  <c r="AP90" i="15"/>
  <c r="AO90" i="15"/>
  <c r="AN90" i="15"/>
  <c r="AM90" i="15"/>
  <c r="AL90" i="15"/>
  <c r="AP89" i="15"/>
  <c r="AO89" i="15"/>
  <c r="AN89" i="15"/>
  <c r="AM89" i="15"/>
  <c r="AL89" i="15"/>
  <c r="AP88" i="15"/>
  <c r="AO88" i="15"/>
  <c r="AN88" i="15"/>
  <c r="AM88" i="15"/>
  <c r="AL88" i="15"/>
  <c r="R103" i="15"/>
  <c r="Q103" i="15"/>
  <c r="P103" i="15"/>
  <c r="O103" i="15"/>
  <c r="N103" i="15"/>
  <c r="R102" i="15"/>
  <c r="Q102" i="15"/>
  <c r="P102" i="15"/>
  <c r="O102" i="15"/>
  <c r="N102" i="15"/>
  <c r="R101" i="15"/>
  <c r="Q101" i="15"/>
  <c r="P101" i="15"/>
  <c r="O101" i="15"/>
  <c r="N101" i="15"/>
  <c r="R100" i="15"/>
  <c r="Q100" i="15"/>
  <c r="P100" i="15"/>
  <c r="O100" i="15"/>
  <c r="N100" i="15"/>
  <c r="R99" i="15"/>
  <c r="Q99" i="15"/>
  <c r="P99" i="15"/>
  <c r="O99" i="15"/>
  <c r="N99" i="15"/>
  <c r="R98" i="15"/>
  <c r="Q98" i="15"/>
  <c r="P98" i="15"/>
  <c r="O98" i="15"/>
  <c r="N98" i="15"/>
  <c r="R97" i="15"/>
  <c r="Q97" i="15"/>
  <c r="P97" i="15"/>
  <c r="O97" i="15"/>
  <c r="N97" i="15"/>
  <c r="R96" i="15"/>
  <c r="Q96" i="15"/>
  <c r="P96" i="15"/>
  <c r="O96" i="15"/>
  <c r="N96" i="15"/>
  <c r="R95" i="15"/>
  <c r="Q95" i="15"/>
  <c r="P95" i="15"/>
  <c r="O95" i="15"/>
  <c r="N95" i="15"/>
  <c r="R94" i="15"/>
  <c r="Q94" i="15"/>
  <c r="P94" i="15"/>
  <c r="O94" i="15"/>
  <c r="N94" i="15"/>
  <c r="R93" i="15"/>
  <c r="Q93" i="15"/>
  <c r="P93" i="15"/>
  <c r="O93" i="15"/>
  <c r="N93" i="15"/>
  <c r="R92" i="15"/>
  <c r="Q92" i="15"/>
  <c r="P92" i="15"/>
  <c r="O92" i="15"/>
  <c r="N92" i="15"/>
  <c r="R91" i="15"/>
  <c r="Q91" i="15"/>
  <c r="P91" i="15"/>
  <c r="O91" i="15"/>
  <c r="N91" i="15"/>
  <c r="R90" i="15"/>
  <c r="Q90" i="15"/>
  <c r="P90" i="15"/>
  <c r="O90" i="15"/>
  <c r="N90" i="15"/>
  <c r="R89" i="15"/>
  <c r="Q89" i="15"/>
  <c r="P89" i="15"/>
  <c r="O89" i="15"/>
  <c r="N89" i="15"/>
  <c r="R88" i="15"/>
  <c r="Q88" i="15"/>
  <c r="P88" i="15"/>
  <c r="O88" i="15"/>
  <c r="N88" i="15"/>
  <c r="DJ103" i="14"/>
  <c r="DI103" i="14"/>
  <c r="DH103" i="14"/>
  <c r="DG103" i="14"/>
  <c r="DF103" i="14"/>
  <c r="DJ102" i="14"/>
  <c r="DI102" i="14"/>
  <c r="DH102" i="14"/>
  <c r="DG102" i="14"/>
  <c r="DF102" i="14"/>
  <c r="DJ101" i="14"/>
  <c r="DI101" i="14"/>
  <c r="DH101" i="14"/>
  <c r="DG101" i="14"/>
  <c r="DF101" i="14"/>
  <c r="DJ100" i="14"/>
  <c r="DI100" i="14"/>
  <c r="DH100" i="14"/>
  <c r="DG100" i="14"/>
  <c r="DF100" i="14"/>
  <c r="DJ99" i="14"/>
  <c r="DI99" i="14"/>
  <c r="DH99" i="14"/>
  <c r="DG99" i="14"/>
  <c r="DF99" i="14"/>
  <c r="DJ98" i="14"/>
  <c r="DI98" i="14"/>
  <c r="DH98" i="14"/>
  <c r="DG98" i="14"/>
  <c r="DF98" i="14"/>
  <c r="DJ97" i="14"/>
  <c r="DI97" i="14"/>
  <c r="DH97" i="14"/>
  <c r="DG97" i="14"/>
  <c r="DF97" i="14"/>
  <c r="DJ96" i="14"/>
  <c r="DI96" i="14"/>
  <c r="DH96" i="14"/>
  <c r="DG96" i="14"/>
  <c r="DF96" i="14"/>
  <c r="DJ95" i="14"/>
  <c r="DI95" i="14"/>
  <c r="DH95" i="14"/>
  <c r="DG95" i="14"/>
  <c r="DF95" i="14"/>
  <c r="DJ94" i="14"/>
  <c r="DI94" i="14"/>
  <c r="DH94" i="14"/>
  <c r="DG94" i="14"/>
  <c r="DF94" i="14"/>
  <c r="DJ93" i="14"/>
  <c r="DI93" i="14"/>
  <c r="DH93" i="14"/>
  <c r="DG93" i="14"/>
  <c r="DF93" i="14"/>
  <c r="DJ92" i="14"/>
  <c r="DI92" i="14"/>
  <c r="DH92" i="14"/>
  <c r="DG92" i="14"/>
  <c r="DF92" i="14"/>
  <c r="DJ91" i="14"/>
  <c r="DI91" i="14"/>
  <c r="DH91" i="14"/>
  <c r="DG91" i="14"/>
  <c r="DF91" i="14"/>
  <c r="DJ90" i="14"/>
  <c r="DI90" i="14"/>
  <c r="DH90" i="14"/>
  <c r="DG90" i="14"/>
  <c r="DF90" i="14"/>
  <c r="DJ89" i="14"/>
  <c r="DI89" i="14"/>
  <c r="DH89" i="14"/>
  <c r="DG89" i="14"/>
  <c r="DF89" i="14"/>
  <c r="DJ88" i="14"/>
  <c r="DI88" i="14"/>
  <c r="DH88" i="14"/>
  <c r="DG88" i="14"/>
  <c r="DF88" i="14"/>
  <c r="CL103" i="14"/>
  <c r="CK103" i="14"/>
  <c r="CJ103" i="14"/>
  <c r="CI103" i="14"/>
  <c r="CH103" i="14"/>
  <c r="CL102" i="14"/>
  <c r="CK102" i="14"/>
  <c r="CJ102" i="14"/>
  <c r="CI102" i="14"/>
  <c r="CH102" i="14"/>
  <c r="CL101" i="14"/>
  <c r="CK101" i="14"/>
  <c r="CJ101" i="14"/>
  <c r="CI101" i="14"/>
  <c r="CH101" i="14"/>
  <c r="CL100" i="14"/>
  <c r="CK100" i="14"/>
  <c r="CJ100" i="14"/>
  <c r="CI100" i="14"/>
  <c r="CH100" i="14"/>
  <c r="CL99" i="14"/>
  <c r="CK99" i="14"/>
  <c r="CJ99" i="14"/>
  <c r="CI99" i="14"/>
  <c r="CH99" i="14"/>
  <c r="CL98" i="14"/>
  <c r="CK98" i="14"/>
  <c r="CJ98" i="14"/>
  <c r="CI98" i="14"/>
  <c r="CH98" i="14"/>
  <c r="CL97" i="14"/>
  <c r="CK97" i="14"/>
  <c r="CJ97" i="14"/>
  <c r="CI97" i="14"/>
  <c r="CH97" i="14"/>
  <c r="CL96" i="14"/>
  <c r="CK96" i="14"/>
  <c r="CJ96" i="14"/>
  <c r="CI96" i="14"/>
  <c r="CH96" i="14"/>
  <c r="CL95" i="14"/>
  <c r="CK95" i="14"/>
  <c r="CJ95" i="14"/>
  <c r="CI95" i="14"/>
  <c r="CH95" i="14"/>
  <c r="CL94" i="14"/>
  <c r="CK94" i="14"/>
  <c r="CJ94" i="14"/>
  <c r="CI94" i="14"/>
  <c r="CH94" i="14"/>
  <c r="CL93" i="14"/>
  <c r="CK93" i="14"/>
  <c r="CJ93" i="14"/>
  <c r="CI93" i="14"/>
  <c r="CH93" i="14"/>
  <c r="CL92" i="14"/>
  <c r="CK92" i="14"/>
  <c r="CJ92" i="14"/>
  <c r="CI92" i="14"/>
  <c r="CH92" i="14"/>
  <c r="CL91" i="14"/>
  <c r="CK91" i="14"/>
  <c r="CJ91" i="14"/>
  <c r="CI91" i="14"/>
  <c r="CH91" i="14"/>
  <c r="CL90" i="14"/>
  <c r="CK90" i="14"/>
  <c r="CJ90" i="14"/>
  <c r="CI90" i="14"/>
  <c r="CH90" i="14"/>
  <c r="CL89" i="14"/>
  <c r="CK89" i="14"/>
  <c r="CJ89" i="14"/>
  <c r="CI89" i="14"/>
  <c r="CH89" i="14"/>
  <c r="CL88" i="14"/>
  <c r="CK88" i="14"/>
  <c r="CJ88" i="14"/>
  <c r="CI88" i="14"/>
  <c r="CH88" i="14"/>
  <c r="BN103" i="14"/>
  <c r="BM103" i="14"/>
  <c r="BL103" i="14"/>
  <c r="BK103" i="14"/>
  <c r="BJ103" i="14"/>
  <c r="BN102" i="14"/>
  <c r="BM102" i="14"/>
  <c r="BL102" i="14"/>
  <c r="BK102" i="14"/>
  <c r="BJ102" i="14"/>
  <c r="BN101" i="14"/>
  <c r="BM101" i="14"/>
  <c r="BL101" i="14"/>
  <c r="BK101" i="14"/>
  <c r="BJ101" i="14"/>
  <c r="BN100" i="14"/>
  <c r="BM100" i="14"/>
  <c r="BL100" i="14"/>
  <c r="BK100" i="14"/>
  <c r="BJ100" i="14"/>
  <c r="BN99" i="14"/>
  <c r="BM99" i="14"/>
  <c r="BL99" i="14"/>
  <c r="BK99" i="14"/>
  <c r="BJ99" i="14"/>
  <c r="BN98" i="14"/>
  <c r="BM98" i="14"/>
  <c r="BL98" i="14"/>
  <c r="BK98" i="14"/>
  <c r="BJ98" i="14"/>
  <c r="BN97" i="14"/>
  <c r="BM97" i="14"/>
  <c r="BL97" i="14"/>
  <c r="BK97" i="14"/>
  <c r="BJ97" i="14"/>
  <c r="BN96" i="14"/>
  <c r="BM96" i="14"/>
  <c r="BL96" i="14"/>
  <c r="BK96" i="14"/>
  <c r="BJ96" i="14"/>
  <c r="BN95" i="14"/>
  <c r="BM95" i="14"/>
  <c r="BL95" i="14"/>
  <c r="BK95" i="14"/>
  <c r="BJ95" i="14"/>
  <c r="BN94" i="14"/>
  <c r="BM94" i="14"/>
  <c r="BL94" i="14"/>
  <c r="BK94" i="14"/>
  <c r="BJ94" i="14"/>
  <c r="BN93" i="14"/>
  <c r="BM93" i="14"/>
  <c r="BL93" i="14"/>
  <c r="BK93" i="14"/>
  <c r="BJ93" i="14"/>
  <c r="BN92" i="14"/>
  <c r="BM92" i="14"/>
  <c r="BL92" i="14"/>
  <c r="BK92" i="14"/>
  <c r="BJ92" i="14"/>
  <c r="BN91" i="14"/>
  <c r="BM91" i="14"/>
  <c r="BL91" i="14"/>
  <c r="BK91" i="14"/>
  <c r="BJ91" i="14"/>
  <c r="BN90" i="14"/>
  <c r="BM90" i="14"/>
  <c r="BL90" i="14"/>
  <c r="BK90" i="14"/>
  <c r="BJ90" i="14"/>
  <c r="BN89" i="14"/>
  <c r="BM89" i="14"/>
  <c r="BL89" i="14"/>
  <c r="BK89" i="14"/>
  <c r="BJ89" i="14"/>
  <c r="BN88" i="14"/>
  <c r="BM88" i="14"/>
  <c r="BL88" i="14"/>
  <c r="BK88" i="14"/>
  <c r="BJ88" i="14"/>
  <c r="AP103" i="14"/>
  <c r="AO103" i="14"/>
  <c r="AN103" i="14"/>
  <c r="AM103" i="14"/>
  <c r="AL103" i="14"/>
  <c r="AP102" i="14"/>
  <c r="AO102" i="14"/>
  <c r="AN102" i="14"/>
  <c r="AM102" i="14"/>
  <c r="AL102" i="14"/>
  <c r="AP101" i="14"/>
  <c r="AO101" i="14"/>
  <c r="AN101" i="14"/>
  <c r="AM101" i="14"/>
  <c r="AL101" i="14"/>
  <c r="AP100" i="14"/>
  <c r="AO100" i="14"/>
  <c r="AN100" i="14"/>
  <c r="AM100" i="14"/>
  <c r="AL100" i="14"/>
  <c r="AP99" i="14"/>
  <c r="AO99" i="14"/>
  <c r="AN99" i="14"/>
  <c r="AM99" i="14"/>
  <c r="AL99" i="14"/>
  <c r="AP98" i="14"/>
  <c r="AO98" i="14"/>
  <c r="AN98" i="14"/>
  <c r="AM98" i="14"/>
  <c r="AL98" i="14"/>
  <c r="AP97" i="14"/>
  <c r="AO97" i="14"/>
  <c r="AN97" i="14"/>
  <c r="AM97" i="14"/>
  <c r="AL97" i="14"/>
  <c r="AP96" i="14"/>
  <c r="AO96" i="14"/>
  <c r="AN96" i="14"/>
  <c r="AM96" i="14"/>
  <c r="AL96" i="14"/>
  <c r="AP95" i="14"/>
  <c r="AO95" i="14"/>
  <c r="AN95" i="14"/>
  <c r="AM95" i="14"/>
  <c r="AL95" i="14"/>
  <c r="AP94" i="14"/>
  <c r="AO94" i="14"/>
  <c r="AN94" i="14"/>
  <c r="AM94" i="14"/>
  <c r="AL94" i="14"/>
  <c r="AP93" i="14"/>
  <c r="AO93" i="14"/>
  <c r="AN93" i="14"/>
  <c r="AM93" i="14"/>
  <c r="AL93" i="14"/>
  <c r="AP92" i="14"/>
  <c r="AO92" i="14"/>
  <c r="AN92" i="14"/>
  <c r="AM92" i="14"/>
  <c r="AL92" i="14"/>
  <c r="AP91" i="14"/>
  <c r="AO91" i="14"/>
  <c r="AN91" i="14"/>
  <c r="AM91" i="14"/>
  <c r="AL91" i="14"/>
  <c r="AP90" i="14"/>
  <c r="AO90" i="14"/>
  <c r="AN90" i="14"/>
  <c r="AM90" i="14"/>
  <c r="AL90" i="14"/>
  <c r="AP89" i="14"/>
  <c r="AO89" i="14"/>
  <c r="AN89" i="14"/>
  <c r="AM89" i="14"/>
  <c r="AL89" i="14"/>
  <c r="AP88" i="14"/>
  <c r="AO88" i="14"/>
  <c r="AN88" i="14"/>
  <c r="AM88" i="14"/>
  <c r="AL88" i="14"/>
  <c r="R103" i="14"/>
  <c r="Q103" i="14"/>
  <c r="P103" i="14"/>
  <c r="O103" i="14"/>
  <c r="N103" i="14"/>
  <c r="R102" i="14"/>
  <c r="Q102" i="14"/>
  <c r="P102" i="14"/>
  <c r="O102" i="14"/>
  <c r="N102" i="14"/>
  <c r="R101" i="14"/>
  <c r="Q101" i="14"/>
  <c r="P101" i="14"/>
  <c r="O101" i="14"/>
  <c r="N101" i="14"/>
  <c r="R100" i="14"/>
  <c r="Q100" i="14"/>
  <c r="P100" i="14"/>
  <c r="O100" i="14"/>
  <c r="N100" i="14"/>
  <c r="R99" i="14"/>
  <c r="Q99" i="14"/>
  <c r="P99" i="14"/>
  <c r="O99" i="14"/>
  <c r="N99" i="14"/>
  <c r="R98" i="14"/>
  <c r="Q98" i="14"/>
  <c r="P98" i="14"/>
  <c r="O98" i="14"/>
  <c r="N98" i="14"/>
  <c r="R97" i="14"/>
  <c r="Q97" i="14"/>
  <c r="P97" i="14"/>
  <c r="O97" i="14"/>
  <c r="N97" i="14"/>
  <c r="R96" i="14"/>
  <c r="Q96" i="14"/>
  <c r="P96" i="14"/>
  <c r="O96" i="14"/>
  <c r="N96" i="14"/>
  <c r="R95" i="14"/>
  <c r="Q95" i="14"/>
  <c r="P95" i="14"/>
  <c r="O95" i="14"/>
  <c r="N95" i="14"/>
  <c r="R94" i="14"/>
  <c r="Q94" i="14"/>
  <c r="P94" i="14"/>
  <c r="O94" i="14"/>
  <c r="N94" i="14"/>
  <c r="R93" i="14"/>
  <c r="Q93" i="14"/>
  <c r="P93" i="14"/>
  <c r="O93" i="14"/>
  <c r="N93" i="14"/>
  <c r="R92" i="14"/>
  <c r="Q92" i="14"/>
  <c r="P92" i="14"/>
  <c r="O92" i="14"/>
  <c r="N92" i="14"/>
  <c r="R91" i="14"/>
  <c r="Q91" i="14"/>
  <c r="P91" i="14"/>
  <c r="O91" i="14"/>
  <c r="N91" i="14"/>
  <c r="R90" i="14"/>
  <c r="Q90" i="14"/>
  <c r="P90" i="14"/>
  <c r="O90" i="14"/>
  <c r="N90" i="14"/>
  <c r="R89" i="14"/>
  <c r="Q89" i="14"/>
  <c r="P89" i="14"/>
  <c r="O89" i="14"/>
  <c r="N89" i="14"/>
  <c r="R88" i="14"/>
  <c r="Q88" i="14"/>
  <c r="P88" i="14"/>
  <c r="O88" i="14"/>
  <c r="N88" i="14"/>
  <c r="DJ103" i="13"/>
  <c r="DI103" i="13"/>
  <c r="DH103" i="13"/>
  <c r="DG103" i="13"/>
  <c r="DF103" i="13"/>
  <c r="DJ102" i="13"/>
  <c r="DI102" i="13"/>
  <c r="DH102" i="13"/>
  <c r="DG102" i="13"/>
  <c r="DF102" i="13"/>
  <c r="DJ101" i="13"/>
  <c r="DI101" i="13"/>
  <c r="DH101" i="13"/>
  <c r="DG101" i="13"/>
  <c r="DF101" i="13"/>
  <c r="DJ100" i="13"/>
  <c r="DI100" i="13"/>
  <c r="DH100" i="13"/>
  <c r="DG100" i="13"/>
  <c r="DF100" i="13"/>
  <c r="DJ99" i="13"/>
  <c r="DI99" i="13"/>
  <c r="DH99" i="13"/>
  <c r="DG99" i="13"/>
  <c r="DF99" i="13"/>
  <c r="DJ98" i="13"/>
  <c r="DI98" i="13"/>
  <c r="DH98" i="13"/>
  <c r="DG98" i="13"/>
  <c r="DF98" i="13"/>
  <c r="DJ97" i="13"/>
  <c r="DI97" i="13"/>
  <c r="DH97" i="13"/>
  <c r="DG97" i="13"/>
  <c r="DF97" i="13"/>
  <c r="DJ96" i="13"/>
  <c r="DI96" i="13"/>
  <c r="DH96" i="13"/>
  <c r="DG96" i="13"/>
  <c r="DF96" i="13"/>
  <c r="DJ95" i="13"/>
  <c r="DI95" i="13"/>
  <c r="DH95" i="13"/>
  <c r="DG95" i="13"/>
  <c r="DF95" i="13"/>
  <c r="DJ94" i="13"/>
  <c r="DI94" i="13"/>
  <c r="DH94" i="13"/>
  <c r="DG94" i="13"/>
  <c r="DF94" i="13"/>
  <c r="DJ93" i="13"/>
  <c r="DI93" i="13"/>
  <c r="DH93" i="13"/>
  <c r="DG93" i="13"/>
  <c r="DF93" i="13"/>
  <c r="DJ92" i="13"/>
  <c r="DI92" i="13"/>
  <c r="DH92" i="13"/>
  <c r="DG92" i="13"/>
  <c r="DF92" i="13"/>
  <c r="DJ91" i="13"/>
  <c r="DI91" i="13"/>
  <c r="DH91" i="13"/>
  <c r="DG91" i="13"/>
  <c r="DF91" i="13"/>
  <c r="DJ90" i="13"/>
  <c r="DI90" i="13"/>
  <c r="DH90" i="13"/>
  <c r="DG90" i="13"/>
  <c r="DF90" i="13"/>
  <c r="DJ89" i="13"/>
  <c r="DI89" i="13"/>
  <c r="DH89" i="13"/>
  <c r="DG89" i="13"/>
  <c r="DF89" i="13"/>
  <c r="DJ88" i="13"/>
  <c r="DI88" i="13"/>
  <c r="DH88" i="13"/>
  <c r="DG88" i="13"/>
  <c r="DF88" i="13"/>
  <c r="CL103" i="13"/>
  <c r="CK103" i="13"/>
  <c r="CJ103" i="13"/>
  <c r="CI103" i="13"/>
  <c r="CH103" i="13"/>
  <c r="CL102" i="13"/>
  <c r="CK102" i="13"/>
  <c r="CJ102" i="13"/>
  <c r="CI102" i="13"/>
  <c r="CH102" i="13"/>
  <c r="CL101" i="13"/>
  <c r="CK101" i="13"/>
  <c r="CJ101" i="13"/>
  <c r="CI101" i="13"/>
  <c r="CH101" i="13"/>
  <c r="CL100" i="13"/>
  <c r="CK100" i="13"/>
  <c r="CJ100" i="13"/>
  <c r="CI100" i="13"/>
  <c r="CH100" i="13"/>
  <c r="CL99" i="13"/>
  <c r="CK99" i="13"/>
  <c r="CJ99" i="13"/>
  <c r="CI99" i="13"/>
  <c r="CH99" i="13"/>
  <c r="CL98" i="13"/>
  <c r="CK98" i="13"/>
  <c r="CJ98" i="13"/>
  <c r="CI98" i="13"/>
  <c r="CH98" i="13"/>
  <c r="CL97" i="13"/>
  <c r="CK97" i="13"/>
  <c r="CJ97" i="13"/>
  <c r="CI97" i="13"/>
  <c r="CH97" i="13"/>
  <c r="CL96" i="13"/>
  <c r="CK96" i="13"/>
  <c r="CJ96" i="13"/>
  <c r="CI96" i="13"/>
  <c r="CH96" i="13"/>
  <c r="CL95" i="13"/>
  <c r="CK95" i="13"/>
  <c r="CJ95" i="13"/>
  <c r="CI95" i="13"/>
  <c r="CH95" i="13"/>
  <c r="CL94" i="13"/>
  <c r="CK94" i="13"/>
  <c r="CJ94" i="13"/>
  <c r="CI94" i="13"/>
  <c r="CH94" i="13"/>
  <c r="CL93" i="13"/>
  <c r="CK93" i="13"/>
  <c r="CJ93" i="13"/>
  <c r="CI93" i="13"/>
  <c r="CH93" i="13"/>
  <c r="CL92" i="13"/>
  <c r="CK92" i="13"/>
  <c r="CJ92" i="13"/>
  <c r="CI92" i="13"/>
  <c r="CH92" i="13"/>
  <c r="CL91" i="13"/>
  <c r="CK91" i="13"/>
  <c r="CJ91" i="13"/>
  <c r="CI91" i="13"/>
  <c r="CH91" i="13"/>
  <c r="CL90" i="13"/>
  <c r="CK90" i="13"/>
  <c r="CJ90" i="13"/>
  <c r="CI90" i="13"/>
  <c r="CH90" i="13"/>
  <c r="CL89" i="13"/>
  <c r="CK89" i="13"/>
  <c r="CJ89" i="13"/>
  <c r="CI89" i="13"/>
  <c r="CH89" i="13"/>
  <c r="CL88" i="13"/>
  <c r="CK88" i="13"/>
  <c r="CJ88" i="13"/>
  <c r="CI88" i="13"/>
  <c r="CH88" i="13"/>
  <c r="BN103" i="13"/>
  <c r="BM103" i="13"/>
  <c r="BL103" i="13"/>
  <c r="BK103" i="13"/>
  <c r="BJ103" i="13"/>
  <c r="BN102" i="13"/>
  <c r="BM102" i="13"/>
  <c r="BL102" i="13"/>
  <c r="BK102" i="13"/>
  <c r="BJ102" i="13"/>
  <c r="BN101" i="13"/>
  <c r="BM101" i="13"/>
  <c r="BL101" i="13"/>
  <c r="BK101" i="13"/>
  <c r="BJ101" i="13"/>
  <c r="BN100" i="13"/>
  <c r="BM100" i="13"/>
  <c r="BL100" i="13"/>
  <c r="BK100" i="13"/>
  <c r="BJ100" i="13"/>
  <c r="BN99" i="13"/>
  <c r="BM99" i="13"/>
  <c r="BL99" i="13"/>
  <c r="BK99" i="13"/>
  <c r="BJ99" i="13"/>
  <c r="BN98" i="13"/>
  <c r="BM98" i="13"/>
  <c r="BL98" i="13"/>
  <c r="BK98" i="13"/>
  <c r="BJ98" i="13"/>
  <c r="BN97" i="13"/>
  <c r="BM97" i="13"/>
  <c r="BL97" i="13"/>
  <c r="BK97" i="13"/>
  <c r="BJ97" i="13"/>
  <c r="BN96" i="13"/>
  <c r="BM96" i="13"/>
  <c r="BL96" i="13"/>
  <c r="BK96" i="13"/>
  <c r="BJ96" i="13"/>
  <c r="BN95" i="13"/>
  <c r="BM95" i="13"/>
  <c r="BL95" i="13"/>
  <c r="BK95" i="13"/>
  <c r="BJ95" i="13"/>
  <c r="BN94" i="13"/>
  <c r="BM94" i="13"/>
  <c r="BL94" i="13"/>
  <c r="BK94" i="13"/>
  <c r="BJ94" i="13"/>
  <c r="BN93" i="13"/>
  <c r="BM93" i="13"/>
  <c r="BL93" i="13"/>
  <c r="BK93" i="13"/>
  <c r="BJ93" i="13"/>
  <c r="BN92" i="13"/>
  <c r="BM92" i="13"/>
  <c r="BL92" i="13"/>
  <c r="BK92" i="13"/>
  <c r="BJ92" i="13"/>
  <c r="BN91" i="13"/>
  <c r="BM91" i="13"/>
  <c r="BL91" i="13"/>
  <c r="BK91" i="13"/>
  <c r="BJ91" i="13"/>
  <c r="BN90" i="13"/>
  <c r="BM90" i="13"/>
  <c r="BL90" i="13"/>
  <c r="BK90" i="13"/>
  <c r="BJ90" i="13"/>
  <c r="BN89" i="13"/>
  <c r="BM89" i="13"/>
  <c r="BL89" i="13"/>
  <c r="BK89" i="13"/>
  <c r="BJ89" i="13"/>
  <c r="BN88" i="13"/>
  <c r="BM88" i="13"/>
  <c r="BL88" i="13"/>
  <c r="BK88" i="13"/>
  <c r="BJ88" i="13"/>
  <c r="AP103" i="13"/>
  <c r="AO103" i="13"/>
  <c r="AN103" i="13"/>
  <c r="AM103" i="13"/>
  <c r="AL103" i="13"/>
  <c r="AP102" i="13"/>
  <c r="AO102" i="13"/>
  <c r="AN102" i="13"/>
  <c r="AM102" i="13"/>
  <c r="AL102" i="13"/>
  <c r="AP101" i="13"/>
  <c r="AO101" i="13"/>
  <c r="AN101" i="13"/>
  <c r="AM101" i="13"/>
  <c r="AL101" i="13"/>
  <c r="AP100" i="13"/>
  <c r="AO100" i="13"/>
  <c r="AN100" i="13"/>
  <c r="AM100" i="13"/>
  <c r="AL100" i="13"/>
  <c r="AP99" i="13"/>
  <c r="AO99" i="13"/>
  <c r="AN99" i="13"/>
  <c r="AM99" i="13"/>
  <c r="AL99" i="13"/>
  <c r="AP98" i="13"/>
  <c r="AO98" i="13"/>
  <c r="AN98" i="13"/>
  <c r="AM98" i="13"/>
  <c r="AL98" i="13"/>
  <c r="AP97" i="13"/>
  <c r="AO97" i="13"/>
  <c r="AN97" i="13"/>
  <c r="AM97" i="13"/>
  <c r="AL97" i="13"/>
  <c r="AP96" i="13"/>
  <c r="AO96" i="13"/>
  <c r="AN96" i="13"/>
  <c r="AM96" i="13"/>
  <c r="AL96" i="13"/>
  <c r="AP95" i="13"/>
  <c r="AO95" i="13"/>
  <c r="AN95" i="13"/>
  <c r="AM95" i="13"/>
  <c r="AL95" i="13"/>
  <c r="AP94" i="13"/>
  <c r="AO94" i="13"/>
  <c r="AN94" i="13"/>
  <c r="AM94" i="13"/>
  <c r="AL94" i="13"/>
  <c r="AP93" i="13"/>
  <c r="AO93" i="13"/>
  <c r="AN93" i="13"/>
  <c r="AM93" i="13"/>
  <c r="AL93" i="13"/>
  <c r="AP92" i="13"/>
  <c r="AO92" i="13"/>
  <c r="AN92" i="13"/>
  <c r="AM92" i="13"/>
  <c r="AL92" i="13"/>
  <c r="AP91" i="13"/>
  <c r="AO91" i="13"/>
  <c r="AN91" i="13"/>
  <c r="AM91" i="13"/>
  <c r="AL91" i="13"/>
  <c r="AP90" i="13"/>
  <c r="AO90" i="13"/>
  <c r="AN90" i="13"/>
  <c r="AM90" i="13"/>
  <c r="AL90" i="13"/>
  <c r="AP89" i="13"/>
  <c r="AO89" i="13"/>
  <c r="AN89" i="13"/>
  <c r="AM89" i="13"/>
  <c r="AL89" i="13"/>
  <c r="AP88" i="13"/>
  <c r="AO88" i="13"/>
  <c r="AN88" i="13"/>
  <c r="AM88" i="13"/>
  <c r="AL88" i="13"/>
  <c r="R103" i="13"/>
  <c r="N89" i="13"/>
  <c r="O89" i="13"/>
  <c r="P89" i="13"/>
  <c r="Q89" i="13"/>
  <c r="R89" i="13"/>
  <c r="N90" i="13"/>
  <c r="O90" i="13"/>
  <c r="P90" i="13"/>
  <c r="Q90" i="13"/>
  <c r="R90" i="13"/>
  <c r="N91" i="13"/>
  <c r="O91" i="13"/>
  <c r="P91" i="13"/>
  <c r="Q91" i="13"/>
  <c r="R91" i="13"/>
  <c r="N92" i="13"/>
  <c r="O92" i="13"/>
  <c r="P92" i="13"/>
  <c r="Q92" i="13"/>
  <c r="R92" i="13"/>
  <c r="N93" i="13"/>
  <c r="O93" i="13"/>
  <c r="P93" i="13"/>
  <c r="Q93" i="13"/>
  <c r="R93" i="13"/>
  <c r="N94" i="13"/>
  <c r="O94" i="13"/>
  <c r="P94" i="13"/>
  <c r="Q94" i="13"/>
  <c r="R94" i="13"/>
  <c r="N95" i="13"/>
  <c r="O95" i="13"/>
  <c r="P95" i="13"/>
  <c r="Q95" i="13"/>
  <c r="R95" i="13"/>
  <c r="N96" i="13"/>
  <c r="O96" i="13"/>
  <c r="P96" i="13"/>
  <c r="Q96" i="13"/>
  <c r="R96" i="13"/>
  <c r="N97" i="13"/>
  <c r="O97" i="13"/>
  <c r="P97" i="13"/>
  <c r="Q97" i="13"/>
  <c r="R97" i="13"/>
  <c r="N98" i="13"/>
  <c r="O98" i="13"/>
  <c r="P98" i="13"/>
  <c r="Q98" i="13"/>
  <c r="R98" i="13"/>
  <c r="N99" i="13"/>
  <c r="O99" i="13"/>
  <c r="P99" i="13"/>
  <c r="Q99" i="13"/>
  <c r="R99" i="13"/>
  <c r="N100" i="13"/>
  <c r="O100" i="13"/>
  <c r="P100" i="13"/>
  <c r="Q100" i="13"/>
  <c r="R100" i="13"/>
  <c r="N101" i="13"/>
  <c r="O101" i="13"/>
  <c r="P101" i="13"/>
  <c r="Q101" i="13"/>
  <c r="R101" i="13"/>
  <c r="N102" i="13"/>
  <c r="O102" i="13"/>
  <c r="P102" i="13"/>
  <c r="Q102" i="13"/>
  <c r="R102" i="13"/>
  <c r="N103" i="13"/>
  <c r="O103" i="13"/>
  <c r="P103" i="13"/>
  <c r="Q103" i="13"/>
  <c r="R88" i="13"/>
  <c r="Q88" i="13"/>
  <c r="P88" i="13"/>
  <c r="O88" i="13"/>
  <c r="N88" i="13"/>
  <c r="AC14" i="10"/>
  <c r="AD14" i="10"/>
  <c r="AC15" i="10"/>
  <c r="AD15" i="10"/>
  <c r="AC16" i="10"/>
  <c r="AD16" i="10"/>
  <c r="AC17" i="10"/>
  <c r="AD17" i="10"/>
  <c r="AC18" i="10"/>
  <c r="AD18" i="10"/>
  <c r="AC19" i="10"/>
  <c r="AD19" i="10"/>
  <c r="AC20" i="10"/>
  <c r="AD20" i="10"/>
  <c r="AC21" i="10"/>
  <c r="AD21" i="10"/>
  <c r="AC22" i="10"/>
  <c r="AD22" i="10"/>
  <c r="AC23" i="10"/>
  <c r="AD23" i="10"/>
  <c r="AC24" i="10"/>
  <c r="AD24" i="10"/>
  <c r="AC25" i="10"/>
  <c r="AD25" i="10"/>
  <c r="AC26" i="10"/>
  <c r="AD26" i="10"/>
  <c r="AC27" i="10"/>
  <c r="AD27" i="10"/>
  <c r="AC28" i="10"/>
  <c r="AD28" i="10"/>
  <c r="AC13" i="10"/>
  <c r="AD13" i="10"/>
  <c r="DI153" i="16"/>
  <c r="DE139" i="16"/>
  <c r="DF139" i="16"/>
  <c r="DG139" i="16"/>
  <c r="DH139" i="16"/>
  <c r="DI139" i="16"/>
  <c r="DE140" i="16"/>
  <c r="DF140" i="16"/>
  <c r="DG140" i="16"/>
  <c r="DH140" i="16"/>
  <c r="DI140" i="16"/>
  <c r="DE141" i="16"/>
  <c r="DF141" i="16"/>
  <c r="DG141" i="16"/>
  <c r="DH141" i="16"/>
  <c r="DI141" i="16"/>
  <c r="DE142" i="16"/>
  <c r="DF142" i="16"/>
  <c r="DG142" i="16"/>
  <c r="DH142" i="16"/>
  <c r="DI142" i="16"/>
  <c r="DE143" i="16"/>
  <c r="DF143" i="16"/>
  <c r="DG143" i="16"/>
  <c r="DH143" i="16"/>
  <c r="DI143" i="16"/>
  <c r="DE144" i="16"/>
  <c r="DF144" i="16"/>
  <c r="DG144" i="16"/>
  <c r="DH144" i="16"/>
  <c r="DI144" i="16"/>
  <c r="DE145" i="16"/>
  <c r="DF145" i="16"/>
  <c r="DG145" i="16"/>
  <c r="DH145" i="16"/>
  <c r="DI145" i="16"/>
  <c r="DE146" i="16"/>
  <c r="DF146" i="16"/>
  <c r="DG146" i="16"/>
  <c r="DH146" i="16"/>
  <c r="DI146" i="16"/>
  <c r="DE147" i="16"/>
  <c r="DF147" i="16"/>
  <c r="DG147" i="16"/>
  <c r="DH147" i="16"/>
  <c r="DI147" i="16"/>
  <c r="DE148" i="16"/>
  <c r="DF148" i="16"/>
  <c r="DG148" i="16"/>
  <c r="DH148" i="16"/>
  <c r="DI148" i="16"/>
  <c r="DE149" i="16"/>
  <c r="DF149" i="16"/>
  <c r="DG149" i="16"/>
  <c r="DH149" i="16"/>
  <c r="DI149" i="16"/>
  <c r="DE150" i="16"/>
  <c r="DF150" i="16"/>
  <c r="DG150" i="16"/>
  <c r="DH150" i="16"/>
  <c r="DI150" i="16"/>
  <c r="DE151" i="16"/>
  <c r="DF151" i="16"/>
  <c r="DG151" i="16"/>
  <c r="DH151" i="16"/>
  <c r="DI151" i="16"/>
  <c r="DE152" i="16"/>
  <c r="DF152" i="16"/>
  <c r="DG152" i="16"/>
  <c r="DH152" i="16"/>
  <c r="DI152" i="16"/>
  <c r="DE153" i="16"/>
  <c r="DF153" i="16"/>
  <c r="DG153" i="16"/>
  <c r="DH153" i="16"/>
  <c r="DI138" i="16"/>
  <c r="DH138" i="16"/>
  <c r="DG138" i="16"/>
  <c r="DF138" i="16"/>
  <c r="DE138" i="16"/>
  <c r="CG139" i="16"/>
  <c r="CH139" i="16"/>
  <c r="CI139" i="16"/>
  <c r="CJ139" i="16"/>
  <c r="CK139" i="16"/>
  <c r="CG140" i="16"/>
  <c r="CH140" i="16"/>
  <c r="CI140" i="16"/>
  <c r="CJ140" i="16"/>
  <c r="CK140" i="16"/>
  <c r="CG141" i="16"/>
  <c r="CH141" i="16"/>
  <c r="CI141" i="16"/>
  <c r="CJ141" i="16"/>
  <c r="CK141" i="16"/>
  <c r="CG142" i="16"/>
  <c r="CH142" i="16"/>
  <c r="CI142" i="16"/>
  <c r="CJ142" i="16"/>
  <c r="CK142" i="16"/>
  <c r="CG143" i="16"/>
  <c r="CH143" i="16"/>
  <c r="CI143" i="16"/>
  <c r="CJ143" i="16"/>
  <c r="CK143" i="16"/>
  <c r="CG144" i="16"/>
  <c r="CH144" i="16"/>
  <c r="CI144" i="16"/>
  <c r="CJ144" i="16"/>
  <c r="CK144" i="16"/>
  <c r="CG145" i="16"/>
  <c r="CH145" i="16"/>
  <c r="CI145" i="16"/>
  <c r="CJ145" i="16"/>
  <c r="CK145" i="16"/>
  <c r="CG146" i="16"/>
  <c r="CH146" i="16"/>
  <c r="CI146" i="16"/>
  <c r="CJ146" i="16"/>
  <c r="CK146" i="16"/>
  <c r="CG147" i="16"/>
  <c r="CH147" i="16"/>
  <c r="CI147" i="16"/>
  <c r="CJ147" i="16"/>
  <c r="CK147" i="16"/>
  <c r="CG148" i="16"/>
  <c r="CH148" i="16"/>
  <c r="CI148" i="16"/>
  <c r="CJ148" i="16"/>
  <c r="CK148" i="16"/>
  <c r="CG149" i="16"/>
  <c r="CH149" i="16"/>
  <c r="CI149" i="16"/>
  <c r="CJ149" i="16"/>
  <c r="CK149" i="16"/>
  <c r="CG150" i="16"/>
  <c r="CH150" i="16"/>
  <c r="CI150" i="16"/>
  <c r="CJ150" i="16"/>
  <c r="CK150" i="16"/>
  <c r="CG151" i="16"/>
  <c r="CH151" i="16"/>
  <c r="CI151" i="16"/>
  <c r="CJ151" i="16"/>
  <c r="CK151" i="16"/>
  <c r="CG152" i="16"/>
  <c r="CH152" i="16"/>
  <c r="CI152" i="16"/>
  <c r="CJ152" i="16"/>
  <c r="CK152" i="16"/>
  <c r="CG153" i="16"/>
  <c r="CH153" i="16"/>
  <c r="CI153" i="16"/>
  <c r="CJ153" i="16"/>
  <c r="CK153" i="16"/>
  <c r="CK138" i="16"/>
  <c r="CJ138" i="16"/>
  <c r="CI138" i="16"/>
  <c r="CH138" i="16"/>
  <c r="CG138" i="16"/>
  <c r="BM153" i="16"/>
  <c r="BI139" i="16"/>
  <c r="BJ139" i="16"/>
  <c r="BK139" i="16"/>
  <c r="BL139" i="16"/>
  <c r="BM139" i="16"/>
  <c r="BI140" i="16"/>
  <c r="BJ140" i="16"/>
  <c r="BK140" i="16"/>
  <c r="BL140" i="16"/>
  <c r="BM140" i="16"/>
  <c r="BI141" i="16"/>
  <c r="BJ141" i="16"/>
  <c r="BK141" i="16"/>
  <c r="BL141" i="16"/>
  <c r="BM141" i="16"/>
  <c r="BI142" i="16"/>
  <c r="BJ142" i="16"/>
  <c r="BK142" i="16"/>
  <c r="BL142" i="16"/>
  <c r="BM142" i="16"/>
  <c r="BI143" i="16"/>
  <c r="BJ143" i="16"/>
  <c r="BK143" i="16"/>
  <c r="BL143" i="16"/>
  <c r="BM143" i="16"/>
  <c r="BI144" i="16"/>
  <c r="BJ144" i="16"/>
  <c r="BK144" i="16"/>
  <c r="BL144" i="16"/>
  <c r="BM144" i="16"/>
  <c r="BI145" i="16"/>
  <c r="BJ145" i="16"/>
  <c r="BK145" i="16"/>
  <c r="BL145" i="16"/>
  <c r="BM145" i="16"/>
  <c r="BI146" i="16"/>
  <c r="BJ146" i="16"/>
  <c r="BK146" i="16"/>
  <c r="BL146" i="16"/>
  <c r="BM146" i="16"/>
  <c r="BI147" i="16"/>
  <c r="BJ147" i="16"/>
  <c r="BK147" i="16"/>
  <c r="BL147" i="16"/>
  <c r="BM147" i="16"/>
  <c r="BI148" i="16"/>
  <c r="BJ148" i="16"/>
  <c r="BK148" i="16"/>
  <c r="BL148" i="16"/>
  <c r="BM148" i="16"/>
  <c r="BI149" i="16"/>
  <c r="BJ149" i="16"/>
  <c r="BK149" i="16"/>
  <c r="BL149" i="16"/>
  <c r="BM149" i="16"/>
  <c r="BI150" i="16"/>
  <c r="BJ150" i="16"/>
  <c r="BK150" i="16"/>
  <c r="BL150" i="16"/>
  <c r="BM150" i="16"/>
  <c r="BI151" i="16"/>
  <c r="BJ151" i="16"/>
  <c r="BK151" i="16"/>
  <c r="BL151" i="16"/>
  <c r="BM151" i="16"/>
  <c r="BI152" i="16"/>
  <c r="BJ152" i="16"/>
  <c r="BK152" i="16"/>
  <c r="BL152" i="16"/>
  <c r="BM152" i="16"/>
  <c r="BI153" i="16"/>
  <c r="BJ153" i="16"/>
  <c r="BK153" i="16"/>
  <c r="BL153" i="16"/>
  <c r="BM138" i="16"/>
  <c r="BL138" i="16"/>
  <c r="BK138" i="16"/>
  <c r="BJ138" i="16"/>
  <c r="BI138" i="16"/>
  <c r="AK139" i="16"/>
  <c r="AL139" i="16"/>
  <c r="AM139" i="16"/>
  <c r="AN139" i="16"/>
  <c r="AO139" i="16"/>
  <c r="AK140" i="16"/>
  <c r="AL140" i="16"/>
  <c r="AM140" i="16"/>
  <c r="AN140" i="16"/>
  <c r="AO140" i="16"/>
  <c r="AK141" i="16"/>
  <c r="AL141" i="16"/>
  <c r="AM141" i="16"/>
  <c r="AN141" i="16"/>
  <c r="AO141" i="16"/>
  <c r="AK142" i="16"/>
  <c r="AL142" i="16"/>
  <c r="AM142" i="16"/>
  <c r="AN142" i="16"/>
  <c r="AO142" i="16"/>
  <c r="AK143" i="16"/>
  <c r="AL143" i="16"/>
  <c r="AM143" i="16"/>
  <c r="AN143" i="16"/>
  <c r="AO143" i="16"/>
  <c r="AK144" i="16"/>
  <c r="AL144" i="16"/>
  <c r="AM144" i="16"/>
  <c r="AN144" i="16"/>
  <c r="AO144" i="16"/>
  <c r="AK145" i="16"/>
  <c r="AL145" i="16"/>
  <c r="AM145" i="16"/>
  <c r="AN145" i="16"/>
  <c r="AO145" i="16"/>
  <c r="AK146" i="16"/>
  <c r="AL146" i="16"/>
  <c r="AM146" i="16"/>
  <c r="AN146" i="16"/>
  <c r="AO146" i="16"/>
  <c r="AK147" i="16"/>
  <c r="AL147" i="16"/>
  <c r="AM147" i="16"/>
  <c r="AN147" i="16"/>
  <c r="AO147" i="16"/>
  <c r="AK148" i="16"/>
  <c r="AL148" i="16"/>
  <c r="AM148" i="16"/>
  <c r="AN148" i="16"/>
  <c r="AO148" i="16"/>
  <c r="AK149" i="16"/>
  <c r="AL149" i="16"/>
  <c r="AM149" i="16"/>
  <c r="AN149" i="16"/>
  <c r="AO149" i="16"/>
  <c r="AK150" i="16"/>
  <c r="AL150" i="16"/>
  <c r="AM150" i="16"/>
  <c r="AN150" i="16"/>
  <c r="AO150" i="16"/>
  <c r="AK151" i="16"/>
  <c r="AL151" i="16"/>
  <c r="AM151" i="16"/>
  <c r="AN151" i="16"/>
  <c r="AO151" i="16"/>
  <c r="AK152" i="16"/>
  <c r="AL152" i="16"/>
  <c r="AM152" i="16"/>
  <c r="AN152" i="16"/>
  <c r="AO152" i="16"/>
  <c r="AK153" i="16"/>
  <c r="AL153" i="16"/>
  <c r="AM153" i="16"/>
  <c r="AN153" i="16"/>
  <c r="AO153" i="16"/>
  <c r="AO138" i="16"/>
  <c r="AN138" i="16"/>
  <c r="AM138" i="16"/>
  <c r="AL138" i="16"/>
  <c r="AK138" i="16"/>
  <c r="Q153" i="16"/>
  <c r="P153" i="16"/>
  <c r="O153" i="16"/>
  <c r="N153" i="16"/>
  <c r="M153" i="16"/>
  <c r="Q152" i="16"/>
  <c r="P152" i="16"/>
  <c r="O152" i="16"/>
  <c r="N152" i="16"/>
  <c r="M152" i="16"/>
  <c r="Q151" i="16"/>
  <c r="P151" i="16"/>
  <c r="O151" i="16"/>
  <c r="N151" i="16"/>
  <c r="M151" i="16"/>
  <c r="Q150" i="16"/>
  <c r="P150" i="16"/>
  <c r="O150" i="16"/>
  <c r="N150" i="16"/>
  <c r="M150" i="16"/>
  <c r="Q149" i="16"/>
  <c r="P149" i="16"/>
  <c r="O149" i="16"/>
  <c r="N149" i="16"/>
  <c r="M149" i="16"/>
  <c r="Q148" i="16"/>
  <c r="P148" i="16"/>
  <c r="O148" i="16"/>
  <c r="N148" i="16"/>
  <c r="M148" i="16"/>
  <c r="Q147" i="16"/>
  <c r="P147" i="16"/>
  <c r="O147" i="16"/>
  <c r="N147" i="16"/>
  <c r="M147" i="16"/>
  <c r="Q146" i="16"/>
  <c r="P146" i="16"/>
  <c r="O146" i="16"/>
  <c r="N146" i="16"/>
  <c r="M146" i="16"/>
  <c r="Q145" i="16"/>
  <c r="P145" i="16"/>
  <c r="O145" i="16"/>
  <c r="N145" i="16"/>
  <c r="M145" i="16"/>
  <c r="Q144" i="16"/>
  <c r="P144" i="16"/>
  <c r="O144" i="16"/>
  <c r="N144" i="16"/>
  <c r="M144" i="16"/>
  <c r="Q143" i="16"/>
  <c r="P143" i="16"/>
  <c r="O143" i="16"/>
  <c r="N143" i="16"/>
  <c r="M143" i="16"/>
  <c r="Q142" i="16"/>
  <c r="P142" i="16"/>
  <c r="O142" i="16"/>
  <c r="N142" i="16"/>
  <c r="M142" i="16"/>
  <c r="Q141" i="16"/>
  <c r="P141" i="16"/>
  <c r="O141" i="16"/>
  <c r="N141" i="16"/>
  <c r="M141" i="16"/>
  <c r="Q140" i="16"/>
  <c r="P140" i="16"/>
  <c r="O140" i="16"/>
  <c r="N140" i="16"/>
  <c r="M140" i="16"/>
  <c r="Q139" i="16"/>
  <c r="P139" i="16"/>
  <c r="O139" i="16"/>
  <c r="N139" i="16"/>
  <c r="M139" i="16"/>
  <c r="Q138" i="16"/>
  <c r="P138" i="16"/>
  <c r="O138" i="16"/>
  <c r="N138" i="16"/>
  <c r="M138" i="16"/>
  <c r="DI153" i="15"/>
  <c r="DH153" i="15"/>
  <c r="DG153" i="15"/>
  <c r="DF153" i="15"/>
  <c r="DE153" i="15"/>
  <c r="DI152" i="15"/>
  <c r="DH152" i="15"/>
  <c r="DG152" i="15"/>
  <c r="DF152" i="15"/>
  <c r="DE152" i="15"/>
  <c r="DI151" i="15"/>
  <c r="DH151" i="15"/>
  <c r="DG151" i="15"/>
  <c r="DF151" i="15"/>
  <c r="DE151" i="15"/>
  <c r="DI150" i="15"/>
  <c r="DH150" i="15"/>
  <c r="DG150" i="15"/>
  <c r="DF150" i="15"/>
  <c r="DE150" i="15"/>
  <c r="DI149" i="15"/>
  <c r="DH149" i="15"/>
  <c r="DG149" i="15"/>
  <c r="DF149" i="15"/>
  <c r="DE149" i="15"/>
  <c r="DI148" i="15"/>
  <c r="DH148" i="15"/>
  <c r="DG148" i="15"/>
  <c r="DF148" i="15"/>
  <c r="DE148" i="15"/>
  <c r="DI147" i="15"/>
  <c r="DH147" i="15"/>
  <c r="DG147" i="15"/>
  <c r="DF147" i="15"/>
  <c r="DE147" i="15"/>
  <c r="DI146" i="15"/>
  <c r="DH146" i="15"/>
  <c r="DG146" i="15"/>
  <c r="DF146" i="15"/>
  <c r="DE146" i="15"/>
  <c r="DI145" i="15"/>
  <c r="DH145" i="15"/>
  <c r="DG145" i="15"/>
  <c r="DF145" i="15"/>
  <c r="DE145" i="15"/>
  <c r="DI144" i="15"/>
  <c r="DH144" i="15"/>
  <c r="DG144" i="15"/>
  <c r="DF144" i="15"/>
  <c r="DE144" i="15"/>
  <c r="DI143" i="15"/>
  <c r="DH143" i="15"/>
  <c r="DG143" i="15"/>
  <c r="DF143" i="15"/>
  <c r="DE143" i="15"/>
  <c r="DI142" i="15"/>
  <c r="DH142" i="15"/>
  <c r="DG142" i="15"/>
  <c r="DF142" i="15"/>
  <c r="DE142" i="15"/>
  <c r="DI141" i="15"/>
  <c r="DH141" i="15"/>
  <c r="DG141" i="15"/>
  <c r="DF141" i="15"/>
  <c r="DE141" i="15"/>
  <c r="DI140" i="15"/>
  <c r="DH140" i="15"/>
  <c r="DG140" i="15"/>
  <c r="DF140" i="15"/>
  <c r="DE140" i="15"/>
  <c r="DI139" i="15"/>
  <c r="DH139" i="15"/>
  <c r="DG139" i="15"/>
  <c r="DF139" i="15"/>
  <c r="DE139" i="15"/>
  <c r="DI138" i="15"/>
  <c r="DH138" i="15"/>
  <c r="DG138" i="15"/>
  <c r="DF138" i="15"/>
  <c r="DE138" i="15"/>
  <c r="CK153" i="15"/>
  <c r="CJ153" i="15"/>
  <c r="CI153" i="15"/>
  <c r="CH153" i="15"/>
  <c r="CG153" i="15"/>
  <c r="CK152" i="15"/>
  <c r="CJ152" i="15"/>
  <c r="CI152" i="15"/>
  <c r="CH152" i="15"/>
  <c r="CG152" i="15"/>
  <c r="CK151" i="15"/>
  <c r="CJ151" i="15"/>
  <c r="CI151" i="15"/>
  <c r="CH151" i="15"/>
  <c r="CG151" i="15"/>
  <c r="CK150" i="15"/>
  <c r="CJ150" i="15"/>
  <c r="CI150" i="15"/>
  <c r="CH150" i="15"/>
  <c r="CG150" i="15"/>
  <c r="CK149" i="15"/>
  <c r="CJ149" i="15"/>
  <c r="CI149" i="15"/>
  <c r="CH149" i="15"/>
  <c r="CG149" i="15"/>
  <c r="CK148" i="15"/>
  <c r="CJ148" i="15"/>
  <c r="CI148" i="15"/>
  <c r="CH148" i="15"/>
  <c r="CG148" i="15"/>
  <c r="CK147" i="15"/>
  <c r="CJ147" i="15"/>
  <c r="CI147" i="15"/>
  <c r="CH147" i="15"/>
  <c r="CG147" i="15"/>
  <c r="CK146" i="15"/>
  <c r="CJ146" i="15"/>
  <c r="CI146" i="15"/>
  <c r="CH146" i="15"/>
  <c r="CG146" i="15"/>
  <c r="CK145" i="15"/>
  <c r="CJ145" i="15"/>
  <c r="CI145" i="15"/>
  <c r="CH145" i="15"/>
  <c r="CG145" i="15"/>
  <c r="CK144" i="15"/>
  <c r="CJ144" i="15"/>
  <c r="CI144" i="15"/>
  <c r="CH144" i="15"/>
  <c r="CG144" i="15"/>
  <c r="CK143" i="15"/>
  <c r="CJ143" i="15"/>
  <c r="CI143" i="15"/>
  <c r="CH143" i="15"/>
  <c r="CG143" i="15"/>
  <c r="CK142" i="15"/>
  <c r="CJ142" i="15"/>
  <c r="CI142" i="15"/>
  <c r="CH142" i="15"/>
  <c r="CG142" i="15"/>
  <c r="CK141" i="15"/>
  <c r="CJ141" i="15"/>
  <c r="CI141" i="15"/>
  <c r="CH141" i="15"/>
  <c r="CG141" i="15"/>
  <c r="CK140" i="15"/>
  <c r="CJ140" i="15"/>
  <c r="CI140" i="15"/>
  <c r="CH140" i="15"/>
  <c r="CG140" i="15"/>
  <c r="CK139" i="15"/>
  <c r="CJ139" i="15"/>
  <c r="CI139" i="15"/>
  <c r="CH139" i="15"/>
  <c r="CG139" i="15"/>
  <c r="CK138" i="15"/>
  <c r="CJ138" i="15"/>
  <c r="CI138" i="15"/>
  <c r="CH138" i="15"/>
  <c r="CG138" i="15"/>
  <c r="BM153" i="15"/>
  <c r="BL153" i="15"/>
  <c r="BK153" i="15"/>
  <c r="BJ153" i="15"/>
  <c r="BI153" i="15"/>
  <c r="BM152" i="15"/>
  <c r="BL152" i="15"/>
  <c r="BK152" i="15"/>
  <c r="BJ152" i="15"/>
  <c r="BI152" i="15"/>
  <c r="BM151" i="15"/>
  <c r="BL151" i="15"/>
  <c r="BK151" i="15"/>
  <c r="BJ151" i="15"/>
  <c r="BI151" i="15"/>
  <c r="BM150" i="15"/>
  <c r="BL150" i="15"/>
  <c r="BK150" i="15"/>
  <c r="BJ150" i="15"/>
  <c r="BI150" i="15"/>
  <c r="BM149" i="15"/>
  <c r="BL149" i="15"/>
  <c r="BK149" i="15"/>
  <c r="BJ149" i="15"/>
  <c r="BI149" i="15"/>
  <c r="BM148" i="15"/>
  <c r="BL148" i="15"/>
  <c r="BK148" i="15"/>
  <c r="BJ148" i="15"/>
  <c r="BI148" i="15"/>
  <c r="BM147" i="15"/>
  <c r="BL147" i="15"/>
  <c r="BK147" i="15"/>
  <c r="BJ147" i="15"/>
  <c r="BI147" i="15"/>
  <c r="BM146" i="15"/>
  <c r="BL146" i="15"/>
  <c r="BK146" i="15"/>
  <c r="BJ146" i="15"/>
  <c r="BI146" i="15"/>
  <c r="BM145" i="15"/>
  <c r="BL145" i="15"/>
  <c r="BK145" i="15"/>
  <c r="BJ145" i="15"/>
  <c r="BI145" i="15"/>
  <c r="BM144" i="15"/>
  <c r="BL144" i="15"/>
  <c r="BK144" i="15"/>
  <c r="BJ144" i="15"/>
  <c r="BI144" i="15"/>
  <c r="BM143" i="15"/>
  <c r="BL143" i="15"/>
  <c r="BK143" i="15"/>
  <c r="BJ143" i="15"/>
  <c r="BI143" i="15"/>
  <c r="BM142" i="15"/>
  <c r="BL142" i="15"/>
  <c r="BK142" i="15"/>
  <c r="BJ142" i="15"/>
  <c r="BI142" i="15"/>
  <c r="BM141" i="15"/>
  <c r="BL141" i="15"/>
  <c r="BK141" i="15"/>
  <c r="BJ141" i="15"/>
  <c r="BI141" i="15"/>
  <c r="BM140" i="15"/>
  <c r="BL140" i="15"/>
  <c r="BK140" i="15"/>
  <c r="BJ140" i="15"/>
  <c r="BI140" i="15"/>
  <c r="BM139" i="15"/>
  <c r="BL139" i="15"/>
  <c r="BK139" i="15"/>
  <c r="BJ139" i="15"/>
  <c r="BI139" i="15"/>
  <c r="BM138" i="15"/>
  <c r="BL138" i="15"/>
  <c r="BK138" i="15"/>
  <c r="BJ138" i="15"/>
  <c r="BI138" i="15"/>
  <c r="AO153" i="15"/>
  <c r="AN153" i="15"/>
  <c r="AM153" i="15"/>
  <c r="AL153" i="15"/>
  <c r="AK153" i="15"/>
  <c r="AO152" i="15"/>
  <c r="AN152" i="15"/>
  <c r="AM152" i="15"/>
  <c r="AL152" i="15"/>
  <c r="AK152" i="15"/>
  <c r="AO151" i="15"/>
  <c r="AN151" i="15"/>
  <c r="AM151" i="15"/>
  <c r="AL151" i="15"/>
  <c r="AK151" i="15"/>
  <c r="AO150" i="15"/>
  <c r="AN150" i="15"/>
  <c r="AM150" i="15"/>
  <c r="AL150" i="15"/>
  <c r="AK150" i="15"/>
  <c r="AO149" i="15"/>
  <c r="AN149" i="15"/>
  <c r="AM149" i="15"/>
  <c r="AL149" i="15"/>
  <c r="AK149" i="15"/>
  <c r="AO148" i="15"/>
  <c r="AN148" i="15"/>
  <c r="AM148" i="15"/>
  <c r="AL148" i="15"/>
  <c r="AK148" i="15"/>
  <c r="AO147" i="15"/>
  <c r="AN147" i="15"/>
  <c r="AM147" i="15"/>
  <c r="AL147" i="15"/>
  <c r="AK147" i="15"/>
  <c r="AO146" i="15"/>
  <c r="AN146" i="15"/>
  <c r="AM146" i="15"/>
  <c r="AL146" i="15"/>
  <c r="AK146" i="15"/>
  <c r="AO145" i="15"/>
  <c r="AN145" i="15"/>
  <c r="AM145" i="15"/>
  <c r="AL145" i="15"/>
  <c r="AK145" i="15"/>
  <c r="AO144" i="15"/>
  <c r="AN144" i="15"/>
  <c r="AM144" i="15"/>
  <c r="AL144" i="15"/>
  <c r="AK144" i="15"/>
  <c r="AO143" i="15"/>
  <c r="AN143" i="15"/>
  <c r="AM143" i="15"/>
  <c r="AL143" i="15"/>
  <c r="AK143" i="15"/>
  <c r="AO142" i="15"/>
  <c r="AN142" i="15"/>
  <c r="AM142" i="15"/>
  <c r="AL142" i="15"/>
  <c r="AK142" i="15"/>
  <c r="AO141" i="15"/>
  <c r="AN141" i="15"/>
  <c r="AM141" i="15"/>
  <c r="AL141" i="15"/>
  <c r="AK141" i="15"/>
  <c r="AO140" i="15"/>
  <c r="AN140" i="15"/>
  <c r="AM140" i="15"/>
  <c r="AL140" i="15"/>
  <c r="AK140" i="15"/>
  <c r="AO139" i="15"/>
  <c r="AN139" i="15"/>
  <c r="AM139" i="15"/>
  <c r="AL139" i="15"/>
  <c r="AK139" i="15"/>
  <c r="AO138" i="15"/>
  <c r="AN138" i="15"/>
  <c r="AM138" i="15"/>
  <c r="AL138" i="15"/>
  <c r="AK138" i="15"/>
  <c r="Q153" i="15"/>
  <c r="P153" i="15"/>
  <c r="O153" i="15"/>
  <c r="N153" i="15"/>
  <c r="M153" i="15"/>
  <c r="Q152" i="15"/>
  <c r="P152" i="15"/>
  <c r="O152" i="15"/>
  <c r="N152" i="15"/>
  <c r="M152" i="15"/>
  <c r="Q151" i="15"/>
  <c r="P151" i="15"/>
  <c r="O151" i="15"/>
  <c r="N151" i="15"/>
  <c r="M151" i="15"/>
  <c r="Q150" i="15"/>
  <c r="P150" i="15"/>
  <c r="O150" i="15"/>
  <c r="N150" i="15"/>
  <c r="M150" i="15"/>
  <c r="Q149" i="15"/>
  <c r="P149" i="15"/>
  <c r="O149" i="15"/>
  <c r="N149" i="15"/>
  <c r="M149" i="15"/>
  <c r="Q148" i="15"/>
  <c r="P148" i="15"/>
  <c r="O148" i="15"/>
  <c r="N148" i="15"/>
  <c r="M148" i="15"/>
  <c r="Q147" i="15"/>
  <c r="P147" i="15"/>
  <c r="O147" i="15"/>
  <c r="N147" i="15"/>
  <c r="M147" i="15"/>
  <c r="Q146" i="15"/>
  <c r="P146" i="15"/>
  <c r="O146" i="15"/>
  <c r="N146" i="15"/>
  <c r="M146" i="15"/>
  <c r="Q145" i="15"/>
  <c r="P145" i="15"/>
  <c r="O145" i="15"/>
  <c r="N145" i="15"/>
  <c r="M145" i="15"/>
  <c r="Q144" i="15"/>
  <c r="P144" i="15"/>
  <c r="O144" i="15"/>
  <c r="N144" i="15"/>
  <c r="M144" i="15"/>
  <c r="Q143" i="15"/>
  <c r="P143" i="15"/>
  <c r="O143" i="15"/>
  <c r="N143" i="15"/>
  <c r="M143" i="15"/>
  <c r="Q142" i="15"/>
  <c r="P142" i="15"/>
  <c r="O142" i="15"/>
  <c r="N142" i="15"/>
  <c r="M142" i="15"/>
  <c r="Q141" i="15"/>
  <c r="P141" i="15"/>
  <c r="O141" i="15"/>
  <c r="N141" i="15"/>
  <c r="M141" i="15"/>
  <c r="Q140" i="15"/>
  <c r="P140" i="15"/>
  <c r="O140" i="15"/>
  <c r="N140" i="15"/>
  <c r="M140" i="15"/>
  <c r="Q139" i="15"/>
  <c r="P139" i="15"/>
  <c r="O139" i="15"/>
  <c r="N139" i="15"/>
  <c r="M139" i="15"/>
  <c r="Q138" i="15"/>
  <c r="P138" i="15"/>
  <c r="O138" i="15"/>
  <c r="N138" i="15"/>
  <c r="M138" i="15"/>
  <c r="DI153" i="14"/>
  <c r="DH153" i="14"/>
  <c r="DG153" i="14"/>
  <c r="DF153" i="14"/>
  <c r="DE153" i="14"/>
  <c r="DI152" i="14"/>
  <c r="DH152" i="14"/>
  <c r="DG152" i="14"/>
  <c r="DF152" i="14"/>
  <c r="DE152" i="14"/>
  <c r="DI151" i="14"/>
  <c r="DH151" i="14"/>
  <c r="DG151" i="14"/>
  <c r="DF151" i="14"/>
  <c r="DE151" i="14"/>
  <c r="DI150" i="14"/>
  <c r="DH150" i="14"/>
  <c r="DG150" i="14"/>
  <c r="DF150" i="14"/>
  <c r="DE150" i="14"/>
  <c r="DI149" i="14"/>
  <c r="DH149" i="14"/>
  <c r="DG149" i="14"/>
  <c r="DF149" i="14"/>
  <c r="DE149" i="14"/>
  <c r="DI148" i="14"/>
  <c r="DH148" i="14"/>
  <c r="DG148" i="14"/>
  <c r="DF148" i="14"/>
  <c r="DE148" i="14"/>
  <c r="DI147" i="14"/>
  <c r="DH147" i="14"/>
  <c r="DG147" i="14"/>
  <c r="DF147" i="14"/>
  <c r="DE147" i="14"/>
  <c r="DI146" i="14"/>
  <c r="DH146" i="14"/>
  <c r="DG146" i="14"/>
  <c r="DF146" i="14"/>
  <c r="DE146" i="14"/>
  <c r="DI145" i="14"/>
  <c r="DH145" i="14"/>
  <c r="DG145" i="14"/>
  <c r="DF145" i="14"/>
  <c r="DE145" i="14"/>
  <c r="DI144" i="14"/>
  <c r="DH144" i="14"/>
  <c r="DG144" i="14"/>
  <c r="DF144" i="14"/>
  <c r="DE144" i="14"/>
  <c r="DI143" i="14"/>
  <c r="DH143" i="14"/>
  <c r="DG143" i="14"/>
  <c r="DF143" i="14"/>
  <c r="DE143" i="14"/>
  <c r="DI142" i="14"/>
  <c r="DH142" i="14"/>
  <c r="DG142" i="14"/>
  <c r="DF142" i="14"/>
  <c r="DE142" i="14"/>
  <c r="DI141" i="14"/>
  <c r="DH141" i="14"/>
  <c r="DG141" i="14"/>
  <c r="DF141" i="14"/>
  <c r="DE141" i="14"/>
  <c r="DI140" i="14"/>
  <c r="DH140" i="14"/>
  <c r="DG140" i="14"/>
  <c r="DF140" i="14"/>
  <c r="DE140" i="14"/>
  <c r="DI139" i="14"/>
  <c r="DH139" i="14"/>
  <c r="DG139" i="14"/>
  <c r="DF139" i="14"/>
  <c r="DE139" i="14"/>
  <c r="DI138" i="14"/>
  <c r="DH138" i="14"/>
  <c r="DG138" i="14"/>
  <c r="DF138" i="14"/>
  <c r="DE138" i="14"/>
  <c r="CK153" i="14"/>
  <c r="CJ153" i="14"/>
  <c r="CI153" i="14"/>
  <c r="CH153" i="14"/>
  <c r="CG153" i="14"/>
  <c r="CK152" i="14"/>
  <c r="CJ152" i="14"/>
  <c r="CI152" i="14"/>
  <c r="CH152" i="14"/>
  <c r="CG152" i="14"/>
  <c r="CK151" i="14"/>
  <c r="CJ151" i="14"/>
  <c r="CI151" i="14"/>
  <c r="CH151" i="14"/>
  <c r="CG151" i="14"/>
  <c r="CK150" i="14"/>
  <c r="CJ150" i="14"/>
  <c r="CI150" i="14"/>
  <c r="CH150" i="14"/>
  <c r="CG150" i="14"/>
  <c r="CK149" i="14"/>
  <c r="CJ149" i="14"/>
  <c r="CI149" i="14"/>
  <c r="CH149" i="14"/>
  <c r="CG149" i="14"/>
  <c r="CK148" i="14"/>
  <c r="CJ148" i="14"/>
  <c r="CI148" i="14"/>
  <c r="CH148" i="14"/>
  <c r="CG148" i="14"/>
  <c r="CK147" i="14"/>
  <c r="CJ147" i="14"/>
  <c r="CI147" i="14"/>
  <c r="CH147" i="14"/>
  <c r="CG147" i="14"/>
  <c r="CK146" i="14"/>
  <c r="CJ146" i="14"/>
  <c r="CI146" i="14"/>
  <c r="CH146" i="14"/>
  <c r="CG146" i="14"/>
  <c r="CK145" i="14"/>
  <c r="CJ145" i="14"/>
  <c r="CI145" i="14"/>
  <c r="CH145" i="14"/>
  <c r="CG145" i="14"/>
  <c r="CK144" i="14"/>
  <c r="CJ144" i="14"/>
  <c r="CI144" i="14"/>
  <c r="CH144" i="14"/>
  <c r="CG144" i="14"/>
  <c r="CK143" i="14"/>
  <c r="CJ143" i="14"/>
  <c r="CI143" i="14"/>
  <c r="CH143" i="14"/>
  <c r="CG143" i="14"/>
  <c r="CK142" i="14"/>
  <c r="CJ142" i="14"/>
  <c r="CI142" i="14"/>
  <c r="CH142" i="14"/>
  <c r="CG142" i="14"/>
  <c r="CK141" i="14"/>
  <c r="CJ141" i="14"/>
  <c r="CI141" i="14"/>
  <c r="CH141" i="14"/>
  <c r="CG141" i="14"/>
  <c r="CK140" i="14"/>
  <c r="CJ140" i="14"/>
  <c r="CI140" i="14"/>
  <c r="CH140" i="14"/>
  <c r="CG140" i="14"/>
  <c r="CK139" i="14"/>
  <c r="CJ139" i="14"/>
  <c r="CI139" i="14"/>
  <c r="CH139" i="14"/>
  <c r="CG139" i="14"/>
  <c r="CK138" i="14"/>
  <c r="CJ138" i="14"/>
  <c r="CI138" i="14"/>
  <c r="CH138" i="14"/>
  <c r="CG138" i="14"/>
  <c r="BM153" i="14"/>
  <c r="BL153" i="14"/>
  <c r="BK153" i="14"/>
  <c r="BJ153" i="14"/>
  <c r="BI153" i="14"/>
  <c r="BM152" i="14"/>
  <c r="BL152" i="14"/>
  <c r="BK152" i="14"/>
  <c r="BJ152" i="14"/>
  <c r="BI152" i="14"/>
  <c r="BM151" i="14"/>
  <c r="BL151" i="14"/>
  <c r="BK151" i="14"/>
  <c r="BJ151" i="14"/>
  <c r="BI151" i="14"/>
  <c r="BM150" i="14"/>
  <c r="BL150" i="14"/>
  <c r="BK150" i="14"/>
  <c r="BJ150" i="14"/>
  <c r="BI150" i="14"/>
  <c r="BM149" i="14"/>
  <c r="BL149" i="14"/>
  <c r="BK149" i="14"/>
  <c r="BJ149" i="14"/>
  <c r="BI149" i="14"/>
  <c r="BM148" i="14"/>
  <c r="BL148" i="14"/>
  <c r="BK148" i="14"/>
  <c r="BJ148" i="14"/>
  <c r="BI148" i="14"/>
  <c r="BM147" i="14"/>
  <c r="BL147" i="14"/>
  <c r="BK147" i="14"/>
  <c r="BJ147" i="14"/>
  <c r="BI147" i="14"/>
  <c r="BM146" i="14"/>
  <c r="BL146" i="14"/>
  <c r="BK146" i="14"/>
  <c r="BJ146" i="14"/>
  <c r="BI146" i="14"/>
  <c r="BM145" i="14"/>
  <c r="BL145" i="14"/>
  <c r="BK145" i="14"/>
  <c r="BJ145" i="14"/>
  <c r="BI145" i="14"/>
  <c r="BM144" i="14"/>
  <c r="BL144" i="14"/>
  <c r="BK144" i="14"/>
  <c r="BJ144" i="14"/>
  <c r="BI144" i="14"/>
  <c r="BM143" i="14"/>
  <c r="BL143" i="14"/>
  <c r="BK143" i="14"/>
  <c r="BJ143" i="14"/>
  <c r="BI143" i="14"/>
  <c r="BM142" i="14"/>
  <c r="BL142" i="14"/>
  <c r="BK142" i="14"/>
  <c r="BJ142" i="14"/>
  <c r="BI142" i="14"/>
  <c r="BM141" i="14"/>
  <c r="BL141" i="14"/>
  <c r="BK141" i="14"/>
  <c r="BJ141" i="14"/>
  <c r="BI141" i="14"/>
  <c r="BM140" i="14"/>
  <c r="BL140" i="14"/>
  <c r="BK140" i="14"/>
  <c r="BJ140" i="14"/>
  <c r="BI140" i="14"/>
  <c r="BM139" i="14"/>
  <c r="BL139" i="14"/>
  <c r="BK139" i="14"/>
  <c r="BJ139" i="14"/>
  <c r="BI139" i="14"/>
  <c r="BM138" i="14"/>
  <c r="BL138" i="14"/>
  <c r="BK138" i="14"/>
  <c r="BJ138" i="14"/>
  <c r="BI138" i="14"/>
  <c r="AO153" i="14"/>
  <c r="AN153" i="14"/>
  <c r="AM153" i="14"/>
  <c r="AL153" i="14"/>
  <c r="AK153" i="14"/>
  <c r="AO152" i="14"/>
  <c r="AN152" i="14"/>
  <c r="AM152" i="14"/>
  <c r="AL152" i="14"/>
  <c r="AK152" i="14"/>
  <c r="AO151" i="14"/>
  <c r="AN151" i="14"/>
  <c r="AM151" i="14"/>
  <c r="AL151" i="14"/>
  <c r="AK151" i="14"/>
  <c r="AO150" i="14"/>
  <c r="AN150" i="14"/>
  <c r="AM150" i="14"/>
  <c r="AL150" i="14"/>
  <c r="AK150" i="14"/>
  <c r="AO149" i="14"/>
  <c r="AN149" i="14"/>
  <c r="AM149" i="14"/>
  <c r="AL149" i="14"/>
  <c r="AK149" i="14"/>
  <c r="AO148" i="14"/>
  <c r="AN148" i="14"/>
  <c r="AM148" i="14"/>
  <c r="AL148" i="14"/>
  <c r="AK148" i="14"/>
  <c r="AO147" i="14"/>
  <c r="AN147" i="14"/>
  <c r="AM147" i="14"/>
  <c r="AL147" i="14"/>
  <c r="AK147" i="14"/>
  <c r="AO146" i="14"/>
  <c r="AN146" i="14"/>
  <c r="AM146" i="14"/>
  <c r="AL146" i="14"/>
  <c r="AK146" i="14"/>
  <c r="AO145" i="14"/>
  <c r="AN145" i="14"/>
  <c r="AM145" i="14"/>
  <c r="AL145" i="14"/>
  <c r="AK145" i="14"/>
  <c r="AO144" i="14"/>
  <c r="AN144" i="14"/>
  <c r="AM144" i="14"/>
  <c r="AL144" i="14"/>
  <c r="AK144" i="14"/>
  <c r="AO143" i="14"/>
  <c r="AN143" i="14"/>
  <c r="AM143" i="14"/>
  <c r="AL143" i="14"/>
  <c r="AK143" i="14"/>
  <c r="AO142" i="14"/>
  <c r="AN142" i="14"/>
  <c r="AM142" i="14"/>
  <c r="AL142" i="14"/>
  <c r="AK142" i="14"/>
  <c r="AO141" i="14"/>
  <c r="AN141" i="14"/>
  <c r="AM141" i="14"/>
  <c r="AL141" i="14"/>
  <c r="AK141" i="14"/>
  <c r="AO140" i="14"/>
  <c r="AN140" i="14"/>
  <c r="AM140" i="14"/>
  <c r="AL140" i="14"/>
  <c r="AK140" i="14"/>
  <c r="AO139" i="14"/>
  <c r="AN139" i="14"/>
  <c r="AM139" i="14"/>
  <c r="AL139" i="14"/>
  <c r="AK139" i="14"/>
  <c r="AO138" i="14"/>
  <c r="AN138" i="14"/>
  <c r="AM138" i="14"/>
  <c r="AL138" i="14"/>
  <c r="AK138" i="14"/>
  <c r="Q153" i="14"/>
  <c r="P153" i="14"/>
  <c r="O153" i="14"/>
  <c r="N153" i="14"/>
  <c r="M153" i="14"/>
  <c r="Q152" i="14"/>
  <c r="P152" i="14"/>
  <c r="O152" i="14"/>
  <c r="N152" i="14"/>
  <c r="M152" i="14"/>
  <c r="Q151" i="14"/>
  <c r="P151" i="14"/>
  <c r="O151" i="14"/>
  <c r="N151" i="14"/>
  <c r="M151" i="14"/>
  <c r="Q150" i="14"/>
  <c r="P150" i="14"/>
  <c r="O150" i="14"/>
  <c r="N150" i="14"/>
  <c r="M150" i="14"/>
  <c r="Q149" i="14"/>
  <c r="P149" i="14"/>
  <c r="O149" i="14"/>
  <c r="N149" i="14"/>
  <c r="M149" i="14"/>
  <c r="Q148" i="14"/>
  <c r="P148" i="14"/>
  <c r="O148" i="14"/>
  <c r="N148" i="14"/>
  <c r="M148" i="14"/>
  <c r="Q147" i="14"/>
  <c r="P147" i="14"/>
  <c r="O147" i="14"/>
  <c r="N147" i="14"/>
  <c r="M147" i="14"/>
  <c r="Q146" i="14"/>
  <c r="P146" i="14"/>
  <c r="O146" i="14"/>
  <c r="N146" i="14"/>
  <c r="M146" i="14"/>
  <c r="Q145" i="14"/>
  <c r="P145" i="14"/>
  <c r="O145" i="14"/>
  <c r="N145" i="14"/>
  <c r="M145" i="14"/>
  <c r="Q144" i="14"/>
  <c r="P144" i="14"/>
  <c r="O144" i="14"/>
  <c r="N144" i="14"/>
  <c r="M144" i="14"/>
  <c r="Q143" i="14"/>
  <c r="P143" i="14"/>
  <c r="O143" i="14"/>
  <c r="N143" i="14"/>
  <c r="M143" i="14"/>
  <c r="Q142" i="14"/>
  <c r="P142" i="14"/>
  <c r="O142" i="14"/>
  <c r="N142" i="14"/>
  <c r="M142" i="14"/>
  <c r="Q141" i="14"/>
  <c r="P141" i="14"/>
  <c r="O141" i="14"/>
  <c r="N141" i="14"/>
  <c r="M141" i="14"/>
  <c r="Q140" i="14"/>
  <c r="P140" i="14"/>
  <c r="O140" i="14"/>
  <c r="N140" i="14"/>
  <c r="M140" i="14"/>
  <c r="Q139" i="14"/>
  <c r="P139" i="14"/>
  <c r="O139" i="14"/>
  <c r="N139" i="14"/>
  <c r="M139" i="14"/>
  <c r="Q138" i="14"/>
  <c r="P138" i="14"/>
  <c r="O138" i="14"/>
  <c r="N138" i="14"/>
  <c r="M138" i="14"/>
  <c r="DI153" i="13"/>
  <c r="DH153" i="13"/>
  <c r="DG153" i="13"/>
  <c r="DF153" i="13"/>
  <c r="DE153" i="13"/>
  <c r="DI152" i="13"/>
  <c r="DH152" i="13"/>
  <c r="DG152" i="13"/>
  <c r="DF152" i="13"/>
  <c r="DE152" i="13"/>
  <c r="DI151" i="13"/>
  <c r="DH151" i="13"/>
  <c r="DG151" i="13"/>
  <c r="DF151" i="13"/>
  <c r="DE151" i="13"/>
  <c r="DI150" i="13"/>
  <c r="DH150" i="13"/>
  <c r="DG150" i="13"/>
  <c r="DF150" i="13"/>
  <c r="DE150" i="13"/>
  <c r="DI149" i="13"/>
  <c r="DH149" i="13"/>
  <c r="DG149" i="13"/>
  <c r="DF149" i="13"/>
  <c r="DE149" i="13"/>
  <c r="DI148" i="13"/>
  <c r="DH148" i="13"/>
  <c r="DG148" i="13"/>
  <c r="DF148" i="13"/>
  <c r="DE148" i="13"/>
  <c r="DI147" i="13"/>
  <c r="DH147" i="13"/>
  <c r="DG147" i="13"/>
  <c r="DF147" i="13"/>
  <c r="DE147" i="13"/>
  <c r="DI146" i="13"/>
  <c r="DH146" i="13"/>
  <c r="DG146" i="13"/>
  <c r="DF146" i="13"/>
  <c r="DE146" i="13"/>
  <c r="DI145" i="13"/>
  <c r="DH145" i="13"/>
  <c r="DG145" i="13"/>
  <c r="DF145" i="13"/>
  <c r="DE145" i="13"/>
  <c r="DI144" i="13"/>
  <c r="DH144" i="13"/>
  <c r="DG144" i="13"/>
  <c r="DF144" i="13"/>
  <c r="DE144" i="13"/>
  <c r="DI143" i="13"/>
  <c r="DH143" i="13"/>
  <c r="DG143" i="13"/>
  <c r="DF143" i="13"/>
  <c r="DE143" i="13"/>
  <c r="DI142" i="13"/>
  <c r="DH142" i="13"/>
  <c r="DG142" i="13"/>
  <c r="DF142" i="13"/>
  <c r="DE142" i="13"/>
  <c r="DI141" i="13"/>
  <c r="DH141" i="13"/>
  <c r="DG141" i="13"/>
  <c r="DF141" i="13"/>
  <c r="DE141" i="13"/>
  <c r="DI140" i="13"/>
  <c r="DH140" i="13"/>
  <c r="DG140" i="13"/>
  <c r="DF140" i="13"/>
  <c r="DE140" i="13"/>
  <c r="DI139" i="13"/>
  <c r="DH139" i="13"/>
  <c r="DG139" i="13"/>
  <c r="DF139" i="13"/>
  <c r="DE139" i="13"/>
  <c r="DI138" i="13"/>
  <c r="DH138" i="13"/>
  <c r="DG138" i="13"/>
  <c r="DF138" i="13"/>
  <c r="DE138" i="13"/>
  <c r="CK153" i="13"/>
  <c r="CJ153" i="13"/>
  <c r="CI153" i="13"/>
  <c r="CH153" i="13"/>
  <c r="CG153" i="13"/>
  <c r="CK152" i="13"/>
  <c r="CJ152" i="13"/>
  <c r="CI152" i="13"/>
  <c r="CH152" i="13"/>
  <c r="CG152" i="13"/>
  <c r="CK151" i="13"/>
  <c r="CJ151" i="13"/>
  <c r="CI151" i="13"/>
  <c r="CH151" i="13"/>
  <c r="CG151" i="13"/>
  <c r="CK150" i="13"/>
  <c r="CJ150" i="13"/>
  <c r="CI150" i="13"/>
  <c r="CH150" i="13"/>
  <c r="CG150" i="13"/>
  <c r="CK149" i="13"/>
  <c r="CJ149" i="13"/>
  <c r="CI149" i="13"/>
  <c r="CH149" i="13"/>
  <c r="CG149" i="13"/>
  <c r="CK148" i="13"/>
  <c r="CJ148" i="13"/>
  <c r="CI148" i="13"/>
  <c r="CH148" i="13"/>
  <c r="CG148" i="13"/>
  <c r="CK147" i="13"/>
  <c r="CJ147" i="13"/>
  <c r="CI147" i="13"/>
  <c r="CH147" i="13"/>
  <c r="CG147" i="13"/>
  <c r="CK146" i="13"/>
  <c r="CJ146" i="13"/>
  <c r="CI146" i="13"/>
  <c r="CH146" i="13"/>
  <c r="CG146" i="13"/>
  <c r="CK145" i="13"/>
  <c r="CJ145" i="13"/>
  <c r="CI145" i="13"/>
  <c r="CH145" i="13"/>
  <c r="CG145" i="13"/>
  <c r="CK144" i="13"/>
  <c r="CJ144" i="13"/>
  <c r="CI144" i="13"/>
  <c r="CH144" i="13"/>
  <c r="CG144" i="13"/>
  <c r="CK143" i="13"/>
  <c r="CJ143" i="13"/>
  <c r="CI143" i="13"/>
  <c r="CH143" i="13"/>
  <c r="CG143" i="13"/>
  <c r="CK142" i="13"/>
  <c r="CJ142" i="13"/>
  <c r="CI142" i="13"/>
  <c r="CH142" i="13"/>
  <c r="CG142" i="13"/>
  <c r="CK141" i="13"/>
  <c r="CJ141" i="13"/>
  <c r="CI141" i="13"/>
  <c r="CH141" i="13"/>
  <c r="CG141" i="13"/>
  <c r="CK140" i="13"/>
  <c r="CJ140" i="13"/>
  <c r="CI140" i="13"/>
  <c r="CH140" i="13"/>
  <c r="CG140" i="13"/>
  <c r="CK139" i="13"/>
  <c r="CJ139" i="13"/>
  <c r="CI139" i="13"/>
  <c r="CH139" i="13"/>
  <c r="CG139" i="13"/>
  <c r="CK138" i="13"/>
  <c r="CJ138" i="13"/>
  <c r="CI138" i="13"/>
  <c r="CH138" i="13"/>
  <c r="CG138" i="13"/>
  <c r="BM153" i="13"/>
  <c r="BL153" i="13"/>
  <c r="BK153" i="13"/>
  <c r="BJ153" i="13"/>
  <c r="BI153" i="13"/>
  <c r="BM152" i="13"/>
  <c r="BL152" i="13"/>
  <c r="BK152" i="13"/>
  <c r="BJ152" i="13"/>
  <c r="BI152" i="13"/>
  <c r="BM151" i="13"/>
  <c r="BL151" i="13"/>
  <c r="BK151" i="13"/>
  <c r="BJ151" i="13"/>
  <c r="BI151" i="13"/>
  <c r="BM150" i="13"/>
  <c r="BL150" i="13"/>
  <c r="BK150" i="13"/>
  <c r="BJ150" i="13"/>
  <c r="BI150" i="13"/>
  <c r="BM149" i="13"/>
  <c r="BL149" i="13"/>
  <c r="BK149" i="13"/>
  <c r="BJ149" i="13"/>
  <c r="BI149" i="13"/>
  <c r="BM148" i="13"/>
  <c r="BL148" i="13"/>
  <c r="BK148" i="13"/>
  <c r="BJ148" i="13"/>
  <c r="BI148" i="13"/>
  <c r="BM147" i="13"/>
  <c r="BL147" i="13"/>
  <c r="BK147" i="13"/>
  <c r="BJ147" i="13"/>
  <c r="BI147" i="13"/>
  <c r="BM146" i="13"/>
  <c r="BL146" i="13"/>
  <c r="BK146" i="13"/>
  <c r="BJ146" i="13"/>
  <c r="BI146" i="13"/>
  <c r="BM145" i="13"/>
  <c r="BL145" i="13"/>
  <c r="BK145" i="13"/>
  <c r="BJ145" i="13"/>
  <c r="BI145" i="13"/>
  <c r="BM144" i="13"/>
  <c r="BL144" i="13"/>
  <c r="BK144" i="13"/>
  <c r="BJ144" i="13"/>
  <c r="BI144" i="13"/>
  <c r="BM143" i="13"/>
  <c r="BL143" i="13"/>
  <c r="BK143" i="13"/>
  <c r="BJ143" i="13"/>
  <c r="BI143" i="13"/>
  <c r="BM142" i="13"/>
  <c r="BL142" i="13"/>
  <c r="BK142" i="13"/>
  <c r="BJ142" i="13"/>
  <c r="BI142" i="13"/>
  <c r="BM141" i="13"/>
  <c r="BL141" i="13"/>
  <c r="BK141" i="13"/>
  <c r="BJ141" i="13"/>
  <c r="BI141" i="13"/>
  <c r="BM140" i="13"/>
  <c r="BL140" i="13"/>
  <c r="BK140" i="13"/>
  <c r="BJ140" i="13"/>
  <c r="BI140" i="13"/>
  <c r="BM139" i="13"/>
  <c r="BL139" i="13"/>
  <c r="BK139" i="13"/>
  <c r="BJ139" i="13"/>
  <c r="BI139" i="13"/>
  <c r="BM138" i="13"/>
  <c r="BL138" i="13"/>
  <c r="BK138" i="13"/>
  <c r="BJ138" i="13"/>
  <c r="BI138" i="13"/>
  <c r="AO153" i="13"/>
  <c r="AN153" i="13"/>
  <c r="AM153" i="13"/>
  <c r="AL153" i="13"/>
  <c r="AK153" i="13"/>
  <c r="AO152" i="13"/>
  <c r="AN152" i="13"/>
  <c r="AM152" i="13"/>
  <c r="AL152" i="13"/>
  <c r="AK152" i="13"/>
  <c r="AO151" i="13"/>
  <c r="AN151" i="13"/>
  <c r="AM151" i="13"/>
  <c r="AL151" i="13"/>
  <c r="AK151" i="13"/>
  <c r="AO150" i="13"/>
  <c r="AN150" i="13"/>
  <c r="AM150" i="13"/>
  <c r="AL150" i="13"/>
  <c r="AK150" i="13"/>
  <c r="AO149" i="13"/>
  <c r="AN149" i="13"/>
  <c r="AM149" i="13"/>
  <c r="AL149" i="13"/>
  <c r="AK149" i="13"/>
  <c r="AO148" i="13"/>
  <c r="AN148" i="13"/>
  <c r="AM148" i="13"/>
  <c r="AL148" i="13"/>
  <c r="AK148" i="13"/>
  <c r="AO147" i="13"/>
  <c r="AN147" i="13"/>
  <c r="AM147" i="13"/>
  <c r="AL147" i="13"/>
  <c r="AK147" i="13"/>
  <c r="AO146" i="13"/>
  <c r="AN146" i="13"/>
  <c r="AM146" i="13"/>
  <c r="AL146" i="13"/>
  <c r="AK146" i="13"/>
  <c r="AO145" i="13"/>
  <c r="AN145" i="13"/>
  <c r="AM145" i="13"/>
  <c r="AL145" i="13"/>
  <c r="AK145" i="13"/>
  <c r="AO144" i="13"/>
  <c r="AN144" i="13"/>
  <c r="AM144" i="13"/>
  <c r="AL144" i="13"/>
  <c r="AK144" i="13"/>
  <c r="AO143" i="13"/>
  <c r="AN143" i="13"/>
  <c r="AM143" i="13"/>
  <c r="AL143" i="13"/>
  <c r="AK143" i="13"/>
  <c r="AO142" i="13"/>
  <c r="AN142" i="13"/>
  <c r="AM142" i="13"/>
  <c r="AL142" i="13"/>
  <c r="AK142" i="13"/>
  <c r="AO141" i="13"/>
  <c r="AN141" i="13"/>
  <c r="AM141" i="13"/>
  <c r="AL141" i="13"/>
  <c r="AK141" i="13"/>
  <c r="AO140" i="13"/>
  <c r="AN140" i="13"/>
  <c r="AM140" i="13"/>
  <c r="AL140" i="13"/>
  <c r="AK140" i="13"/>
  <c r="AO139" i="13"/>
  <c r="AN139" i="13"/>
  <c r="AM139" i="13"/>
  <c r="AL139" i="13"/>
  <c r="AK139" i="13"/>
  <c r="AO138" i="13"/>
  <c r="AN138" i="13"/>
  <c r="AM138" i="13"/>
  <c r="AL138" i="13"/>
  <c r="AK138" i="13"/>
  <c r="Q153" i="13"/>
  <c r="M139" i="13"/>
  <c r="N139" i="13"/>
  <c r="O139" i="13"/>
  <c r="P139" i="13"/>
  <c r="Q139" i="13"/>
  <c r="M140" i="13"/>
  <c r="N140" i="13"/>
  <c r="O140" i="13"/>
  <c r="P140" i="13"/>
  <c r="Q140" i="13"/>
  <c r="M141" i="13"/>
  <c r="N141" i="13"/>
  <c r="O141" i="13"/>
  <c r="P141" i="13"/>
  <c r="Q141" i="13"/>
  <c r="M142" i="13"/>
  <c r="N142" i="13"/>
  <c r="O142" i="13"/>
  <c r="P142" i="13"/>
  <c r="Q142" i="13"/>
  <c r="M143" i="13"/>
  <c r="N143" i="13"/>
  <c r="O143" i="13"/>
  <c r="P143" i="13"/>
  <c r="Q143" i="13"/>
  <c r="M144" i="13"/>
  <c r="N144" i="13"/>
  <c r="O144" i="13"/>
  <c r="P144" i="13"/>
  <c r="Q144" i="13"/>
  <c r="M145" i="13"/>
  <c r="N145" i="13"/>
  <c r="O145" i="13"/>
  <c r="P145" i="13"/>
  <c r="Q145" i="13"/>
  <c r="M146" i="13"/>
  <c r="N146" i="13"/>
  <c r="O146" i="13"/>
  <c r="P146" i="13"/>
  <c r="Q146" i="13"/>
  <c r="M147" i="13"/>
  <c r="N147" i="13"/>
  <c r="O147" i="13"/>
  <c r="P147" i="13"/>
  <c r="Q147" i="13"/>
  <c r="M148" i="13"/>
  <c r="N148" i="13"/>
  <c r="O148" i="13"/>
  <c r="P148" i="13"/>
  <c r="Q148" i="13"/>
  <c r="M149" i="13"/>
  <c r="N149" i="13"/>
  <c r="O149" i="13"/>
  <c r="P149" i="13"/>
  <c r="Q149" i="13"/>
  <c r="M150" i="13"/>
  <c r="N150" i="13"/>
  <c r="O150" i="13"/>
  <c r="P150" i="13"/>
  <c r="Q150" i="13"/>
  <c r="M151" i="13"/>
  <c r="N151" i="13"/>
  <c r="O151" i="13"/>
  <c r="P151" i="13"/>
  <c r="Q151" i="13"/>
  <c r="M152" i="13"/>
  <c r="N152" i="13"/>
  <c r="O152" i="13"/>
  <c r="P152" i="13"/>
  <c r="Q152" i="13"/>
  <c r="M153" i="13"/>
  <c r="N153" i="13"/>
  <c r="O153" i="13"/>
  <c r="P153" i="13"/>
  <c r="Q138" i="13"/>
  <c r="P138" i="13"/>
  <c r="O138" i="13"/>
  <c r="N138" i="13"/>
  <c r="M138" i="13"/>
  <c r="O122" i="9"/>
  <c r="N118" i="9"/>
  <c r="O118" i="9"/>
  <c r="N119" i="9"/>
  <c r="O119" i="9"/>
  <c r="N120" i="9"/>
  <c r="O120" i="9"/>
  <c r="N121" i="9"/>
  <c r="O121" i="9"/>
  <c r="N122" i="9"/>
  <c r="N123" i="9"/>
  <c r="O123" i="9"/>
  <c r="N124" i="9"/>
  <c r="O124" i="9"/>
  <c r="N125" i="9"/>
  <c r="O125" i="9"/>
  <c r="N126" i="9"/>
  <c r="O126" i="9"/>
  <c r="N127" i="9"/>
  <c r="O127" i="9"/>
  <c r="N128" i="9"/>
  <c r="O128" i="9"/>
  <c r="N129" i="9"/>
  <c r="O129" i="9"/>
  <c r="N130" i="9"/>
  <c r="O130" i="9"/>
  <c r="N131" i="9"/>
  <c r="O131" i="9"/>
  <c r="N132" i="9"/>
  <c r="O132" i="9"/>
  <c r="N117" i="9"/>
  <c r="O117" i="9"/>
  <c r="DP64" i="16"/>
  <c r="DQ64" i="16"/>
  <c r="DR64" i="16"/>
  <c r="DS64" i="16"/>
  <c r="DT64" i="16"/>
  <c r="DP65" i="16"/>
  <c r="DQ65" i="16"/>
  <c r="DR65" i="16"/>
  <c r="DS65" i="16"/>
  <c r="DT65" i="16"/>
  <c r="DP66" i="16"/>
  <c r="DQ66" i="16"/>
  <c r="DR66" i="16"/>
  <c r="DS66" i="16"/>
  <c r="DT66" i="16"/>
  <c r="DP67" i="16"/>
  <c r="DQ67" i="16"/>
  <c r="DR67" i="16"/>
  <c r="DS67" i="16"/>
  <c r="DT67" i="16"/>
  <c r="DP68" i="16"/>
  <c r="DQ68" i="16"/>
  <c r="DR68" i="16"/>
  <c r="DS68" i="16"/>
  <c r="DT68" i="16"/>
  <c r="DP69" i="16"/>
  <c r="DQ69" i="16"/>
  <c r="DR69" i="16"/>
  <c r="DS69" i="16"/>
  <c r="DT69" i="16"/>
  <c r="DP70" i="16"/>
  <c r="DQ70" i="16"/>
  <c r="DR70" i="16"/>
  <c r="DS70" i="16"/>
  <c r="DT70" i="16"/>
  <c r="DP71" i="16"/>
  <c r="DQ71" i="16"/>
  <c r="DR71" i="16"/>
  <c r="DS71" i="16"/>
  <c r="DT71" i="16"/>
  <c r="DP72" i="16"/>
  <c r="DQ72" i="16"/>
  <c r="DR72" i="16"/>
  <c r="DS72" i="16"/>
  <c r="DT72" i="16"/>
  <c r="DP73" i="16"/>
  <c r="DQ73" i="16"/>
  <c r="DR73" i="16"/>
  <c r="DS73" i="16"/>
  <c r="DT73" i="16"/>
  <c r="DP74" i="16"/>
  <c r="DQ74" i="16"/>
  <c r="DR74" i="16"/>
  <c r="DS74" i="16"/>
  <c r="DT74" i="16"/>
  <c r="DP75" i="16"/>
  <c r="DQ75" i="16"/>
  <c r="DR75" i="16"/>
  <c r="DS75" i="16"/>
  <c r="DT75" i="16"/>
  <c r="DP76" i="16"/>
  <c r="DQ76" i="16"/>
  <c r="DR76" i="16"/>
  <c r="DS76" i="16"/>
  <c r="DT76" i="16"/>
  <c r="DP77" i="16"/>
  <c r="DQ77" i="16"/>
  <c r="DR77" i="16"/>
  <c r="DS77" i="16"/>
  <c r="DT77" i="16"/>
  <c r="DP78" i="16"/>
  <c r="DQ78" i="16"/>
  <c r="DR78" i="16"/>
  <c r="DS78" i="16"/>
  <c r="DT78" i="16"/>
  <c r="DT63" i="16"/>
  <c r="DS63" i="16"/>
  <c r="DR63" i="16"/>
  <c r="DQ63" i="16"/>
  <c r="DP63" i="16"/>
  <c r="CP64" i="16"/>
  <c r="CQ64" i="16"/>
  <c r="CR64" i="16"/>
  <c r="CS64" i="16"/>
  <c r="CT64" i="16"/>
  <c r="CP65" i="16"/>
  <c r="CQ65" i="16"/>
  <c r="CR65" i="16"/>
  <c r="CS65" i="16"/>
  <c r="CT65" i="16"/>
  <c r="CP66" i="16"/>
  <c r="CQ66" i="16"/>
  <c r="CR66" i="16"/>
  <c r="CS66" i="16"/>
  <c r="CT66" i="16"/>
  <c r="CP67" i="16"/>
  <c r="CQ67" i="16"/>
  <c r="CR67" i="16"/>
  <c r="CS67" i="16"/>
  <c r="CT67" i="16"/>
  <c r="CP68" i="16"/>
  <c r="CQ68" i="16"/>
  <c r="CR68" i="16"/>
  <c r="CS68" i="16"/>
  <c r="CT68" i="16"/>
  <c r="CP69" i="16"/>
  <c r="CQ69" i="16"/>
  <c r="CR69" i="16"/>
  <c r="CS69" i="16"/>
  <c r="CT69" i="16"/>
  <c r="CP70" i="16"/>
  <c r="CQ70" i="16"/>
  <c r="CR70" i="16"/>
  <c r="CS70" i="16"/>
  <c r="CT70" i="16"/>
  <c r="CP71" i="16"/>
  <c r="CQ71" i="16"/>
  <c r="CR71" i="16"/>
  <c r="CS71" i="16"/>
  <c r="CT71" i="16"/>
  <c r="CP72" i="16"/>
  <c r="CQ72" i="16"/>
  <c r="CR72" i="16"/>
  <c r="CS72" i="16"/>
  <c r="CT72" i="16"/>
  <c r="CP73" i="16"/>
  <c r="CQ73" i="16"/>
  <c r="CR73" i="16"/>
  <c r="CS73" i="16"/>
  <c r="CT73" i="16"/>
  <c r="CP74" i="16"/>
  <c r="CQ74" i="16"/>
  <c r="CR74" i="16"/>
  <c r="CS74" i="16"/>
  <c r="CT74" i="16"/>
  <c r="CP75" i="16"/>
  <c r="CQ75" i="16"/>
  <c r="CR75" i="16"/>
  <c r="CS75" i="16"/>
  <c r="CT75" i="16"/>
  <c r="CP76" i="16"/>
  <c r="CQ76" i="16"/>
  <c r="CR76" i="16"/>
  <c r="CS76" i="16"/>
  <c r="CT76" i="16"/>
  <c r="CP77" i="16"/>
  <c r="CQ77" i="16"/>
  <c r="CR77" i="16"/>
  <c r="CS77" i="16"/>
  <c r="CT77" i="16"/>
  <c r="CP78" i="16"/>
  <c r="CQ78" i="16"/>
  <c r="CR78" i="16"/>
  <c r="CS78" i="16"/>
  <c r="CT78" i="16"/>
  <c r="CT63" i="16"/>
  <c r="CS63" i="16"/>
  <c r="CR63" i="16"/>
  <c r="CQ63" i="16"/>
  <c r="CP63" i="16"/>
  <c r="BP64" i="16"/>
  <c r="BQ64" i="16"/>
  <c r="BR64" i="16"/>
  <c r="BS64" i="16"/>
  <c r="BT64" i="16"/>
  <c r="BP65" i="16"/>
  <c r="BQ65" i="16"/>
  <c r="BR65" i="16"/>
  <c r="BS65" i="16"/>
  <c r="BT65" i="16"/>
  <c r="BP66" i="16"/>
  <c r="BQ66" i="16"/>
  <c r="BR66" i="16"/>
  <c r="BS66" i="16"/>
  <c r="BT66" i="16"/>
  <c r="BP67" i="16"/>
  <c r="BQ67" i="16"/>
  <c r="BR67" i="16"/>
  <c r="BS67" i="16"/>
  <c r="BT67" i="16"/>
  <c r="BP68" i="16"/>
  <c r="BQ68" i="16"/>
  <c r="BR68" i="16"/>
  <c r="BS68" i="16"/>
  <c r="BT68" i="16"/>
  <c r="BP69" i="16"/>
  <c r="BQ69" i="16"/>
  <c r="BR69" i="16"/>
  <c r="BS69" i="16"/>
  <c r="BT69" i="16"/>
  <c r="BP70" i="16"/>
  <c r="BQ70" i="16"/>
  <c r="BR70" i="16"/>
  <c r="BS70" i="16"/>
  <c r="BT70" i="16"/>
  <c r="BP71" i="16"/>
  <c r="BQ71" i="16"/>
  <c r="BR71" i="16"/>
  <c r="BS71" i="16"/>
  <c r="BT71" i="16"/>
  <c r="BP72" i="16"/>
  <c r="BQ72" i="16"/>
  <c r="BR72" i="16"/>
  <c r="BS72" i="16"/>
  <c r="BT72" i="16"/>
  <c r="BP73" i="16"/>
  <c r="BQ73" i="16"/>
  <c r="BR73" i="16"/>
  <c r="BS73" i="16"/>
  <c r="BT73" i="16"/>
  <c r="BP74" i="16"/>
  <c r="BQ74" i="16"/>
  <c r="BR74" i="16"/>
  <c r="BS74" i="16"/>
  <c r="BT74" i="16"/>
  <c r="BP75" i="16"/>
  <c r="BQ75" i="16"/>
  <c r="BR75" i="16"/>
  <c r="BS75" i="16"/>
  <c r="BT75" i="16"/>
  <c r="BP76" i="16"/>
  <c r="BQ76" i="16"/>
  <c r="BR76" i="16"/>
  <c r="BS76" i="16"/>
  <c r="BT76" i="16"/>
  <c r="BP77" i="16"/>
  <c r="BQ77" i="16"/>
  <c r="BR77" i="16"/>
  <c r="BS77" i="16"/>
  <c r="BT77" i="16"/>
  <c r="BP78" i="16"/>
  <c r="BQ78" i="16"/>
  <c r="BR78" i="16"/>
  <c r="BS78" i="16"/>
  <c r="BT78" i="16"/>
  <c r="BT63" i="16"/>
  <c r="BS63" i="16"/>
  <c r="BR63" i="16"/>
  <c r="BQ63" i="16"/>
  <c r="BP63" i="16"/>
  <c r="AP64" i="16"/>
  <c r="AQ64" i="16"/>
  <c r="AR64" i="16"/>
  <c r="AS64" i="16"/>
  <c r="AT64" i="16"/>
  <c r="AP65" i="16"/>
  <c r="AQ65" i="16"/>
  <c r="AR65" i="16"/>
  <c r="AS65" i="16"/>
  <c r="AT65" i="16"/>
  <c r="AP66" i="16"/>
  <c r="AQ66" i="16"/>
  <c r="AR66" i="16"/>
  <c r="AS66" i="16"/>
  <c r="AT66" i="16"/>
  <c r="AP67" i="16"/>
  <c r="AQ67" i="16"/>
  <c r="AR67" i="16"/>
  <c r="AS67" i="16"/>
  <c r="AT67" i="16"/>
  <c r="AP68" i="16"/>
  <c r="AQ68" i="16"/>
  <c r="AR68" i="16"/>
  <c r="AS68" i="16"/>
  <c r="AT68" i="16"/>
  <c r="AP69" i="16"/>
  <c r="AQ69" i="16"/>
  <c r="AR69" i="16"/>
  <c r="AS69" i="16"/>
  <c r="AT69" i="16"/>
  <c r="AP70" i="16"/>
  <c r="AQ70" i="16"/>
  <c r="AR70" i="16"/>
  <c r="AS70" i="16"/>
  <c r="AT70" i="16"/>
  <c r="AP71" i="16"/>
  <c r="AQ71" i="16"/>
  <c r="AR71" i="16"/>
  <c r="AS71" i="16"/>
  <c r="AT71" i="16"/>
  <c r="AP72" i="16"/>
  <c r="AQ72" i="16"/>
  <c r="AR72" i="16"/>
  <c r="AS72" i="16"/>
  <c r="AT72" i="16"/>
  <c r="AP73" i="16"/>
  <c r="AQ73" i="16"/>
  <c r="AR73" i="16"/>
  <c r="AS73" i="16"/>
  <c r="AT73" i="16"/>
  <c r="AP74" i="16"/>
  <c r="AQ74" i="16"/>
  <c r="AR74" i="16"/>
  <c r="AS74" i="16"/>
  <c r="AT74" i="16"/>
  <c r="AP75" i="16"/>
  <c r="AQ75" i="16"/>
  <c r="AR75" i="16"/>
  <c r="AS75" i="16"/>
  <c r="AT75" i="16"/>
  <c r="AP76" i="16"/>
  <c r="AQ76" i="16"/>
  <c r="AR76" i="16"/>
  <c r="AS76" i="16"/>
  <c r="AT76" i="16"/>
  <c r="AP77" i="16"/>
  <c r="AQ77" i="16"/>
  <c r="AR77" i="16"/>
  <c r="AS77" i="16"/>
  <c r="AT77" i="16"/>
  <c r="AP78" i="16"/>
  <c r="AQ78" i="16"/>
  <c r="AR78" i="16"/>
  <c r="AS78" i="16"/>
  <c r="AT78" i="16"/>
  <c r="AT63" i="16"/>
  <c r="AS63" i="16"/>
  <c r="AR63" i="16"/>
  <c r="AQ63" i="16"/>
  <c r="AP63" i="16"/>
  <c r="T78" i="16"/>
  <c r="S78" i="16"/>
  <c r="R78" i="16"/>
  <c r="Q78" i="16"/>
  <c r="P78" i="16"/>
  <c r="T77" i="16"/>
  <c r="S77" i="16"/>
  <c r="R77" i="16"/>
  <c r="Q77" i="16"/>
  <c r="P77" i="16"/>
  <c r="T76" i="16"/>
  <c r="S76" i="16"/>
  <c r="R76" i="16"/>
  <c r="Q76" i="16"/>
  <c r="P76" i="16"/>
  <c r="T75" i="16"/>
  <c r="S75" i="16"/>
  <c r="R75" i="16"/>
  <c r="Q75" i="16"/>
  <c r="P75" i="16"/>
  <c r="T74" i="16"/>
  <c r="S74" i="16"/>
  <c r="R74" i="16"/>
  <c r="Q74" i="16"/>
  <c r="P74" i="16"/>
  <c r="T73" i="16"/>
  <c r="S73" i="16"/>
  <c r="R73" i="16"/>
  <c r="Q73" i="16"/>
  <c r="P73" i="16"/>
  <c r="T72" i="16"/>
  <c r="S72" i="16"/>
  <c r="R72" i="16"/>
  <c r="Q72" i="16"/>
  <c r="P72" i="16"/>
  <c r="T71" i="16"/>
  <c r="S71" i="16"/>
  <c r="R71" i="16"/>
  <c r="Q71" i="16"/>
  <c r="P71" i="16"/>
  <c r="T70" i="16"/>
  <c r="S70" i="16"/>
  <c r="R70" i="16"/>
  <c r="Q70" i="16"/>
  <c r="P70" i="16"/>
  <c r="T69" i="16"/>
  <c r="S69" i="16"/>
  <c r="R69" i="16"/>
  <c r="Q69" i="16"/>
  <c r="P69" i="16"/>
  <c r="T68" i="16"/>
  <c r="S68" i="16"/>
  <c r="R68" i="16"/>
  <c r="Q68" i="16"/>
  <c r="P68" i="16"/>
  <c r="T67" i="16"/>
  <c r="S67" i="16"/>
  <c r="R67" i="16"/>
  <c r="Q67" i="16"/>
  <c r="P67" i="16"/>
  <c r="T66" i="16"/>
  <c r="S66" i="16"/>
  <c r="R66" i="16"/>
  <c r="Q66" i="16"/>
  <c r="P66" i="16"/>
  <c r="T65" i="16"/>
  <c r="S65" i="16"/>
  <c r="R65" i="16"/>
  <c r="Q65" i="16"/>
  <c r="P65" i="16"/>
  <c r="T64" i="16"/>
  <c r="S64" i="16"/>
  <c r="R64" i="16"/>
  <c r="Q64" i="16"/>
  <c r="P64" i="16"/>
  <c r="T63" i="16"/>
  <c r="S63" i="16"/>
  <c r="R63" i="16"/>
  <c r="Q63" i="16"/>
  <c r="P63" i="16"/>
  <c r="DR78" i="15"/>
  <c r="DT78" i="15"/>
  <c r="DS78" i="15"/>
  <c r="DQ78" i="15"/>
  <c r="DP78" i="15"/>
  <c r="DT77" i="15"/>
  <c r="DS77" i="15"/>
  <c r="DR77" i="15"/>
  <c r="DQ77" i="15"/>
  <c r="DP77" i="15"/>
  <c r="DT76" i="15"/>
  <c r="DS76" i="15"/>
  <c r="DR76" i="15"/>
  <c r="DQ76" i="15"/>
  <c r="DP76" i="15"/>
  <c r="DT75" i="15"/>
  <c r="DS75" i="15"/>
  <c r="DR75" i="15"/>
  <c r="DQ75" i="15"/>
  <c r="DP75" i="15"/>
  <c r="DT74" i="15"/>
  <c r="DS74" i="15"/>
  <c r="DR74" i="15"/>
  <c r="DQ74" i="15"/>
  <c r="DP74" i="15"/>
  <c r="DT73" i="15"/>
  <c r="DS73" i="15"/>
  <c r="DR73" i="15"/>
  <c r="DQ73" i="15"/>
  <c r="DP73" i="15"/>
  <c r="DT72" i="15"/>
  <c r="DS72" i="15"/>
  <c r="DR72" i="15"/>
  <c r="DQ72" i="15"/>
  <c r="DP72" i="15"/>
  <c r="DT71" i="15"/>
  <c r="DS71" i="15"/>
  <c r="DR71" i="15"/>
  <c r="DQ71" i="15"/>
  <c r="DP71" i="15"/>
  <c r="DT70" i="15"/>
  <c r="DS70" i="15"/>
  <c r="DR70" i="15"/>
  <c r="DQ70" i="15"/>
  <c r="DP70" i="15"/>
  <c r="DT69" i="15"/>
  <c r="DS69" i="15"/>
  <c r="DR69" i="15"/>
  <c r="DQ69" i="15"/>
  <c r="DP69" i="15"/>
  <c r="DT68" i="15"/>
  <c r="DS68" i="15"/>
  <c r="DR68" i="15"/>
  <c r="DQ68" i="15"/>
  <c r="DP68" i="15"/>
  <c r="DT67" i="15"/>
  <c r="DS67" i="15"/>
  <c r="DR67" i="15"/>
  <c r="DQ67" i="15"/>
  <c r="DP67" i="15"/>
  <c r="DT66" i="15"/>
  <c r="DS66" i="15"/>
  <c r="DR66" i="15"/>
  <c r="DQ66" i="15"/>
  <c r="DP66" i="15"/>
  <c r="DT65" i="15"/>
  <c r="DS65" i="15"/>
  <c r="DR65" i="15"/>
  <c r="DQ65" i="15"/>
  <c r="DP65" i="15"/>
  <c r="DT64" i="15"/>
  <c r="DS64" i="15"/>
  <c r="DR64" i="15"/>
  <c r="DQ64" i="15"/>
  <c r="DP64" i="15"/>
  <c r="DT63" i="15"/>
  <c r="DS63" i="15"/>
  <c r="DR63" i="15"/>
  <c r="DQ63" i="15"/>
  <c r="DP63" i="15"/>
  <c r="CT78" i="15"/>
  <c r="CS78" i="15"/>
  <c r="CR78" i="15"/>
  <c r="CQ78" i="15"/>
  <c r="CP78" i="15"/>
  <c r="CT77" i="15"/>
  <c r="CS77" i="15"/>
  <c r="CR77" i="15"/>
  <c r="CQ77" i="15"/>
  <c r="CP77" i="15"/>
  <c r="CT76" i="15"/>
  <c r="CS76" i="15"/>
  <c r="CR76" i="15"/>
  <c r="CQ76" i="15"/>
  <c r="CP76" i="15"/>
  <c r="CT75" i="15"/>
  <c r="CS75" i="15"/>
  <c r="CR75" i="15"/>
  <c r="CQ75" i="15"/>
  <c r="CP75" i="15"/>
  <c r="CT74" i="15"/>
  <c r="CS74" i="15"/>
  <c r="CR74" i="15"/>
  <c r="CQ74" i="15"/>
  <c r="CP74" i="15"/>
  <c r="CT73" i="15"/>
  <c r="CS73" i="15"/>
  <c r="CR73" i="15"/>
  <c r="CQ73" i="15"/>
  <c r="CP73" i="15"/>
  <c r="CT72" i="15"/>
  <c r="CS72" i="15"/>
  <c r="CR72" i="15"/>
  <c r="CQ72" i="15"/>
  <c r="CP72" i="15"/>
  <c r="CT71" i="15"/>
  <c r="CS71" i="15"/>
  <c r="CR71" i="15"/>
  <c r="CQ71" i="15"/>
  <c r="CP71" i="15"/>
  <c r="CT70" i="15"/>
  <c r="CS70" i="15"/>
  <c r="CR70" i="15"/>
  <c r="CQ70" i="15"/>
  <c r="CP70" i="15"/>
  <c r="CT69" i="15"/>
  <c r="CS69" i="15"/>
  <c r="CR69" i="15"/>
  <c r="CQ69" i="15"/>
  <c r="CP69" i="15"/>
  <c r="CT68" i="15"/>
  <c r="CS68" i="15"/>
  <c r="CR68" i="15"/>
  <c r="CQ68" i="15"/>
  <c r="CP68" i="15"/>
  <c r="CT67" i="15"/>
  <c r="CS67" i="15"/>
  <c r="CR67" i="15"/>
  <c r="CQ67" i="15"/>
  <c r="CP67" i="15"/>
  <c r="CT66" i="15"/>
  <c r="CS66" i="15"/>
  <c r="CR66" i="15"/>
  <c r="CQ66" i="15"/>
  <c r="CP66" i="15"/>
  <c r="CT65" i="15"/>
  <c r="CS65" i="15"/>
  <c r="CR65" i="15"/>
  <c r="CQ65" i="15"/>
  <c r="CP65" i="15"/>
  <c r="CT64" i="15"/>
  <c r="CS64" i="15"/>
  <c r="CR64" i="15"/>
  <c r="CQ64" i="15"/>
  <c r="CP64" i="15"/>
  <c r="CT63" i="15"/>
  <c r="CS63" i="15"/>
  <c r="CR63" i="15"/>
  <c r="CQ63" i="15"/>
  <c r="CP63" i="15"/>
  <c r="BT78" i="15"/>
  <c r="BS78" i="15"/>
  <c r="BR78" i="15"/>
  <c r="BQ78" i="15"/>
  <c r="BP78" i="15"/>
  <c r="BT77" i="15"/>
  <c r="BS77" i="15"/>
  <c r="BR77" i="15"/>
  <c r="BQ77" i="15"/>
  <c r="BP77" i="15"/>
  <c r="BT76" i="15"/>
  <c r="BS76" i="15"/>
  <c r="BR76" i="15"/>
  <c r="BQ76" i="15"/>
  <c r="BP76" i="15"/>
  <c r="BT75" i="15"/>
  <c r="BS75" i="15"/>
  <c r="BR75" i="15"/>
  <c r="BQ75" i="15"/>
  <c r="BP75" i="15"/>
  <c r="BT74" i="15"/>
  <c r="BS74" i="15"/>
  <c r="BR74" i="15"/>
  <c r="BQ74" i="15"/>
  <c r="BP74" i="15"/>
  <c r="BT73" i="15"/>
  <c r="BS73" i="15"/>
  <c r="BR73" i="15"/>
  <c r="BQ73" i="15"/>
  <c r="BP73" i="15"/>
  <c r="BT72" i="15"/>
  <c r="BS72" i="15"/>
  <c r="BR72" i="15"/>
  <c r="BQ72" i="15"/>
  <c r="BP72" i="15"/>
  <c r="BT71" i="15"/>
  <c r="BS71" i="15"/>
  <c r="BR71" i="15"/>
  <c r="BQ71" i="15"/>
  <c r="BP71" i="15"/>
  <c r="BT70" i="15"/>
  <c r="BS70" i="15"/>
  <c r="BR70" i="15"/>
  <c r="BQ70" i="15"/>
  <c r="BP70" i="15"/>
  <c r="BT69" i="15"/>
  <c r="BS69" i="15"/>
  <c r="BR69" i="15"/>
  <c r="BQ69" i="15"/>
  <c r="BP69" i="15"/>
  <c r="BT68" i="15"/>
  <c r="BS68" i="15"/>
  <c r="BR68" i="15"/>
  <c r="BQ68" i="15"/>
  <c r="BP68" i="15"/>
  <c r="BT67" i="15"/>
  <c r="BS67" i="15"/>
  <c r="BR67" i="15"/>
  <c r="BQ67" i="15"/>
  <c r="BP67" i="15"/>
  <c r="BT66" i="15"/>
  <c r="BS66" i="15"/>
  <c r="BR66" i="15"/>
  <c r="BQ66" i="15"/>
  <c r="BP66" i="15"/>
  <c r="BT65" i="15"/>
  <c r="BS65" i="15"/>
  <c r="BR65" i="15"/>
  <c r="BQ65" i="15"/>
  <c r="BP65" i="15"/>
  <c r="BT64" i="15"/>
  <c r="BS64" i="15"/>
  <c r="BR64" i="15"/>
  <c r="BQ64" i="15"/>
  <c r="BP64" i="15"/>
  <c r="BT63" i="15"/>
  <c r="BS63" i="15"/>
  <c r="BR63" i="15"/>
  <c r="BQ63" i="15"/>
  <c r="BP63" i="15"/>
  <c r="BN64" i="15"/>
  <c r="BN65" i="15"/>
  <c r="BN66" i="15"/>
  <c r="BN67" i="15"/>
  <c r="BN68" i="15"/>
  <c r="BN69" i="15"/>
  <c r="BN70" i="15"/>
  <c r="BN71" i="15"/>
  <c r="BN72" i="15"/>
  <c r="BN73" i="15"/>
  <c r="BN74" i="15"/>
  <c r="BN75" i="15"/>
  <c r="BN76" i="15"/>
  <c r="BN77" i="15"/>
  <c r="BN78" i="15"/>
  <c r="BN63" i="15"/>
  <c r="BJ64" i="15"/>
  <c r="BJ65" i="15"/>
  <c r="BJ66" i="15"/>
  <c r="BJ67" i="15"/>
  <c r="BJ68" i="15"/>
  <c r="BJ69" i="15"/>
  <c r="BJ70" i="15"/>
  <c r="BJ71" i="15"/>
  <c r="BJ72" i="15"/>
  <c r="BJ73" i="15"/>
  <c r="BJ74" i="15"/>
  <c r="BJ75" i="15"/>
  <c r="BJ76" i="15"/>
  <c r="BJ77" i="15"/>
  <c r="BJ78" i="15"/>
  <c r="BJ63" i="15"/>
  <c r="AT78" i="15"/>
  <c r="AS78" i="15"/>
  <c r="AR78" i="15"/>
  <c r="AQ78" i="15"/>
  <c r="AP78" i="15"/>
  <c r="AT77" i="15"/>
  <c r="AS77" i="15"/>
  <c r="AR77" i="15"/>
  <c r="AQ77" i="15"/>
  <c r="AP77" i="15"/>
  <c r="AT76" i="15"/>
  <c r="AS76" i="15"/>
  <c r="AR76" i="15"/>
  <c r="AQ76" i="15"/>
  <c r="AP76" i="15"/>
  <c r="AT75" i="15"/>
  <c r="AS75" i="15"/>
  <c r="AR75" i="15"/>
  <c r="AQ75" i="15"/>
  <c r="AP75" i="15"/>
  <c r="AT74" i="15"/>
  <c r="AS74" i="15"/>
  <c r="AR74" i="15"/>
  <c r="AQ74" i="15"/>
  <c r="AP74" i="15"/>
  <c r="AT73" i="15"/>
  <c r="AS73" i="15"/>
  <c r="AR73" i="15"/>
  <c r="AQ73" i="15"/>
  <c r="AP73" i="15"/>
  <c r="AT72" i="15"/>
  <c r="AS72" i="15"/>
  <c r="AR72" i="15"/>
  <c r="AQ72" i="15"/>
  <c r="AP72" i="15"/>
  <c r="AT71" i="15"/>
  <c r="AS71" i="15"/>
  <c r="AR71" i="15"/>
  <c r="AQ71" i="15"/>
  <c r="AP71" i="15"/>
  <c r="AT70" i="15"/>
  <c r="AS70" i="15"/>
  <c r="AR70" i="15"/>
  <c r="AQ70" i="15"/>
  <c r="AP70" i="15"/>
  <c r="AT69" i="15"/>
  <c r="AS69" i="15"/>
  <c r="AR69" i="15"/>
  <c r="AQ69" i="15"/>
  <c r="AP69" i="15"/>
  <c r="AT68" i="15"/>
  <c r="AS68" i="15"/>
  <c r="AR68" i="15"/>
  <c r="AQ68" i="15"/>
  <c r="AP68" i="15"/>
  <c r="AT67" i="15"/>
  <c r="AS67" i="15"/>
  <c r="AR67" i="15"/>
  <c r="AQ67" i="15"/>
  <c r="AP67" i="15"/>
  <c r="AT66" i="15"/>
  <c r="AS66" i="15"/>
  <c r="AR66" i="15"/>
  <c r="AQ66" i="15"/>
  <c r="AP66" i="15"/>
  <c r="AT65" i="15"/>
  <c r="AS65" i="15"/>
  <c r="AR65" i="15"/>
  <c r="AQ65" i="15"/>
  <c r="AP65" i="15"/>
  <c r="AT64" i="15"/>
  <c r="AS64" i="15"/>
  <c r="AR64" i="15"/>
  <c r="AQ64" i="15"/>
  <c r="AP64" i="15"/>
  <c r="AT63" i="15"/>
  <c r="AS63" i="15"/>
  <c r="AR63" i="15"/>
  <c r="AQ63" i="15"/>
  <c r="AP63" i="15"/>
  <c r="R63" i="15"/>
  <c r="S63" i="15"/>
  <c r="Q63" i="15"/>
  <c r="P63" i="15"/>
  <c r="BH75" i="15"/>
  <c r="BH74" i="15"/>
  <c r="BH70" i="15"/>
  <c r="BH69" i="15"/>
  <c r="BH65" i="15"/>
  <c r="BH64" i="15"/>
  <c r="BH78" i="15"/>
  <c r="BH77" i="15"/>
  <c r="BH76" i="15"/>
  <c r="BH73" i="15"/>
  <c r="BH72" i="15"/>
  <c r="BH71" i="15"/>
  <c r="BH68" i="15"/>
  <c r="BH67" i="15"/>
  <c r="BH66" i="15"/>
  <c r="BH63" i="15"/>
  <c r="BE78" i="15"/>
  <c r="BE77" i="15"/>
  <c r="BE76" i="15"/>
  <c r="BE75" i="15"/>
  <c r="BE74" i="15"/>
  <c r="BE73" i="15"/>
  <c r="BE72" i="15"/>
  <c r="BE71" i="15"/>
  <c r="BE70" i="15"/>
  <c r="BE69" i="15"/>
  <c r="BE68" i="15"/>
  <c r="BE67" i="15"/>
  <c r="BE66" i="15"/>
  <c r="BE65" i="15"/>
  <c r="BE64" i="15"/>
  <c r="BE63" i="15"/>
  <c r="T78" i="15"/>
  <c r="S78" i="15"/>
  <c r="R78" i="15"/>
  <c r="Q78" i="15"/>
  <c r="P78" i="15"/>
  <c r="T77" i="15"/>
  <c r="S77" i="15"/>
  <c r="R77" i="15"/>
  <c r="Q77" i="15"/>
  <c r="P77" i="15"/>
  <c r="T76" i="15"/>
  <c r="S76" i="15"/>
  <c r="R76" i="15"/>
  <c r="Q76" i="15"/>
  <c r="P76" i="15"/>
  <c r="T75" i="15"/>
  <c r="S75" i="15"/>
  <c r="R75" i="15"/>
  <c r="Q75" i="15"/>
  <c r="P75" i="15"/>
  <c r="T74" i="15"/>
  <c r="S74" i="15"/>
  <c r="R74" i="15"/>
  <c r="Q74" i="15"/>
  <c r="P74" i="15"/>
  <c r="T73" i="15"/>
  <c r="S73" i="15"/>
  <c r="R73" i="15"/>
  <c r="Q73" i="15"/>
  <c r="P73" i="15"/>
  <c r="T72" i="15"/>
  <c r="S72" i="15"/>
  <c r="R72" i="15"/>
  <c r="Q72" i="15"/>
  <c r="P72" i="15"/>
  <c r="T71" i="15"/>
  <c r="S71" i="15"/>
  <c r="R71" i="15"/>
  <c r="Q71" i="15"/>
  <c r="P71" i="15"/>
  <c r="T70" i="15"/>
  <c r="S70" i="15"/>
  <c r="R70" i="15"/>
  <c r="Q70" i="15"/>
  <c r="P70" i="15"/>
  <c r="T69" i="15"/>
  <c r="S69" i="15"/>
  <c r="R69" i="15"/>
  <c r="Q69" i="15"/>
  <c r="P69" i="15"/>
  <c r="T68" i="15"/>
  <c r="S68" i="15"/>
  <c r="R68" i="15"/>
  <c r="Q68" i="15"/>
  <c r="P68" i="15"/>
  <c r="T67" i="15"/>
  <c r="S67" i="15"/>
  <c r="R67" i="15"/>
  <c r="Q67" i="15"/>
  <c r="P67" i="15"/>
  <c r="T66" i="15"/>
  <c r="S66" i="15"/>
  <c r="R66" i="15"/>
  <c r="Q66" i="15"/>
  <c r="P66" i="15"/>
  <c r="T65" i="15"/>
  <c r="S65" i="15"/>
  <c r="R65" i="15"/>
  <c r="Q65" i="15"/>
  <c r="P65" i="15"/>
  <c r="T64" i="15"/>
  <c r="S64" i="15"/>
  <c r="R64" i="15"/>
  <c r="Q64" i="15"/>
  <c r="P64" i="15"/>
  <c r="T63" i="15"/>
  <c r="DT78" i="14"/>
  <c r="DF78" i="14"/>
  <c r="DF77" i="14"/>
  <c r="DF76" i="14"/>
  <c r="DF73" i="14"/>
  <c r="DF72" i="14"/>
  <c r="DF71" i="14"/>
  <c r="DF68" i="14"/>
  <c r="DF67" i="14"/>
  <c r="DH67" i="14" s="1"/>
  <c r="DP67" i="14" s="1"/>
  <c r="DF66" i="14"/>
  <c r="DF63" i="14"/>
  <c r="DH73" i="14"/>
  <c r="DP73" i="14" s="1"/>
  <c r="CF78" i="14"/>
  <c r="CF77" i="14"/>
  <c r="CF76" i="14"/>
  <c r="CF73" i="14"/>
  <c r="CF72" i="14"/>
  <c r="CF71" i="14"/>
  <c r="CF68" i="14"/>
  <c r="CF67" i="14"/>
  <c r="CH67" i="14" s="1"/>
  <c r="CP67" i="14" s="1"/>
  <c r="CF66" i="14"/>
  <c r="CF63" i="14"/>
  <c r="BF78" i="14"/>
  <c r="BF77" i="14"/>
  <c r="BF76" i="14"/>
  <c r="BH76" i="14" s="1"/>
  <c r="BP76" i="14" s="1"/>
  <c r="BF73" i="14"/>
  <c r="BH73" i="14" s="1"/>
  <c r="BP73" i="14" s="1"/>
  <c r="BF72" i="14"/>
  <c r="BF71" i="14"/>
  <c r="BF68" i="14"/>
  <c r="BF67" i="14"/>
  <c r="BF66" i="14"/>
  <c r="BF63" i="14"/>
  <c r="BH68" i="14"/>
  <c r="BP68" i="14" s="1"/>
  <c r="AF78" i="14"/>
  <c r="AF77" i="14"/>
  <c r="AF76" i="14"/>
  <c r="AF73" i="14"/>
  <c r="AF72" i="14"/>
  <c r="AF71" i="14"/>
  <c r="AF68" i="14"/>
  <c r="AF67" i="14"/>
  <c r="AF66" i="14"/>
  <c r="AF63" i="14"/>
  <c r="DR78" i="14"/>
  <c r="DQ78" i="14"/>
  <c r="DR77" i="14"/>
  <c r="DQ77" i="14"/>
  <c r="DR76" i="14"/>
  <c r="DQ76" i="14"/>
  <c r="DT75" i="14"/>
  <c r="DS75" i="14"/>
  <c r="DR75" i="14"/>
  <c r="DQ75" i="14"/>
  <c r="DP75" i="14"/>
  <c r="DT74" i="14"/>
  <c r="DS74" i="14"/>
  <c r="DR74" i="14"/>
  <c r="DQ74" i="14"/>
  <c r="DP74" i="14"/>
  <c r="DR73" i="14"/>
  <c r="DQ73" i="14"/>
  <c r="DR72" i="14"/>
  <c r="DQ72" i="14"/>
  <c r="DR71" i="14"/>
  <c r="DQ71" i="14"/>
  <c r="DT70" i="14"/>
  <c r="DS70" i="14"/>
  <c r="DR70" i="14"/>
  <c r="DQ70" i="14"/>
  <c r="DP70" i="14"/>
  <c r="DT69" i="14"/>
  <c r="DS69" i="14"/>
  <c r="DR69" i="14"/>
  <c r="DQ69" i="14"/>
  <c r="DP69" i="14"/>
  <c r="DR68" i="14"/>
  <c r="DQ68" i="14"/>
  <c r="DR67" i="14"/>
  <c r="DQ67" i="14"/>
  <c r="DR66" i="14"/>
  <c r="DQ66" i="14"/>
  <c r="DT65" i="14"/>
  <c r="DS65" i="14"/>
  <c r="DR65" i="14"/>
  <c r="DQ65" i="14"/>
  <c r="DP65" i="14"/>
  <c r="DT64" i="14"/>
  <c r="DS64" i="14"/>
  <c r="DR64" i="14"/>
  <c r="DQ64" i="14"/>
  <c r="DP64" i="14"/>
  <c r="DR63" i="14"/>
  <c r="DQ63" i="14"/>
  <c r="CR78" i="14"/>
  <c r="CQ78" i="14"/>
  <c r="CR77" i="14"/>
  <c r="CQ77" i="14"/>
  <c r="CR76" i="14"/>
  <c r="CQ76" i="14"/>
  <c r="CT75" i="14"/>
  <c r="CS75" i="14"/>
  <c r="CR75" i="14"/>
  <c r="CQ75" i="14"/>
  <c r="CP75" i="14"/>
  <c r="CT74" i="14"/>
  <c r="CS74" i="14"/>
  <c r="CR74" i="14"/>
  <c r="CQ74" i="14"/>
  <c r="CP74" i="14"/>
  <c r="CR73" i="14"/>
  <c r="CQ73" i="14"/>
  <c r="CR72" i="14"/>
  <c r="CQ72" i="14"/>
  <c r="CR71" i="14"/>
  <c r="CQ71" i="14"/>
  <c r="CT70" i="14"/>
  <c r="CS70" i="14"/>
  <c r="CR70" i="14"/>
  <c r="CQ70" i="14"/>
  <c r="CP70" i="14"/>
  <c r="CT69" i="14"/>
  <c r="CS69" i="14"/>
  <c r="CR69" i="14"/>
  <c r="CQ69" i="14"/>
  <c r="CP69" i="14"/>
  <c r="CR68" i="14"/>
  <c r="CQ68" i="14"/>
  <c r="CR67" i="14"/>
  <c r="CQ67" i="14"/>
  <c r="CR66" i="14"/>
  <c r="CQ66" i="14"/>
  <c r="CT65" i="14"/>
  <c r="CS65" i="14"/>
  <c r="CR65" i="14"/>
  <c r="CQ65" i="14"/>
  <c r="CP65" i="14"/>
  <c r="CT64" i="14"/>
  <c r="CS64" i="14"/>
  <c r="CR64" i="14"/>
  <c r="CQ64" i="14"/>
  <c r="CP64" i="14"/>
  <c r="CR63" i="14"/>
  <c r="CQ63" i="14"/>
  <c r="BR78" i="14"/>
  <c r="BQ78" i="14"/>
  <c r="BR77" i="14"/>
  <c r="BQ77" i="14"/>
  <c r="BR76" i="14"/>
  <c r="BQ76" i="14"/>
  <c r="BT75" i="14"/>
  <c r="BS75" i="14"/>
  <c r="BR75" i="14"/>
  <c r="BQ75" i="14"/>
  <c r="BP75" i="14"/>
  <c r="BT74" i="14"/>
  <c r="BS74" i="14"/>
  <c r="BR74" i="14"/>
  <c r="BQ74" i="14"/>
  <c r="BP74" i="14"/>
  <c r="BR73" i="14"/>
  <c r="BQ73" i="14"/>
  <c r="BR72" i="14"/>
  <c r="BQ72" i="14"/>
  <c r="BR71" i="14"/>
  <c r="BQ71" i="14"/>
  <c r="BT70" i="14"/>
  <c r="BS70" i="14"/>
  <c r="BR70" i="14"/>
  <c r="BQ70" i="14"/>
  <c r="BP70" i="14"/>
  <c r="BT69" i="14"/>
  <c r="BS69" i="14"/>
  <c r="BR69" i="14"/>
  <c r="BQ69" i="14"/>
  <c r="BP69" i="14"/>
  <c r="BR68" i="14"/>
  <c r="BQ68" i="14"/>
  <c r="BR67" i="14"/>
  <c r="BQ67" i="14"/>
  <c r="BR66" i="14"/>
  <c r="BQ66" i="14"/>
  <c r="BT65" i="14"/>
  <c r="BS65" i="14"/>
  <c r="BR65" i="14"/>
  <c r="BQ65" i="14"/>
  <c r="BP65" i="14"/>
  <c r="BT64" i="14"/>
  <c r="BS64" i="14"/>
  <c r="BR64" i="14"/>
  <c r="BQ64" i="14"/>
  <c r="BP64" i="14"/>
  <c r="BR63" i="14"/>
  <c r="BQ63" i="14"/>
  <c r="AR78" i="14"/>
  <c r="AQ78" i="14"/>
  <c r="AR77" i="14"/>
  <c r="AQ77" i="14"/>
  <c r="AR76" i="14"/>
  <c r="AQ76" i="14"/>
  <c r="AT75" i="14"/>
  <c r="AS75" i="14"/>
  <c r="AR75" i="14"/>
  <c r="AQ75" i="14"/>
  <c r="AP75" i="14"/>
  <c r="AT74" i="14"/>
  <c r="AS74" i="14"/>
  <c r="AR74" i="14"/>
  <c r="AQ74" i="14"/>
  <c r="AP74" i="14"/>
  <c r="AR73" i="14"/>
  <c r="AQ73" i="14"/>
  <c r="AP73" i="14"/>
  <c r="AR72" i="14"/>
  <c r="AQ72" i="14"/>
  <c r="AR71" i="14"/>
  <c r="AQ71" i="14"/>
  <c r="AT70" i="14"/>
  <c r="AS70" i="14"/>
  <c r="AR70" i="14"/>
  <c r="AQ70" i="14"/>
  <c r="AP70" i="14"/>
  <c r="AT69" i="14"/>
  <c r="AS69" i="14"/>
  <c r="AR69" i="14"/>
  <c r="AQ69" i="14"/>
  <c r="AP69" i="14"/>
  <c r="AR68" i="14"/>
  <c r="AQ68" i="14"/>
  <c r="AR67" i="14"/>
  <c r="AQ67" i="14"/>
  <c r="AR66" i="14"/>
  <c r="AQ66" i="14"/>
  <c r="AT65" i="14"/>
  <c r="AS65" i="14"/>
  <c r="AR65" i="14"/>
  <c r="AQ65" i="14"/>
  <c r="AP65" i="14"/>
  <c r="AT64" i="14"/>
  <c r="AS64" i="14"/>
  <c r="AR64" i="14"/>
  <c r="AQ64" i="14"/>
  <c r="AP64" i="14"/>
  <c r="AR63" i="14"/>
  <c r="AQ63" i="14"/>
  <c r="T78" i="14"/>
  <c r="S78" i="14"/>
  <c r="R78" i="14"/>
  <c r="Q78" i="14"/>
  <c r="P78" i="14"/>
  <c r="T77" i="14"/>
  <c r="S77" i="14"/>
  <c r="R77" i="14"/>
  <c r="Q77" i="14"/>
  <c r="P77" i="14"/>
  <c r="T76" i="14"/>
  <c r="S76" i="14"/>
  <c r="R76" i="14"/>
  <c r="Q76" i="14"/>
  <c r="P76" i="14"/>
  <c r="T75" i="14"/>
  <c r="S75" i="14"/>
  <c r="R75" i="14"/>
  <c r="Q75" i="14"/>
  <c r="P75" i="14"/>
  <c r="T74" i="14"/>
  <c r="S74" i="14"/>
  <c r="R74" i="14"/>
  <c r="Q74" i="14"/>
  <c r="P74" i="14"/>
  <c r="T73" i="14"/>
  <c r="S73" i="14"/>
  <c r="R73" i="14"/>
  <c r="Q73" i="14"/>
  <c r="P73" i="14"/>
  <c r="T72" i="14"/>
  <c r="S72" i="14"/>
  <c r="R72" i="14"/>
  <c r="Q72" i="14"/>
  <c r="P72" i="14"/>
  <c r="T71" i="14"/>
  <c r="S71" i="14"/>
  <c r="R71" i="14"/>
  <c r="Q71" i="14"/>
  <c r="P71" i="14"/>
  <c r="T70" i="14"/>
  <c r="S70" i="14"/>
  <c r="R70" i="14"/>
  <c r="Q70" i="14"/>
  <c r="P70" i="14"/>
  <c r="T69" i="14"/>
  <c r="S69" i="14"/>
  <c r="R69" i="14"/>
  <c r="Q69" i="14"/>
  <c r="P69" i="14"/>
  <c r="T68" i="14"/>
  <c r="S68" i="14"/>
  <c r="R68" i="14"/>
  <c r="Q68" i="14"/>
  <c r="P68" i="14"/>
  <c r="T67" i="14"/>
  <c r="S67" i="14"/>
  <c r="R67" i="14"/>
  <c r="Q67" i="14"/>
  <c r="P67" i="14"/>
  <c r="T66" i="14"/>
  <c r="S66" i="14"/>
  <c r="R66" i="14"/>
  <c r="Q66" i="14"/>
  <c r="P66" i="14"/>
  <c r="T65" i="14"/>
  <c r="S65" i="14"/>
  <c r="R65" i="14"/>
  <c r="Q65" i="14"/>
  <c r="P65" i="14"/>
  <c r="T64" i="14"/>
  <c r="S64" i="14"/>
  <c r="R64" i="14"/>
  <c r="Q64" i="14"/>
  <c r="P64" i="14"/>
  <c r="T63" i="14"/>
  <c r="S63" i="14"/>
  <c r="R63" i="14"/>
  <c r="Q63" i="14"/>
  <c r="P63" i="14"/>
  <c r="DT78" i="13"/>
  <c r="DS78" i="13"/>
  <c r="DR78" i="13"/>
  <c r="DQ78" i="13"/>
  <c r="DP78" i="13"/>
  <c r="DT77" i="13"/>
  <c r="DS77" i="13"/>
  <c r="DR77" i="13"/>
  <c r="DQ77" i="13"/>
  <c r="DP77" i="13"/>
  <c r="DT76" i="13"/>
  <c r="DS76" i="13"/>
  <c r="DR76" i="13"/>
  <c r="DQ76" i="13"/>
  <c r="DP76" i="13"/>
  <c r="DT75" i="13"/>
  <c r="DS75" i="13"/>
  <c r="DR75" i="13"/>
  <c r="DQ75" i="13"/>
  <c r="DP75" i="13"/>
  <c r="DT74" i="13"/>
  <c r="DS74" i="13"/>
  <c r="DR74" i="13"/>
  <c r="DQ74" i="13"/>
  <c r="DP74" i="13"/>
  <c r="DT73" i="13"/>
  <c r="DS73" i="13"/>
  <c r="DR73" i="13"/>
  <c r="DQ73" i="13"/>
  <c r="DP73" i="13"/>
  <c r="DT72" i="13"/>
  <c r="DS72" i="13"/>
  <c r="DR72" i="13"/>
  <c r="DQ72" i="13"/>
  <c r="DP72" i="13"/>
  <c r="DT71" i="13"/>
  <c r="DS71" i="13"/>
  <c r="DR71" i="13"/>
  <c r="DQ71" i="13"/>
  <c r="DP71" i="13"/>
  <c r="DT70" i="13"/>
  <c r="DS70" i="13"/>
  <c r="DR70" i="13"/>
  <c r="DQ70" i="13"/>
  <c r="DP70" i="13"/>
  <c r="DT69" i="13"/>
  <c r="DS69" i="13"/>
  <c r="DR69" i="13"/>
  <c r="DQ69" i="13"/>
  <c r="DP69" i="13"/>
  <c r="DT68" i="13"/>
  <c r="DS68" i="13"/>
  <c r="DR68" i="13"/>
  <c r="DQ68" i="13"/>
  <c r="DP68" i="13"/>
  <c r="DT67" i="13"/>
  <c r="DS67" i="13"/>
  <c r="DR67" i="13"/>
  <c r="DQ67" i="13"/>
  <c r="DP67" i="13"/>
  <c r="DT66" i="13"/>
  <c r="DS66" i="13"/>
  <c r="DR66" i="13"/>
  <c r="DQ66" i="13"/>
  <c r="DP66" i="13"/>
  <c r="DT65" i="13"/>
  <c r="DS65" i="13"/>
  <c r="DR65" i="13"/>
  <c r="DQ65" i="13"/>
  <c r="DP65" i="13"/>
  <c r="DT64" i="13"/>
  <c r="DS64" i="13"/>
  <c r="DR64" i="13"/>
  <c r="DQ64" i="13"/>
  <c r="DP64" i="13"/>
  <c r="DT63" i="13"/>
  <c r="DS63" i="13"/>
  <c r="DR63" i="13"/>
  <c r="DQ63" i="13"/>
  <c r="DP63" i="13"/>
  <c r="CT78" i="13"/>
  <c r="CS78" i="13"/>
  <c r="CR78" i="13"/>
  <c r="CQ78" i="13"/>
  <c r="CP78" i="13"/>
  <c r="CT77" i="13"/>
  <c r="CS77" i="13"/>
  <c r="CR77" i="13"/>
  <c r="CQ77" i="13"/>
  <c r="CP77" i="13"/>
  <c r="CT76" i="13"/>
  <c r="CS76" i="13"/>
  <c r="CR76" i="13"/>
  <c r="CQ76" i="13"/>
  <c r="CP76" i="13"/>
  <c r="CT75" i="13"/>
  <c r="CS75" i="13"/>
  <c r="CR75" i="13"/>
  <c r="CQ75" i="13"/>
  <c r="CP75" i="13"/>
  <c r="CT74" i="13"/>
  <c r="CS74" i="13"/>
  <c r="CR74" i="13"/>
  <c r="CQ74" i="13"/>
  <c r="CP74" i="13"/>
  <c r="CT73" i="13"/>
  <c r="CS73" i="13"/>
  <c r="CR73" i="13"/>
  <c r="CQ73" i="13"/>
  <c r="CP73" i="13"/>
  <c r="CT72" i="13"/>
  <c r="CS72" i="13"/>
  <c r="CR72" i="13"/>
  <c r="CQ72" i="13"/>
  <c r="CP72" i="13"/>
  <c r="CT71" i="13"/>
  <c r="CS71" i="13"/>
  <c r="CR71" i="13"/>
  <c r="CQ71" i="13"/>
  <c r="CP71" i="13"/>
  <c r="CT70" i="13"/>
  <c r="CS70" i="13"/>
  <c r="CR70" i="13"/>
  <c r="CQ70" i="13"/>
  <c r="CP70" i="13"/>
  <c r="CT69" i="13"/>
  <c r="CS69" i="13"/>
  <c r="CR69" i="13"/>
  <c r="CQ69" i="13"/>
  <c r="CP69" i="13"/>
  <c r="CT68" i="13"/>
  <c r="CS68" i="13"/>
  <c r="CR68" i="13"/>
  <c r="CQ68" i="13"/>
  <c r="CP68" i="13"/>
  <c r="CT67" i="13"/>
  <c r="CS67" i="13"/>
  <c r="CR67" i="13"/>
  <c r="CQ67" i="13"/>
  <c r="CP67" i="13"/>
  <c r="CT66" i="13"/>
  <c r="CS66" i="13"/>
  <c r="CR66" i="13"/>
  <c r="CQ66" i="13"/>
  <c r="CP66" i="13"/>
  <c r="CT65" i="13"/>
  <c r="CS65" i="13"/>
  <c r="CR65" i="13"/>
  <c r="CQ65" i="13"/>
  <c r="CP65" i="13"/>
  <c r="CT64" i="13"/>
  <c r="CS64" i="13"/>
  <c r="CR64" i="13"/>
  <c r="CQ64" i="13"/>
  <c r="CP64" i="13"/>
  <c r="CT63" i="13"/>
  <c r="CS63" i="13"/>
  <c r="CR63" i="13"/>
  <c r="CQ63" i="13"/>
  <c r="CP63" i="13"/>
  <c r="BT78" i="13"/>
  <c r="BS78" i="13"/>
  <c r="BR78" i="13"/>
  <c r="BQ78" i="13"/>
  <c r="BP78" i="13"/>
  <c r="BT77" i="13"/>
  <c r="BS77" i="13"/>
  <c r="BR77" i="13"/>
  <c r="BQ77" i="13"/>
  <c r="BP77" i="13"/>
  <c r="BT76" i="13"/>
  <c r="BS76" i="13"/>
  <c r="BR76" i="13"/>
  <c r="BQ76" i="13"/>
  <c r="BP76" i="13"/>
  <c r="BT75" i="13"/>
  <c r="BS75" i="13"/>
  <c r="BR75" i="13"/>
  <c r="BQ75" i="13"/>
  <c r="BP75" i="13"/>
  <c r="BT74" i="13"/>
  <c r="BS74" i="13"/>
  <c r="BR74" i="13"/>
  <c r="BQ74" i="13"/>
  <c r="BP74" i="13"/>
  <c r="BT73" i="13"/>
  <c r="BS73" i="13"/>
  <c r="BR73" i="13"/>
  <c r="BQ73" i="13"/>
  <c r="BP73" i="13"/>
  <c r="BT72" i="13"/>
  <c r="BS72" i="13"/>
  <c r="BR72" i="13"/>
  <c r="BQ72" i="13"/>
  <c r="BP72" i="13"/>
  <c r="BT71" i="13"/>
  <c r="BS71" i="13"/>
  <c r="BR71" i="13"/>
  <c r="BQ71" i="13"/>
  <c r="BP71" i="13"/>
  <c r="BT70" i="13"/>
  <c r="BS70" i="13"/>
  <c r="BR70" i="13"/>
  <c r="BQ70" i="13"/>
  <c r="BP70" i="13"/>
  <c r="BT69" i="13"/>
  <c r="BS69" i="13"/>
  <c r="BR69" i="13"/>
  <c r="BQ69" i="13"/>
  <c r="BP69" i="13"/>
  <c r="BT68" i="13"/>
  <c r="BS68" i="13"/>
  <c r="BR68" i="13"/>
  <c r="BQ68" i="13"/>
  <c r="BP68" i="13"/>
  <c r="BT67" i="13"/>
  <c r="BS67" i="13"/>
  <c r="BR67" i="13"/>
  <c r="BQ67" i="13"/>
  <c r="BP67" i="13"/>
  <c r="BT66" i="13"/>
  <c r="BS66" i="13"/>
  <c r="BR66" i="13"/>
  <c r="BQ66" i="13"/>
  <c r="BP66" i="13"/>
  <c r="BT65" i="13"/>
  <c r="BS65" i="13"/>
  <c r="BR65" i="13"/>
  <c r="BQ65" i="13"/>
  <c r="BP65" i="13"/>
  <c r="BT64" i="13"/>
  <c r="BS64" i="13"/>
  <c r="BR64" i="13"/>
  <c r="BQ64" i="13"/>
  <c r="BP64" i="13"/>
  <c r="BT63" i="13"/>
  <c r="BS63" i="13"/>
  <c r="BR63" i="13"/>
  <c r="BQ63" i="13"/>
  <c r="BP63" i="13"/>
  <c r="AT78" i="13"/>
  <c r="AS78" i="13"/>
  <c r="AR78" i="13"/>
  <c r="AQ78" i="13"/>
  <c r="AP78" i="13"/>
  <c r="AT77" i="13"/>
  <c r="AS77" i="13"/>
  <c r="AR77" i="13"/>
  <c r="AQ77" i="13"/>
  <c r="AP77" i="13"/>
  <c r="AT76" i="13"/>
  <c r="AS76" i="13"/>
  <c r="AR76" i="13"/>
  <c r="AQ76" i="13"/>
  <c r="AP76" i="13"/>
  <c r="AT75" i="13"/>
  <c r="AS75" i="13"/>
  <c r="AR75" i="13"/>
  <c r="AQ75" i="13"/>
  <c r="AP75" i="13"/>
  <c r="AT74" i="13"/>
  <c r="AS74" i="13"/>
  <c r="AR74" i="13"/>
  <c r="AQ74" i="13"/>
  <c r="AP74" i="13"/>
  <c r="AT73" i="13"/>
  <c r="AS73" i="13"/>
  <c r="AR73" i="13"/>
  <c r="AQ73" i="13"/>
  <c r="AP73" i="13"/>
  <c r="AT72" i="13"/>
  <c r="AS72" i="13"/>
  <c r="AR72" i="13"/>
  <c r="AQ72" i="13"/>
  <c r="AP72" i="13"/>
  <c r="AT71" i="13"/>
  <c r="AS71" i="13"/>
  <c r="AR71" i="13"/>
  <c r="AQ71" i="13"/>
  <c r="AP71" i="13"/>
  <c r="AT70" i="13"/>
  <c r="AS70" i="13"/>
  <c r="AR70" i="13"/>
  <c r="AQ70" i="13"/>
  <c r="AP70" i="13"/>
  <c r="AT69" i="13"/>
  <c r="AS69" i="13"/>
  <c r="AR69" i="13"/>
  <c r="AQ69" i="13"/>
  <c r="AP69" i="13"/>
  <c r="AT68" i="13"/>
  <c r="AS68" i="13"/>
  <c r="AR68" i="13"/>
  <c r="AQ68" i="13"/>
  <c r="AP68" i="13"/>
  <c r="AT67" i="13"/>
  <c r="AS67" i="13"/>
  <c r="AR67" i="13"/>
  <c r="AQ67" i="13"/>
  <c r="AP67" i="13"/>
  <c r="AT66" i="13"/>
  <c r="AS66" i="13"/>
  <c r="AR66" i="13"/>
  <c r="AQ66" i="13"/>
  <c r="AP66" i="13"/>
  <c r="AT65" i="13"/>
  <c r="AS65" i="13"/>
  <c r="AR65" i="13"/>
  <c r="AQ65" i="13"/>
  <c r="AP65" i="13"/>
  <c r="AT64" i="13"/>
  <c r="AS64" i="13"/>
  <c r="AR64" i="13"/>
  <c r="AQ64" i="13"/>
  <c r="AP64" i="13"/>
  <c r="AT63" i="13"/>
  <c r="AS63" i="13"/>
  <c r="AR63" i="13"/>
  <c r="AQ63" i="13"/>
  <c r="AP63" i="13"/>
  <c r="DG78" i="13"/>
  <c r="DG77" i="13"/>
  <c r="DG76" i="13"/>
  <c r="DG73" i="13"/>
  <c r="DH73" i="13" s="1"/>
  <c r="DG72" i="13"/>
  <c r="DH72" i="13" s="1"/>
  <c r="DG71" i="13"/>
  <c r="DG68" i="13"/>
  <c r="DH68" i="13" s="1"/>
  <c r="DG67" i="13"/>
  <c r="DG66" i="13"/>
  <c r="DG63" i="13"/>
  <c r="CG78" i="13"/>
  <c r="CG77" i="13"/>
  <c r="CG76" i="13"/>
  <c r="CG73" i="13"/>
  <c r="CH73" i="13" s="1"/>
  <c r="CG72" i="13"/>
  <c r="CG71" i="13"/>
  <c r="CG68" i="13"/>
  <c r="CH68" i="13" s="1"/>
  <c r="CG67" i="13"/>
  <c r="CG66" i="13"/>
  <c r="CG63" i="13"/>
  <c r="BG78" i="13"/>
  <c r="BG77" i="13"/>
  <c r="BG76" i="13"/>
  <c r="BG73" i="13"/>
  <c r="BG72" i="13"/>
  <c r="BH72" i="13" s="1"/>
  <c r="BG71" i="13"/>
  <c r="BG68" i="13"/>
  <c r="BG67" i="13"/>
  <c r="BG66" i="13"/>
  <c r="BG63" i="13"/>
  <c r="AG78" i="13"/>
  <c r="AG77" i="13"/>
  <c r="AG76" i="13"/>
  <c r="AG73" i="13"/>
  <c r="AG72" i="13"/>
  <c r="AH72" i="13" s="1"/>
  <c r="AG71" i="13"/>
  <c r="AG68" i="13"/>
  <c r="AG67" i="13"/>
  <c r="AG66" i="13"/>
  <c r="AG63" i="13"/>
  <c r="DG78" i="16"/>
  <c r="DH78" i="16" s="1"/>
  <c r="DF78" i="16"/>
  <c r="DG77" i="16"/>
  <c r="DF77" i="16"/>
  <c r="DH77" i="16" s="1"/>
  <c r="DG76" i="16"/>
  <c r="DF76" i="16"/>
  <c r="DH76" i="16" s="1"/>
  <c r="DH75" i="16"/>
  <c r="DH74" i="16"/>
  <c r="DG73" i="16"/>
  <c r="DF73" i="16"/>
  <c r="DH73" i="16" s="1"/>
  <c r="DG72" i="16"/>
  <c r="DF72" i="16"/>
  <c r="DH72" i="16" s="1"/>
  <c r="DH71" i="16"/>
  <c r="DG71" i="16"/>
  <c r="DF71" i="16"/>
  <c r="DH70" i="16"/>
  <c r="DH69" i="16"/>
  <c r="DG68" i="16"/>
  <c r="DF68" i="16"/>
  <c r="DH68" i="16" s="1"/>
  <c r="DH67" i="16"/>
  <c r="DG67" i="16"/>
  <c r="DF67" i="16"/>
  <c r="DG66" i="16"/>
  <c r="DH66" i="16" s="1"/>
  <c r="DF66" i="16"/>
  <c r="DH65" i="16"/>
  <c r="DH64" i="16"/>
  <c r="DH63" i="16"/>
  <c r="DG63" i="16"/>
  <c r="DF63" i="16"/>
  <c r="CG78" i="16"/>
  <c r="CF78" i="16"/>
  <c r="CH78" i="16" s="1"/>
  <c r="CH77" i="16"/>
  <c r="CG77" i="16"/>
  <c r="CF77" i="16"/>
  <c r="CG76" i="16"/>
  <c r="CF76" i="16"/>
  <c r="CH76" i="16" s="1"/>
  <c r="CH75" i="16"/>
  <c r="CH74" i="16"/>
  <c r="CH73" i="16"/>
  <c r="CG73" i="16"/>
  <c r="CF73" i="16"/>
  <c r="CG72" i="16"/>
  <c r="CH72" i="16" s="1"/>
  <c r="CF72" i="16"/>
  <c r="CG71" i="16"/>
  <c r="CF71" i="16"/>
  <c r="CH71" i="16" s="1"/>
  <c r="CH70" i="16"/>
  <c r="CH69" i="16"/>
  <c r="CG68" i="16"/>
  <c r="CH68" i="16" s="1"/>
  <c r="CF68" i="16"/>
  <c r="CG67" i="16"/>
  <c r="CF67" i="16"/>
  <c r="CH67" i="16" s="1"/>
  <c r="CG66" i="16"/>
  <c r="CF66" i="16"/>
  <c r="CH66" i="16" s="1"/>
  <c r="CH65" i="16"/>
  <c r="CH64" i="16"/>
  <c r="CG63" i="16"/>
  <c r="CF63" i="16"/>
  <c r="CH63" i="16" s="1"/>
  <c r="BG78" i="16"/>
  <c r="BF78" i="16"/>
  <c r="BH78" i="16" s="1"/>
  <c r="BH77" i="16"/>
  <c r="BG77" i="16"/>
  <c r="BF77" i="16"/>
  <c r="BG76" i="16"/>
  <c r="BH76" i="16" s="1"/>
  <c r="BF76" i="16"/>
  <c r="BH75" i="16"/>
  <c r="BH74" i="16"/>
  <c r="BH73" i="16"/>
  <c r="BG73" i="16"/>
  <c r="BF73" i="16"/>
  <c r="BG72" i="16"/>
  <c r="BH72" i="16" s="1"/>
  <c r="BF72" i="16"/>
  <c r="BG71" i="16"/>
  <c r="BF71" i="16"/>
  <c r="BH71" i="16" s="1"/>
  <c r="BH70" i="16"/>
  <c r="BH69" i="16"/>
  <c r="BG68" i="16"/>
  <c r="BH68" i="16" s="1"/>
  <c r="BF68" i="16"/>
  <c r="BG67" i="16"/>
  <c r="BF67" i="16"/>
  <c r="BH67" i="16" s="1"/>
  <c r="BG66" i="16"/>
  <c r="BF66" i="16"/>
  <c r="BH66" i="16" s="1"/>
  <c r="BH65" i="16"/>
  <c r="BH64" i="16"/>
  <c r="BG63" i="16"/>
  <c r="BF63" i="16"/>
  <c r="BH63" i="16" s="1"/>
  <c r="AG78" i="16"/>
  <c r="AH78" i="16" s="1"/>
  <c r="AF78" i="16"/>
  <c r="AH77" i="16"/>
  <c r="AG77" i="16"/>
  <c r="AF77" i="16"/>
  <c r="AG76" i="16"/>
  <c r="AF76" i="16"/>
  <c r="AH76" i="16" s="1"/>
  <c r="AH75" i="16"/>
  <c r="AH74" i="16"/>
  <c r="AH73" i="16"/>
  <c r="AG73" i="16"/>
  <c r="AF73" i="16"/>
  <c r="AG72" i="16"/>
  <c r="AF72" i="16"/>
  <c r="AH72" i="16" s="1"/>
  <c r="AG71" i="16"/>
  <c r="AF71" i="16"/>
  <c r="AH71" i="16" s="1"/>
  <c r="AH70" i="16"/>
  <c r="AH69" i="16"/>
  <c r="AG68" i="16"/>
  <c r="AF68" i="16"/>
  <c r="AH68" i="16" s="1"/>
  <c r="AG67" i="16"/>
  <c r="AF67" i="16"/>
  <c r="AH67" i="16" s="1"/>
  <c r="AG66" i="16"/>
  <c r="AH66" i="16" s="1"/>
  <c r="AF66" i="16"/>
  <c r="AH65" i="16"/>
  <c r="AH64" i="16"/>
  <c r="AG63" i="16"/>
  <c r="AF63" i="16"/>
  <c r="AH63" i="16" s="1"/>
  <c r="G78" i="16"/>
  <c r="F78" i="16"/>
  <c r="H78" i="16" s="1"/>
  <c r="H77" i="16"/>
  <c r="G77" i="16"/>
  <c r="F77" i="16"/>
  <c r="G76" i="16"/>
  <c r="F76" i="16"/>
  <c r="H76" i="16" s="1"/>
  <c r="H75" i="16"/>
  <c r="H74" i="16"/>
  <c r="H73" i="16"/>
  <c r="G73" i="16"/>
  <c r="F73" i="16"/>
  <c r="G72" i="16"/>
  <c r="H72" i="16" s="1"/>
  <c r="F72" i="16"/>
  <c r="G71" i="16"/>
  <c r="F71" i="16"/>
  <c r="H71" i="16" s="1"/>
  <c r="H70" i="16"/>
  <c r="H69" i="16"/>
  <c r="G68" i="16"/>
  <c r="H68" i="16" s="1"/>
  <c r="F68" i="16"/>
  <c r="G67" i="16"/>
  <c r="F67" i="16"/>
  <c r="H67" i="16" s="1"/>
  <c r="G66" i="16"/>
  <c r="F66" i="16"/>
  <c r="H66" i="16" s="1"/>
  <c r="H65" i="16"/>
  <c r="H64" i="16"/>
  <c r="G63" i="16"/>
  <c r="F63" i="16"/>
  <c r="H63" i="16" s="1"/>
  <c r="DG78" i="15"/>
  <c r="DF78" i="15"/>
  <c r="DH78" i="15" s="1"/>
  <c r="DH77" i="15"/>
  <c r="DG77" i="15"/>
  <c r="DF77" i="15"/>
  <c r="DG76" i="15"/>
  <c r="DF76" i="15"/>
  <c r="DH76" i="15" s="1"/>
  <c r="DH75" i="15"/>
  <c r="DH74" i="15"/>
  <c r="DH73" i="15"/>
  <c r="DG73" i="15"/>
  <c r="DF73" i="15"/>
  <c r="DG72" i="15"/>
  <c r="DH72" i="15" s="1"/>
  <c r="DF72" i="15"/>
  <c r="DG71" i="15"/>
  <c r="DF71" i="15"/>
  <c r="DH71" i="15" s="1"/>
  <c r="DH70" i="15"/>
  <c r="DH69" i="15"/>
  <c r="DG68" i="15"/>
  <c r="DH68" i="15" s="1"/>
  <c r="DF68" i="15"/>
  <c r="DG67" i="15"/>
  <c r="DF67" i="15"/>
  <c r="DH67" i="15" s="1"/>
  <c r="DG66" i="15"/>
  <c r="DF66" i="15"/>
  <c r="DH66" i="15" s="1"/>
  <c r="DH65" i="15"/>
  <c r="DH64" i="15"/>
  <c r="DG63" i="15"/>
  <c r="DF63" i="15"/>
  <c r="DH63" i="15" s="1"/>
  <c r="CG78" i="15"/>
  <c r="CF78" i="15"/>
  <c r="CH78" i="15" s="1"/>
  <c r="CH77" i="15"/>
  <c r="CG77" i="15"/>
  <c r="CF77" i="15"/>
  <c r="CG76" i="15"/>
  <c r="CF76" i="15"/>
  <c r="CH76" i="15" s="1"/>
  <c r="CH75" i="15"/>
  <c r="CH74" i="15"/>
  <c r="CH73" i="15"/>
  <c r="CG73" i="15"/>
  <c r="CF73" i="15"/>
  <c r="CG72" i="15"/>
  <c r="CH72" i="15" s="1"/>
  <c r="CF72" i="15"/>
  <c r="CG71" i="15"/>
  <c r="CF71" i="15"/>
  <c r="CH71" i="15" s="1"/>
  <c r="CH70" i="15"/>
  <c r="CH69" i="15"/>
  <c r="CG68" i="15"/>
  <c r="CF68" i="15"/>
  <c r="CH68" i="15" s="1"/>
  <c r="CG67" i="15"/>
  <c r="CF67" i="15"/>
  <c r="CH67" i="15" s="1"/>
  <c r="CG66" i="15"/>
  <c r="CF66" i="15"/>
  <c r="CH66" i="15" s="1"/>
  <c r="CH65" i="15"/>
  <c r="CH64" i="15"/>
  <c r="CG63" i="15"/>
  <c r="CF63" i="15"/>
  <c r="CH63" i="15" s="1"/>
  <c r="BG78" i="15"/>
  <c r="BF78" i="15"/>
  <c r="BG77" i="15"/>
  <c r="BF77" i="15"/>
  <c r="BG76" i="15"/>
  <c r="BF76" i="15"/>
  <c r="BG73" i="15"/>
  <c r="BF73" i="15"/>
  <c r="BG72" i="15"/>
  <c r="BF72" i="15"/>
  <c r="BG71" i="15"/>
  <c r="BF71" i="15"/>
  <c r="BG68" i="15"/>
  <c r="BF68" i="15"/>
  <c r="BG67" i="15"/>
  <c r="BF67" i="15"/>
  <c r="BG66" i="15"/>
  <c r="BF66" i="15"/>
  <c r="BG63" i="15"/>
  <c r="BF63" i="15"/>
  <c r="AG78" i="15"/>
  <c r="AF78" i="15"/>
  <c r="AH78" i="15" s="1"/>
  <c r="AH77" i="15"/>
  <c r="AG77" i="15"/>
  <c r="AF77" i="15"/>
  <c r="AG76" i="15"/>
  <c r="AF76" i="15"/>
  <c r="AH76" i="15" s="1"/>
  <c r="AH75" i="15"/>
  <c r="AH74" i="15"/>
  <c r="AH73" i="15"/>
  <c r="AG73" i="15"/>
  <c r="AF73" i="15"/>
  <c r="AG72" i="15"/>
  <c r="AH72" i="15" s="1"/>
  <c r="AF72" i="15"/>
  <c r="AG71" i="15"/>
  <c r="AF71" i="15"/>
  <c r="AH71" i="15" s="1"/>
  <c r="AH70" i="15"/>
  <c r="AH69" i="15"/>
  <c r="AG68" i="15"/>
  <c r="AH68" i="15" s="1"/>
  <c r="AF68" i="15"/>
  <c r="AG67" i="15"/>
  <c r="AF67" i="15"/>
  <c r="AH67" i="15" s="1"/>
  <c r="AG66" i="15"/>
  <c r="AF66" i="15"/>
  <c r="AH66" i="15" s="1"/>
  <c r="AH65" i="15"/>
  <c r="AH64" i="15"/>
  <c r="AG63" i="15"/>
  <c r="AF63" i="15"/>
  <c r="AH63" i="15" s="1"/>
  <c r="G78" i="15"/>
  <c r="F78" i="15"/>
  <c r="H78" i="15" s="1"/>
  <c r="H77" i="15"/>
  <c r="G77" i="15"/>
  <c r="F77" i="15"/>
  <c r="G76" i="15"/>
  <c r="F76" i="15"/>
  <c r="H76" i="15" s="1"/>
  <c r="H75" i="15"/>
  <c r="H74" i="15"/>
  <c r="H73" i="15"/>
  <c r="G73" i="15"/>
  <c r="F73" i="15"/>
  <c r="G72" i="15"/>
  <c r="H72" i="15" s="1"/>
  <c r="F72" i="15"/>
  <c r="G71" i="15"/>
  <c r="F71" i="15"/>
  <c r="H71" i="15" s="1"/>
  <c r="H70" i="15"/>
  <c r="H69" i="15"/>
  <c r="G68" i="15"/>
  <c r="F68" i="15"/>
  <c r="H68" i="15" s="1"/>
  <c r="G67" i="15"/>
  <c r="F67" i="15"/>
  <c r="H67" i="15" s="1"/>
  <c r="G66" i="15"/>
  <c r="F66" i="15"/>
  <c r="H66" i="15" s="1"/>
  <c r="H65" i="15"/>
  <c r="H64" i="15"/>
  <c r="G63" i="15"/>
  <c r="F63" i="15"/>
  <c r="H63" i="15" s="1"/>
  <c r="DG78" i="14"/>
  <c r="DH78" i="14"/>
  <c r="DP78" i="14" s="1"/>
  <c r="DH77" i="14"/>
  <c r="DP77" i="14" s="1"/>
  <c r="DG77" i="14"/>
  <c r="DG76" i="14"/>
  <c r="DH76" i="14" s="1"/>
  <c r="DP76" i="14" s="1"/>
  <c r="DH75" i="14"/>
  <c r="DH74" i="14"/>
  <c r="DG73" i="14"/>
  <c r="DG72" i="14"/>
  <c r="DH72" i="14" s="1"/>
  <c r="DP72" i="14" s="1"/>
  <c r="DG71" i="14"/>
  <c r="DH71" i="14"/>
  <c r="DP71" i="14" s="1"/>
  <c r="DH70" i="14"/>
  <c r="DH69" i="14"/>
  <c r="DG68" i="14"/>
  <c r="DH68" i="14" s="1"/>
  <c r="DP68" i="14" s="1"/>
  <c r="DG67" i="14"/>
  <c r="DG66" i="14"/>
  <c r="DH66" i="14"/>
  <c r="DP66" i="14" s="1"/>
  <c r="DH65" i="14"/>
  <c r="DH64" i="14"/>
  <c r="DG63" i="14"/>
  <c r="DH63" i="14"/>
  <c r="DP63" i="14" s="1"/>
  <c r="CG78" i="14"/>
  <c r="CH78" i="14" s="1"/>
  <c r="CP78" i="14" s="1"/>
  <c r="CG77" i="14"/>
  <c r="CH77" i="14"/>
  <c r="CP77" i="14" s="1"/>
  <c r="CG76" i="14"/>
  <c r="CH76" i="14"/>
  <c r="CP76" i="14" s="1"/>
  <c r="CH75" i="14"/>
  <c r="CH74" i="14"/>
  <c r="CG73" i="14"/>
  <c r="CH73" i="14"/>
  <c r="CP73" i="14" s="1"/>
  <c r="CG72" i="14"/>
  <c r="CH72" i="14"/>
  <c r="CP72" i="14" s="1"/>
  <c r="CH71" i="14"/>
  <c r="CP71" i="14" s="1"/>
  <c r="CG71" i="14"/>
  <c r="CH70" i="14"/>
  <c r="CH69" i="14"/>
  <c r="CG68" i="14"/>
  <c r="CH68" i="14"/>
  <c r="CP68" i="14" s="1"/>
  <c r="CG67" i="14"/>
  <c r="CG66" i="14"/>
  <c r="CH66" i="14" s="1"/>
  <c r="CP66" i="14" s="1"/>
  <c r="CH65" i="14"/>
  <c r="CH64" i="14"/>
  <c r="CH63" i="14"/>
  <c r="CP63" i="14" s="1"/>
  <c r="CG63" i="14"/>
  <c r="BG78" i="14"/>
  <c r="BH78" i="14"/>
  <c r="BP78" i="14" s="1"/>
  <c r="BG77" i="14"/>
  <c r="BH77" i="14"/>
  <c r="BP77" i="14" s="1"/>
  <c r="BG76" i="14"/>
  <c r="BH75" i="14"/>
  <c r="BH74" i="14"/>
  <c r="BG73" i="14"/>
  <c r="BH72" i="14"/>
  <c r="BP72" i="14" s="1"/>
  <c r="BG72" i="14"/>
  <c r="BG71" i="14"/>
  <c r="BH71" i="14" s="1"/>
  <c r="BP71" i="14" s="1"/>
  <c r="BH70" i="14"/>
  <c r="BH69" i="14"/>
  <c r="BG68" i="14"/>
  <c r="BG67" i="14"/>
  <c r="BG66" i="14"/>
  <c r="BH66" i="14"/>
  <c r="BP66" i="14" s="1"/>
  <c r="BH65" i="14"/>
  <c r="BH64" i="14"/>
  <c r="BG63" i="14"/>
  <c r="BH63" i="14" s="1"/>
  <c r="BP63" i="14" s="1"/>
  <c r="AG78" i="14"/>
  <c r="AH78" i="14"/>
  <c r="AP78" i="14" s="1"/>
  <c r="AH77" i="14"/>
  <c r="AP77" i="14" s="1"/>
  <c r="AG77" i="14"/>
  <c r="AG76" i="14"/>
  <c r="AH76" i="14" s="1"/>
  <c r="AP76" i="14" s="1"/>
  <c r="AH75" i="14"/>
  <c r="AH74" i="14"/>
  <c r="AH73" i="14"/>
  <c r="AG73" i="14"/>
  <c r="AG72" i="14"/>
  <c r="AH72" i="14" s="1"/>
  <c r="AP72" i="14" s="1"/>
  <c r="AG71" i="14"/>
  <c r="AH71" i="14"/>
  <c r="AP71" i="14" s="1"/>
  <c r="AH70" i="14"/>
  <c r="AH69" i="14"/>
  <c r="AG68" i="14"/>
  <c r="AH68" i="14" s="1"/>
  <c r="AP68" i="14" s="1"/>
  <c r="AG67" i="14"/>
  <c r="AH67" i="14"/>
  <c r="AP67" i="14" s="1"/>
  <c r="AG66" i="14"/>
  <c r="AH66" i="14"/>
  <c r="AP66" i="14" s="1"/>
  <c r="AH65" i="14"/>
  <c r="AH64" i="14"/>
  <c r="AG63" i="14"/>
  <c r="AH63" i="14"/>
  <c r="AP63" i="14" s="1"/>
  <c r="G78" i="14"/>
  <c r="F78" i="14"/>
  <c r="H78" i="14" s="1"/>
  <c r="H77" i="14"/>
  <c r="G77" i="14"/>
  <c r="F77" i="14"/>
  <c r="G76" i="14"/>
  <c r="F76" i="14"/>
  <c r="H76" i="14" s="1"/>
  <c r="H75" i="14"/>
  <c r="H74" i="14"/>
  <c r="H73" i="14"/>
  <c r="G73" i="14"/>
  <c r="F73" i="14"/>
  <c r="G72" i="14"/>
  <c r="F72" i="14"/>
  <c r="H72" i="14" s="1"/>
  <c r="G71" i="14"/>
  <c r="F71" i="14"/>
  <c r="H71" i="14" s="1"/>
  <c r="H70" i="14"/>
  <c r="H69" i="14"/>
  <c r="G68" i="14"/>
  <c r="F68" i="14"/>
  <c r="H68" i="14" s="1"/>
  <c r="G67" i="14"/>
  <c r="F67" i="14"/>
  <c r="H67" i="14" s="1"/>
  <c r="H66" i="14"/>
  <c r="G66" i="14"/>
  <c r="F66" i="14"/>
  <c r="H65" i="14"/>
  <c r="H64" i="14"/>
  <c r="G63" i="14"/>
  <c r="F63" i="14"/>
  <c r="H63" i="14" s="1"/>
  <c r="DF78" i="13"/>
  <c r="DH78" i="13" s="1"/>
  <c r="DH77" i="13"/>
  <c r="DF77" i="13"/>
  <c r="DF76" i="13"/>
  <c r="DH76" i="13" s="1"/>
  <c r="DH75" i="13"/>
  <c r="DH74" i="13"/>
  <c r="DF73" i="13"/>
  <c r="DF72" i="13"/>
  <c r="DF71" i="13"/>
  <c r="DH70" i="13"/>
  <c r="DH69" i="13"/>
  <c r="DF68" i="13"/>
  <c r="DF67" i="13"/>
  <c r="DF66" i="13"/>
  <c r="DH66" i="13" s="1"/>
  <c r="DH65" i="13"/>
  <c r="DH64" i="13"/>
  <c r="DF63" i="13"/>
  <c r="CF78" i="13"/>
  <c r="CH78" i="13" s="1"/>
  <c r="CH77" i="13"/>
  <c r="CF77" i="13"/>
  <c r="CF76" i="13"/>
  <c r="CH76" i="13" s="1"/>
  <c r="CH75" i="13"/>
  <c r="CH74" i="13"/>
  <c r="CF73" i="13"/>
  <c r="CH72" i="13"/>
  <c r="CF72" i="13"/>
  <c r="CF71" i="13"/>
  <c r="CH71" i="13" s="1"/>
  <c r="CH70" i="13"/>
  <c r="CH69" i="13"/>
  <c r="CF68" i="13"/>
  <c r="CF67" i="13"/>
  <c r="CF66" i="13"/>
  <c r="CH65" i="13"/>
  <c r="CH64" i="13"/>
  <c r="CF63" i="13"/>
  <c r="CH63" i="13" s="1"/>
  <c r="BF78" i="13"/>
  <c r="BH78" i="13" s="1"/>
  <c r="BH77" i="13"/>
  <c r="BF77" i="13"/>
  <c r="BH76" i="13"/>
  <c r="BF76" i="13"/>
  <c r="BH75" i="13"/>
  <c r="BH74" i="13"/>
  <c r="BH73" i="13"/>
  <c r="BF73" i="13"/>
  <c r="BF72" i="13"/>
  <c r="BF71" i="13"/>
  <c r="BH71" i="13" s="1"/>
  <c r="BH70" i="13"/>
  <c r="BH69" i="13"/>
  <c r="BH68" i="13"/>
  <c r="BF68" i="13"/>
  <c r="BF67" i="13"/>
  <c r="BF66" i="13"/>
  <c r="BH65" i="13"/>
  <c r="BH64" i="13"/>
  <c r="BF63" i="13"/>
  <c r="AF78" i="13"/>
  <c r="AH78" i="13" s="1"/>
  <c r="AH77" i="13"/>
  <c r="AF77" i="13"/>
  <c r="AF76" i="13"/>
  <c r="AH76" i="13" s="1"/>
  <c r="AH75" i="13"/>
  <c r="AH74" i="13"/>
  <c r="AH73" i="13"/>
  <c r="AF73" i="13"/>
  <c r="AF72" i="13"/>
  <c r="AF71" i="13"/>
  <c r="AH71" i="13" s="1"/>
  <c r="AH70" i="13"/>
  <c r="AH69" i="13"/>
  <c r="AH68" i="13"/>
  <c r="AF68" i="13"/>
  <c r="AF67" i="13"/>
  <c r="AF66" i="13"/>
  <c r="AH66" i="13" s="1"/>
  <c r="AH65" i="13"/>
  <c r="AH64" i="13"/>
  <c r="AF63" i="13"/>
  <c r="H78" i="13"/>
  <c r="P78" i="13" s="1"/>
  <c r="H77" i="13"/>
  <c r="H76" i="13"/>
  <c r="H73" i="13"/>
  <c r="H72" i="13"/>
  <c r="P72" i="13" s="1"/>
  <c r="H71" i="13"/>
  <c r="H68" i="13"/>
  <c r="P68" i="13" s="1"/>
  <c r="H67" i="13"/>
  <c r="H66" i="13"/>
  <c r="H63" i="13"/>
  <c r="P63" i="13" s="1"/>
  <c r="G77" i="13"/>
  <c r="F77" i="13"/>
  <c r="G72" i="13"/>
  <c r="F72" i="13"/>
  <c r="G76" i="13"/>
  <c r="F76" i="13"/>
  <c r="G71" i="13"/>
  <c r="F71" i="13"/>
  <c r="G78" i="13"/>
  <c r="F78" i="13"/>
  <c r="G73" i="13"/>
  <c r="F73" i="13"/>
  <c r="G68" i="13"/>
  <c r="F68" i="13"/>
  <c r="G67" i="13"/>
  <c r="G66" i="13"/>
  <c r="G63" i="13"/>
  <c r="F67" i="13"/>
  <c r="F66" i="13"/>
  <c r="F63" i="13"/>
  <c r="R78" i="13"/>
  <c r="P64" i="13"/>
  <c r="Q64" i="13"/>
  <c r="P65" i="13"/>
  <c r="Q65" i="13"/>
  <c r="P66" i="13"/>
  <c r="Q66" i="13"/>
  <c r="P67" i="13"/>
  <c r="Q67" i="13"/>
  <c r="Q68" i="13"/>
  <c r="P69" i="13"/>
  <c r="Q69" i="13"/>
  <c r="P70" i="13"/>
  <c r="Q70" i="13"/>
  <c r="P71" i="13"/>
  <c r="Q71" i="13"/>
  <c r="Q72" i="13"/>
  <c r="P73" i="13"/>
  <c r="Q73" i="13"/>
  <c r="P74" i="13"/>
  <c r="Q74" i="13"/>
  <c r="P75" i="13"/>
  <c r="Q75" i="13"/>
  <c r="P76" i="13"/>
  <c r="Q76" i="13"/>
  <c r="P77" i="13"/>
  <c r="Q77" i="13"/>
  <c r="Q78" i="13"/>
  <c r="Q63" i="13"/>
  <c r="BH67" i="14" l="1"/>
  <c r="BP67" i="14" s="1"/>
  <c r="DH71" i="13"/>
  <c r="DH67" i="13"/>
  <c r="DH63" i="13"/>
  <c r="CH66" i="13"/>
  <c r="CH67" i="13"/>
  <c r="BH66" i="13"/>
  <c r="BH63" i="13"/>
  <c r="BH67" i="13"/>
  <c r="AH67" i="13"/>
  <c r="AH63" i="13"/>
  <c r="G96" i="5"/>
  <c r="F94" i="5"/>
  <c r="V122" i="7"/>
  <c r="P122" i="7"/>
  <c r="Z24" i="2" l="1"/>
  <c r="S24" i="2"/>
  <c r="L24" i="2"/>
  <c r="E24" i="2"/>
  <c r="D89" i="5"/>
  <c r="W104" i="7"/>
  <c r="R104" i="7"/>
  <c r="W61" i="7"/>
  <c r="R61" i="7"/>
  <c r="E92" i="5"/>
  <c r="D92" i="5"/>
  <c r="D83" i="5"/>
  <c r="G115" i="7" l="1"/>
  <c r="J40" i="2" l="1"/>
  <c r="W36" i="7" l="1"/>
  <c r="F85" i="5"/>
  <c r="E85" i="5"/>
  <c r="D85" i="5"/>
  <c r="V54" i="7"/>
  <c r="N66" i="20" l="1"/>
  <c r="F65" i="5"/>
  <c r="G65" i="5"/>
  <c r="G51" i="5"/>
  <c r="F51" i="5"/>
  <c r="E65" i="5"/>
  <c r="D65" i="5"/>
  <c r="I172" i="3"/>
  <c r="AA71" i="3"/>
  <c r="AA105" i="3"/>
  <c r="AB74" i="3"/>
  <c r="D74" i="3"/>
  <c r="AB39" i="3" l="1"/>
  <c r="M25" i="3"/>
  <c r="C4" i="3" l="1"/>
  <c r="D42" i="21" l="1"/>
  <c r="DA36" i="15" l="1"/>
  <c r="DA37" i="15"/>
  <c r="CC36" i="15"/>
  <c r="CC37" i="15"/>
  <c r="BE36" i="15"/>
  <c r="BE37" i="15"/>
  <c r="AG36" i="15"/>
  <c r="AG37" i="15"/>
  <c r="I36" i="15"/>
  <c r="I37" i="15"/>
  <c r="I36" i="14"/>
  <c r="I37" i="14"/>
  <c r="AG36" i="14"/>
  <c r="AG37" i="14"/>
  <c r="BE36" i="14"/>
  <c r="BE37" i="14"/>
  <c r="CC36" i="14"/>
  <c r="CC37" i="14"/>
  <c r="DA36" i="14"/>
  <c r="DA37" i="14"/>
  <c r="DA36" i="13"/>
  <c r="DA37" i="13"/>
  <c r="CC36" i="13"/>
  <c r="CC37" i="13"/>
  <c r="BE36" i="13"/>
  <c r="BE37" i="13"/>
  <c r="AG36" i="13"/>
  <c r="AG37" i="13"/>
  <c r="I36" i="13"/>
  <c r="I37" i="13"/>
  <c r="DA10" i="15"/>
  <c r="DA11" i="15"/>
  <c r="CC10" i="15"/>
  <c r="CC11" i="15"/>
  <c r="BE10" i="15"/>
  <c r="BE11" i="15"/>
  <c r="AG10" i="15"/>
  <c r="AG11" i="15"/>
  <c r="I10" i="15"/>
  <c r="I11" i="15"/>
  <c r="DA10" i="14"/>
  <c r="DA11" i="14"/>
  <c r="CC10" i="14"/>
  <c r="CC11" i="14"/>
  <c r="BE10" i="14"/>
  <c r="BE11" i="14"/>
  <c r="AG10" i="14"/>
  <c r="AG11" i="14"/>
  <c r="I10" i="14"/>
  <c r="I11" i="14"/>
  <c r="DA10" i="13"/>
  <c r="DA11" i="13"/>
  <c r="CC10" i="13"/>
  <c r="CC11" i="13"/>
  <c r="BE10" i="13"/>
  <c r="BE11" i="13"/>
  <c r="AG10" i="13"/>
  <c r="AG11" i="13"/>
  <c r="I10" i="13"/>
  <c r="I11" i="13"/>
  <c r="DA111" i="15"/>
  <c r="DA112" i="15"/>
  <c r="CC111" i="15"/>
  <c r="CC112" i="15"/>
  <c r="BE111" i="15"/>
  <c r="BE112" i="15"/>
  <c r="AG111" i="15"/>
  <c r="AG112" i="15"/>
  <c r="I111" i="15"/>
  <c r="I112" i="15"/>
  <c r="I111" i="14"/>
  <c r="I112" i="14"/>
  <c r="AG111" i="14"/>
  <c r="AG112" i="14"/>
  <c r="BE111" i="14"/>
  <c r="BE112" i="14"/>
  <c r="CC111" i="14"/>
  <c r="CC112" i="14"/>
  <c r="DA111" i="14"/>
  <c r="DA112" i="14"/>
  <c r="DA111" i="13"/>
  <c r="DA112" i="13"/>
  <c r="CC111" i="13"/>
  <c r="CC112" i="13"/>
  <c r="BE111" i="13"/>
  <c r="BE112" i="13"/>
  <c r="AG111" i="13"/>
  <c r="AG112" i="13"/>
  <c r="I111" i="13"/>
  <c r="I112" i="13"/>
  <c r="DA86" i="15"/>
  <c r="DA87" i="15"/>
  <c r="CC86" i="15"/>
  <c r="CC87" i="15"/>
  <c r="BE86" i="15"/>
  <c r="BE87" i="15"/>
  <c r="AG86" i="15"/>
  <c r="AG87" i="15"/>
  <c r="I86" i="15"/>
  <c r="I87" i="15"/>
  <c r="DA86" i="14"/>
  <c r="DA87" i="14"/>
  <c r="CC86" i="14"/>
  <c r="CC87" i="14"/>
  <c r="BE86" i="14"/>
  <c r="BE87" i="14"/>
  <c r="AG86" i="14"/>
  <c r="AG87" i="14"/>
  <c r="I86" i="14"/>
  <c r="I87" i="14"/>
  <c r="DA86" i="13"/>
  <c r="DA87" i="13"/>
  <c r="CC86" i="13"/>
  <c r="CC87" i="13"/>
  <c r="BE86" i="13"/>
  <c r="BE87" i="13"/>
  <c r="AG86" i="13"/>
  <c r="AG87" i="13"/>
  <c r="I86" i="13"/>
  <c r="I87" i="13"/>
  <c r="E93" i="5" l="1"/>
  <c r="D93" i="5"/>
  <c r="G87" i="5"/>
  <c r="F87" i="5"/>
  <c r="E87" i="5"/>
  <c r="D87" i="5"/>
  <c r="G85" i="5"/>
  <c r="D84" i="5"/>
  <c r="G81" i="5"/>
  <c r="F81" i="5"/>
  <c r="E81" i="5"/>
  <c r="D81" i="5"/>
  <c r="F84" i="5"/>
  <c r="E84" i="5"/>
  <c r="G83" i="5"/>
  <c r="F83" i="5"/>
  <c r="E83" i="5"/>
  <c r="H61" i="21" l="1"/>
  <c r="G61" i="21"/>
  <c r="F61" i="21"/>
  <c r="E61" i="21"/>
  <c r="D61" i="21"/>
  <c r="H60" i="21"/>
  <c r="G60" i="21"/>
  <c r="F60" i="21"/>
  <c r="E60" i="21"/>
  <c r="D60" i="21"/>
  <c r="H48" i="21" l="1"/>
  <c r="G48" i="21"/>
  <c r="F48" i="21"/>
  <c r="E48" i="21"/>
  <c r="D48" i="21"/>
  <c r="H42" i="21"/>
  <c r="G42" i="21"/>
  <c r="F42" i="21"/>
  <c r="E42" i="21"/>
  <c r="D10" i="21"/>
  <c r="D24" i="5" l="1"/>
  <c r="W65" i="7" l="1"/>
  <c r="R65" i="7"/>
  <c r="M65" i="7"/>
  <c r="H65" i="7"/>
  <c r="M108" i="7"/>
  <c r="H108" i="7"/>
  <c r="W39" i="3" l="1"/>
  <c r="R39" i="3"/>
  <c r="M39" i="3"/>
  <c r="H39" i="3"/>
  <c r="L46" i="2" l="1"/>
  <c r="K66" i="10"/>
  <c r="L66" i="10"/>
  <c r="R66" i="10"/>
  <c r="S66" i="10"/>
  <c r="T66" i="10"/>
  <c r="K67" i="10"/>
  <c r="L67" i="10"/>
  <c r="R67" i="10"/>
  <c r="S67" i="10"/>
  <c r="T67" i="10"/>
  <c r="J68" i="10"/>
  <c r="K68" i="10"/>
  <c r="L68" i="10"/>
  <c r="R68" i="10"/>
  <c r="S68" i="10"/>
  <c r="T68" i="10"/>
  <c r="J69" i="10"/>
  <c r="K69" i="10"/>
  <c r="L69" i="10"/>
  <c r="R69" i="10"/>
  <c r="S69" i="10"/>
  <c r="T69" i="10"/>
  <c r="J70" i="10"/>
  <c r="K70" i="10"/>
  <c r="L70" i="10"/>
  <c r="R70" i="10"/>
  <c r="S70" i="10"/>
  <c r="T70" i="10"/>
  <c r="J71" i="10"/>
  <c r="K71" i="10"/>
  <c r="L71" i="10"/>
  <c r="R71" i="10"/>
  <c r="S71" i="10"/>
  <c r="T71" i="10"/>
  <c r="J72" i="10"/>
  <c r="K72" i="10"/>
  <c r="L72" i="10"/>
  <c r="R72" i="10"/>
  <c r="S72" i="10"/>
  <c r="T72" i="10"/>
  <c r="J73" i="10"/>
  <c r="K73" i="10"/>
  <c r="L73" i="10"/>
  <c r="R73" i="10"/>
  <c r="S73" i="10"/>
  <c r="T73" i="10"/>
  <c r="J74" i="10"/>
  <c r="K74" i="10"/>
  <c r="L74" i="10"/>
  <c r="R74" i="10"/>
  <c r="S74" i="10"/>
  <c r="T74" i="10"/>
  <c r="J75" i="10"/>
  <c r="K75" i="10"/>
  <c r="L75" i="10"/>
  <c r="R75" i="10"/>
  <c r="S75" i="10"/>
  <c r="T75" i="10"/>
  <c r="J76" i="10"/>
  <c r="K76" i="10"/>
  <c r="L76" i="10"/>
  <c r="R76" i="10"/>
  <c r="S76" i="10"/>
  <c r="T76" i="10"/>
  <c r="J77" i="10"/>
  <c r="K77" i="10"/>
  <c r="L77" i="10"/>
  <c r="R77" i="10"/>
  <c r="S77" i="10"/>
  <c r="T77" i="10"/>
  <c r="J78" i="10"/>
  <c r="K78" i="10"/>
  <c r="L78" i="10"/>
  <c r="R78" i="10"/>
  <c r="S78" i="10"/>
  <c r="T78" i="10"/>
  <c r="J79" i="10"/>
  <c r="K79" i="10"/>
  <c r="L79" i="10"/>
  <c r="R79" i="10"/>
  <c r="S79" i="10"/>
  <c r="T79" i="10"/>
  <c r="J80" i="10"/>
  <c r="K80" i="10"/>
  <c r="L80" i="10"/>
  <c r="Q80" i="10"/>
  <c r="R80" i="10"/>
  <c r="S80" i="10"/>
  <c r="T80" i="10"/>
  <c r="T65" i="10"/>
  <c r="S65" i="10"/>
  <c r="R65" i="10"/>
  <c r="P65" i="10"/>
  <c r="O65" i="10"/>
  <c r="N65" i="10"/>
  <c r="M65" i="10"/>
  <c r="L65" i="10"/>
  <c r="K65" i="10"/>
  <c r="J65" i="10"/>
  <c r="J39" i="10"/>
  <c r="K92" i="10"/>
  <c r="L92" i="10"/>
  <c r="Q92" i="10"/>
  <c r="R92" i="10"/>
  <c r="T92" i="10"/>
  <c r="K93" i="10"/>
  <c r="L93" i="10"/>
  <c r="Q93" i="10"/>
  <c r="R93" i="10"/>
  <c r="T93" i="10"/>
  <c r="K94" i="10"/>
  <c r="L94" i="10"/>
  <c r="Q94" i="10"/>
  <c r="R94" i="10"/>
  <c r="T94" i="10"/>
  <c r="K95" i="10"/>
  <c r="L95" i="10"/>
  <c r="Q95" i="10"/>
  <c r="R95" i="10"/>
  <c r="T95" i="10"/>
  <c r="K96" i="10"/>
  <c r="L96" i="10"/>
  <c r="Q96" i="10"/>
  <c r="R96" i="10"/>
  <c r="T96" i="10"/>
  <c r="K97" i="10"/>
  <c r="L97" i="10"/>
  <c r="Q97" i="10"/>
  <c r="R97" i="10"/>
  <c r="T97" i="10"/>
  <c r="K98" i="10"/>
  <c r="L98" i="10"/>
  <c r="Q98" i="10"/>
  <c r="R98" i="10"/>
  <c r="T98" i="10"/>
  <c r="K99" i="10"/>
  <c r="L99" i="10"/>
  <c r="Q99" i="10"/>
  <c r="R99" i="10"/>
  <c r="T99" i="10"/>
  <c r="K100" i="10"/>
  <c r="L100" i="10"/>
  <c r="Q100" i="10"/>
  <c r="R100" i="10"/>
  <c r="T100" i="10"/>
  <c r="K101" i="10"/>
  <c r="L101" i="10"/>
  <c r="Q101" i="10"/>
  <c r="R101" i="10"/>
  <c r="T101" i="10"/>
  <c r="K102" i="10"/>
  <c r="L102" i="10"/>
  <c r="Q102" i="10"/>
  <c r="R102" i="10"/>
  <c r="T102" i="10"/>
  <c r="K103" i="10"/>
  <c r="L103" i="10"/>
  <c r="Q103" i="10"/>
  <c r="R103" i="10"/>
  <c r="T103" i="10"/>
  <c r="K104" i="10"/>
  <c r="L104" i="10"/>
  <c r="Q104" i="10"/>
  <c r="R104" i="10"/>
  <c r="T104" i="10"/>
  <c r="K105" i="10"/>
  <c r="L105" i="10"/>
  <c r="Q105" i="10"/>
  <c r="R105" i="10"/>
  <c r="T105" i="10"/>
  <c r="K106" i="10"/>
  <c r="L106" i="10"/>
  <c r="Q106" i="10"/>
  <c r="R106" i="10"/>
  <c r="T106" i="10"/>
  <c r="T91" i="10"/>
  <c r="S91" i="10"/>
  <c r="R91" i="10"/>
  <c r="Q91" i="10"/>
  <c r="P91" i="10"/>
  <c r="O91" i="10"/>
  <c r="N91" i="10"/>
  <c r="M91" i="10"/>
  <c r="L91" i="10"/>
  <c r="K91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91" i="10"/>
  <c r="Q40" i="10"/>
  <c r="S40" i="10"/>
  <c r="T40" i="10"/>
  <c r="Q41" i="10"/>
  <c r="S41" i="10"/>
  <c r="T41" i="10"/>
  <c r="Q42" i="10"/>
  <c r="S42" i="10"/>
  <c r="T42" i="10"/>
  <c r="Q43" i="10"/>
  <c r="S43" i="10"/>
  <c r="T43" i="10"/>
  <c r="Q44" i="10"/>
  <c r="S44" i="10"/>
  <c r="T44" i="10"/>
  <c r="Q45" i="10"/>
  <c r="S45" i="10"/>
  <c r="T45" i="10"/>
  <c r="Q46" i="10"/>
  <c r="S46" i="10"/>
  <c r="T46" i="10"/>
  <c r="Q47" i="10"/>
  <c r="S47" i="10"/>
  <c r="T47" i="10"/>
  <c r="Q48" i="10"/>
  <c r="S48" i="10"/>
  <c r="T48" i="10"/>
  <c r="Q49" i="10"/>
  <c r="S49" i="10"/>
  <c r="T49" i="10"/>
  <c r="Q50" i="10"/>
  <c r="S50" i="10"/>
  <c r="T50" i="10"/>
  <c r="Q51" i="10"/>
  <c r="S51" i="10"/>
  <c r="T51" i="10"/>
  <c r="Q52" i="10"/>
  <c r="S52" i="10"/>
  <c r="T52" i="10"/>
  <c r="Q53" i="10"/>
  <c r="S53" i="10"/>
  <c r="T53" i="10"/>
  <c r="Q54" i="10"/>
  <c r="S54" i="10"/>
  <c r="T54" i="10"/>
  <c r="T39" i="10"/>
  <c r="S39" i="10"/>
  <c r="Q39" i="10"/>
  <c r="P39" i="10"/>
  <c r="O39" i="10"/>
  <c r="N39" i="10"/>
  <c r="M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39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13" i="10"/>
  <c r="Q14" i="10"/>
  <c r="R14" i="10"/>
  <c r="S14" i="10"/>
  <c r="T14" i="10"/>
  <c r="Q15" i="10"/>
  <c r="R15" i="10"/>
  <c r="S15" i="10"/>
  <c r="T15" i="10"/>
  <c r="R16" i="10"/>
  <c r="S16" i="10"/>
  <c r="T16" i="10"/>
  <c r="Q17" i="10"/>
  <c r="R17" i="10"/>
  <c r="S17" i="10"/>
  <c r="T17" i="10"/>
  <c r="Q18" i="10"/>
  <c r="R18" i="10"/>
  <c r="S18" i="10"/>
  <c r="T18" i="10"/>
  <c r="R19" i="10"/>
  <c r="S19" i="10"/>
  <c r="T19" i="10"/>
  <c r="Q20" i="10"/>
  <c r="R20" i="10"/>
  <c r="S20" i="10"/>
  <c r="T20" i="10"/>
  <c r="Q21" i="10"/>
  <c r="R21" i="10"/>
  <c r="S21" i="10"/>
  <c r="T21" i="10"/>
  <c r="R22" i="10"/>
  <c r="S22" i="10"/>
  <c r="T22" i="10"/>
  <c r="Q23" i="10"/>
  <c r="R23" i="10"/>
  <c r="S23" i="10"/>
  <c r="T23" i="10"/>
  <c r="Q24" i="10"/>
  <c r="R24" i="10"/>
  <c r="S24" i="10"/>
  <c r="T24" i="10"/>
  <c r="R25" i="10"/>
  <c r="S25" i="10"/>
  <c r="T25" i="10"/>
  <c r="Q26" i="10"/>
  <c r="R26" i="10"/>
  <c r="S26" i="10"/>
  <c r="T26" i="10"/>
  <c r="Q27" i="10"/>
  <c r="R27" i="10"/>
  <c r="S27" i="10"/>
  <c r="T27" i="10"/>
  <c r="R28" i="10"/>
  <c r="S28" i="10"/>
  <c r="T28" i="10"/>
  <c r="T13" i="10"/>
  <c r="S13" i="10"/>
  <c r="R13" i="10"/>
  <c r="Q13" i="10"/>
  <c r="N14" i="10"/>
  <c r="O14" i="10"/>
  <c r="P14" i="10"/>
  <c r="N15" i="10"/>
  <c r="O15" i="10"/>
  <c r="P15" i="10"/>
  <c r="N17" i="10"/>
  <c r="O17" i="10"/>
  <c r="P17" i="10"/>
  <c r="N18" i="10"/>
  <c r="O18" i="10"/>
  <c r="P18" i="10"/>
  <c r="N20" i="10"/>
  <c r="O20" i="10"/>
  <c r="P20" i="10"/>
  <c r="N21" i="10"/>
  <c r="O21" i="10"/>
  <c r="P21" i="10"/>
  <c r="N23" i="10"/>
  <c r="O23" i="10"/>
  <c r="P23" i="10"/>
  <c r="N24" i="10"/>
  <c r="O24" i="10"/>
  <c r="P24" i="10"/>
  <c r="N26" i="10"/>
  <c r="O26" i="10"/>
  <c r="P26" i="10"/>
  <c r="N27" i="10"/>
  <c r="O27" i="10"/>
  <c r="P27" i="10"/>
  <c r="P13" i="10"/>
  <c r="O13" i="10"/>
  <c r="N13" i="10"/>
  <c r="E46" i="2"/>
  <c r="M14" i="10"/>
  <c r="M15" i="10"/>
  <c r="M17" i="10"/>
  <c r="M18" i="10"/>
  <c r="M20" i="10"/>
  <c r="M21" i="10"/>
  <c r="M23" i="10"/>
  <c r="M24" i="10"/>
  <c r="M26" i="10"/>
  <c r="M27" i="10"/>
  <c r="M13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13" i="10"/>
  <c r="K23" i="10"/>
  <c r="K24" i="10"/>
  <c r="K25" i="10"/>
  <c r="K26" i="10"/>
  <c r="K27" i="10"/>
  <c r="K28" i="10"/>
  <c r="K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C94" i="10"/>
  <c r="D94" i="10" s="1"/>
  <c r="C95" i="10"/>
  <c r="D95" i="10" s="1"/>
  <c r="C96" i="10"/>
  <c r="D96" i="10" s="1"/>
  <c r="C97" i="10"/>
  <c r="D97" i="10" s="1"/>
  <c r="C98" i="10"/>
  <c r="C99" i="10"/>
  <c r="C100" i="10"/>
  <c r="D100" i="10" s="1"/>
  <c r="C101" i="10"/>
  <c r="D101" i="10" s="1"/>
  <c r="C102" i="10"/>
  <c r="D102" i="10" s="1"/>
  <c r="C103" i="10"/>
  <c r="D103" i="10" s="1"/>
  <c r="C104" i="10"/>
  <c r="C105" i="10"/>
  <c r="D105" i="10" s="1"/>
  <c r="C106" i="10"/>
  <c r="D106" i="10" s="1"/>
  <c r="C92" i="10"/>
  <c r="D92" i="10" s="1"/>
  <c r="C93" i="10"/>
  <c r="C91" i="10"/>
  <c r="D91" i="10" s="1"/>
  <c r="C66" i="10"/>
  <c r="D66" i="10" s="1"/>
  <c r="C67" i="10"/>
  <c r="D67" i="10" s="1"/>
  <c r="C68" i="10"/>
  <c r="D68" i="10" s="1"/>
  <c r="C69" i="10"/>
  <c r="D69" i="10" s="1"/>
  <c r="C70" i="10"/>
  <c r="D70" i="10" s="1"/>
  <c r="C71" i="10"/>
  <c r="D71" i="10" s="1"/>
  <c r="C72" i="10"/>
  <c r="D72" i="10" s="1"/>
  <c r="C73" i="10"/>
  <c r="D73" i="10" s="1"/>
  <c r="C74" i="10"/>
  <c r="C75" i="10"/>
  <c r="D75" i="10" s="1"/>
  <c r="C76" i="10"/>
  <c r="C77" i="10"/>
  <c r="D77" i="10" s="1"/>
  <c r="C78" i="10"/>
  <c r="D78" i="10" s="1"/>
  <c r="C79" i="10"/>
  <c r="D79" i="10" s="1"/>
  <c r="C80" i="10"/>
  <c r="C65" i="10"/>
  <c r="D65" i="10" s="1"/>
  <c r="C40" i="10"/>
  <c r="D40" i="10" s="1"/>
  <c r="C41" i="10"/>
  <c r="D41" i="10" s="1"/>
  <c r="C42" i="10"/>
  <c r="D42" i="10" s="1"/>
  <c r="C43" i="10"/>
  <c r="D43" i="10" s="1"/>
  <c r="C44" i="10"/>
  <c r="D44" i="10" s="1"/>
  <c r="C45" i="10"/>
  <c r="D45" i="10" s="1"/>
  <c r="C46" i="10"/>
  <c r="C47" i="10"/>
  <c r="D47" i="10" s="1"/>
  <c r="C48" i="10"/>
  <c r="D48" i="10" s="1"/>
  <c r="C49" i="10"/>
  <c r="D49" i="10" s="1"/>
  <c r="C50" i="10"/>
  <c r="D50" i="10" s="1"/>
  <c r="C51" i="10"/>
  <c r="D51" i="10" s="1"/>
  <c r="C52" i="10"/>
  <c r="D52" i="10" s="1"/>
  <c r="C53" i="10"/>
  <c r="D53" i="10" s="1"/>
  <c r="C54" i="10"/>
  <c r="D54" i="10" s="1"/>
  <c r="C39" i="10"/>
  <c r="D39" i="10" s="1"/>
  <c r="C20" i="10"/>
  <c r="D20" i="10" s="1"/>
  <c r="C21" i="10"/>
  <c r="D21" i="10" s="1"/>
  <c r="C22" i="10"/>
  <c r="D22" i="10" s="1"/>
  <c r="C23" i="10"/>
  <c r="D23" i="10" s="1"/>
  <c r="C24" i="10"/>
  <c r="D24" i="10" s="1"/>
  <c r="C25" i="10"/>
  <c r="D25" i="10" s="1"/>
  <c r="C26" i="10"/>
  <c r="D26" i="10" s="1"/>
  <c r="C27" i="10"/>
  <c r="D27" i="10" s="1"/>
  <c r="C28" i="10"/>
  <c r="D28" i="10" s="1"/>
  <c r="C14" i="10"/>
  <c r="D14" i="10" s="1"/>
  <c r="C15" i="10"/>
  <c r="D15" i="10" s="1"/>
  <c r="C16" i="10"/>
  <c r="D16" i="10" s="1"/>
  <c r="C17" i="10"/>
  <c r="D17" i="10" s="1"/>
  <c r="C18" i="10"/>
  <c r="D18" i="10" s="1"/>
  <c r="C19" i="10"/>
  <c r="D19" i="10" s="1"/>
  <c r="C13" i="10"/>
  <c r="D13" i="10" s="1"/>
  <c r="D98" i="10"/>
  <c r="D99" i="10"/>
  <c r="D104" i="10"/>
  <c r="D93" i="10"/>
  <c r="D74" i="10"/>
  <c r="D76" i="10"/>
  <c r="D80" i="10"/>
  <c r="D46" i="10"/>
  <c r="J10" i="2" l="1"/>
  <c r="U27" i="10"/>
  <c r="DA102" i="16" s="1"/>
  <c r="U26" i="10"/>
  <c r="U23" i="10"/>
  <c r="U13" i="10"/>
  <c r="I102" i="16"/>
  <c r="L14" i="10"/>
  <c r="L15" i="10"/>
  <c r="U24" i="10"/>
  <c r="U91" i="10"/>
  <c r="Q10" i="2"/>
  <c r="X10" i="2"/>
  <c r="AE10" i="2"/>
  <c r="CC38" i="15" l="1"/>
  <c r="AG38" i="15"/>
  <c r="I38" i="14"/>
  <c r="BE38" i="14"/>
  <c r="DA38" i="14"/>
  <c r="CC38" i="13"/>
  <c r="AG38" i="13"/>
  <c r="DA38" i="15"/>
  <c r="BE38" i="15"/>
  <c r="DA38" i="13"/>
  <c r="BE38" i="13"/>
  <c r="I38" i="15"/>
  <c r="AG38" i="14"/>
  <c r="CC38" i="14"/>
  <c r="I38" i="13"/>
  <c r="AG101" i="16"/>
  <c r="DA101" i="15"/>
  <c r="BE101" i="15"/>
  <c r="I101" i="15"/>
  <c r="CC101" i="14"/>
  <c r="AG101" i="14"/>
  <c r="DA101" i="13"/>
  <c r="BE101" i="13"/>
  <c r="I101" i="13"/>
  <c r="DA101" i="14"/>
  <c r="CC101" i="13"/>
  <c r="AG101" i="13"/>
  <c r="CC101" i="15"/>
  <c r="AG101" i="15"/>
  <c r="BE101" i="14"/>
  <c r="I101" i="14"/>
  <c r="DA98" i="16"/>
  <c r="CC98" i="15"/>
  <c r="AG98" i="15"/>
  <c r="DA98" i="14"/>
  <c r="BE98" i="14"/>
  <c r="I98" i="14"/>
  <c r="CC98" i="13"/>
  <c r="AG98" i="13"/>
  <c r="DA98" i="15"/>
  <c r="BE98" i="15"/>
  <c r="I98" i="15"/>
  <c r="CC98" i="14"/>
  <c r="AG98" i="14"/>
  <c r="DA98" i="13"/>
  <c r="BE98" i="13"/>
  <c r="I98" i="13"/>
  <c r="CC102" i="16"/>
  <c r="CC102" i="15"/>
  <c r="AG102" i="15"/>
  <c r="DA102" i="14"/>
  <c r="BE102" i="14"/>
  <c r="I102" i="14"/>
  <c r="CC102" i="13"/>
  <c r="AG102" i="13"/>
  <c r="DA102" i="15"/>
  <c r="BE102" i="15"/>
  <c r="I102" i="15"/>
  <c r="AG102" i="14"/>
  <c r="DA102" i="13"/>
  <c r="BE102" i="13"/>
  <c r="I102" i="13"/>
  <c r="CC102" i="14"/>
  <c r="CC99" i="15"/>
  <c r="AG99" i="15"/>
  <c r="DA99" i="14"/>
  <c r="BE99" i="14"/>
  <c r="I99" i="14"/>
  <c r="CC99" i="13"/>
  <c r="AG99" i="13"/>
  <c r="AG99" i="14"/>
  <c r="DA99" i="13"/>
  <c r="BE99" i="13"/>
  <c r="DA99" i="15"/>
  <c r="BE99" i="15"/>
  <c r="I99" i="15"/>
  <c r="CC99" i="14"/>
  <c r="I99" i="13"/>
  <c r="CC88" i="16"/>
  <c r="DA88" i="15"/>
  <c r="BE88" i="15"/>
  <c r="I88" i="15"/>
  <c r="CC88" i="14"/>
  <c r="AG88" i="14"/>
  <c r="DA88" i="13"/>
  <c r="BE88" i="13"/>
  <c r="I88" i="13"/>
  <c r="AG88" i="15"/>
  <c r="BE88" i="14"/>
  <c r="CC88" i="15"/>
  <c r="DA88" i="14"/>
  <c r="I88" i="14"/>
  <c r="CC88" i="13"/>
  <c r="AG88" i="13"/>
  <c r="I101" i="16"/>
  <c r="AG102" i="16"/>
  <c r="BE102" i="16"/>
  <c r="BE101" i="16"/>
  <c r="CC101" i="16"/>
  <c r="DA101" i="16"/>
  <c r="BE98" i="16"/>
  <c r="DA88" i="16"/>
  <c r="AG98" i="16"/>
  <c r="I88" i="16"/>
  <c r="AG88" i="16"/>
  <c r="BE88" i="16"/>
  <c r="CC98" i="16"/>
  <c r="I98" i="16"/>
  <c r="DA99" i="16"/>
  <c r="CC99" i="16"/>
  <c r="BE99" i="16"/>
  <c r="AG99" i="16"/>
  <c r="I99" i="16"/>
  <c r="CC38" i="16"/>
  <c r="BE38" i="16"/>
  <c r="AG38" i="16"/>
  <c r="DA38" i="16"/>
  <c r="I38" i="16"/>
  <c r="CV153" i="16" l="1"/>
  <c r="CU153" i="16"/>
  <c r="CV152" i="16"/>
  <c r="CU152" i="16"/>
  <c r="CV151" i="16"/>
  <c r="CU151" i="16"/>
  <c r="CV150" i="16"/>
  <c r="CU150" i="16"/>
  <c r="CV149" i="16"/>
  <c r="CU149" i="16"/>
  <c r="CV148" i="16"/>
  <c r="CU148" i="16"/>
  <c r="CV147" i="16"/>
  <c r="CU147" i="16"/>
  <c r="CV146" i="16"/>
  <c r="CU146" i="16"/>
  <c r="CV145" i="16"/>
  <c r="CU145" i="16"/>
  <c r="CV144" i="16"/>
  <c r="CU144" i="16"/>
  <c r="CV143" i="16"/>
  <c r="CU143" i="16"/>
  <c r="CV142" i="16"/>
  <c r="CU142" i="16"/>
  <c r="CV141" i="16"/>
  <c r="CU141" i="16"/>
  <c r="CV140" i="16"/>
  <c r="CU140" i="16"/>
  <c r="CV139" i="16"/>
  <c r="CU139" i="16"/>
  <c r="CV138" i="16"/>
  <c r="CU138" i="16"/>
  <c r="DA136" i="16"/>
  <c r="CZ136" i="16"/>
  <c r="BX153" i="16"/>
  <c r="BW153" i="16"/>
  <c r="BX152" i="16"/>
  <c r="BW152" i="16"/>
  <c r="BX151" i="16"/>
  <c r="BW151" i="16"/>
  <c r="BX150" i="16"/>
  <c r="BW150" i="16"/>
  <c r="BX149" i="16"/>
  <c r="BW149" i="16"/>
  <c r="BX148" i="16"/>
  <c r="BW148" i="16"/>
  <c r="BX147" i="16"/>
  <c r="BW147" i="16"/>
  <c r="BX146" i="16"/>
  <c r="BW146" i="16"/>
  <c r="BX145" i="16"/>
  <c r="BW145" i="16"/>
  <c r="BX144" i="16"/>
  <c r="BW144" i="16"/>
  <c r="BX143" i="16"/>
  <c r="BW143" i="16"/>
  <c r="BX142" i="16"/>
  <c r="BW142" i="16"/>
  <c r="BX141" i="16"/>
  <c r="BW141" i="16"/>
  <c r="BX140" i="16"/>
  <c r="BW140" i="16"/>
  <c r="BX139" i="16"/>
  <c r="BW139" i="16"/>
  <c r="BX138" i="16"/>
  <c r="BW138" i="16"/>
  <c r="CC136" i="16"/>
  <c r="CB136" i="16"/>
  <c r="AZ153" i="16"/>
  <c r="AY153" i="16"/>
  <c r="AZ152" i="16"/>
  <c r="AY152" i="16"/>
  <c r="AZ151" i="16"/>
  <c r="AY151" i="16"/>
  <c r="AZ150" i="16"/>
  <c r="AY150" i="16"/>
  <c r="AZ149" i="16"/>
  <c r="AY149" i="16"/>
  <c r="AZ148" i="16"/>
  <c r="AY148" i="16"/>
  <c r="AZ147" i="16"/>
  <c r="AY147" i="16"/>
  <c r="AZ146" i="16"/>
  <c r="AY146" i="16"/>
  <c r="AZ145" i="16"/>
  <c r="AY145" i="16"/>
  <c r="AZ144" i="16"/>
  <c r="AY144" i="16"/>
  <c r="AZ143" i="16"/>
  <c r="AY143" i="16"/>
  <c r="AZ142" i="16"/>
  <c r="AY142" i="16"/>
  <c r="AZ141" i="16"/>
  <c r="AY141" i="16"/>
  <c r="AZ140" i="16"/>
  <c r="AY140" i="16"/>
  <c r="AZ139" i="16"/>
  <c r="AY139" i="16"/>
  <c r="AZ138" i="16"/>
  <c r="AY138" i="16"/>
  <c r="BE136" i="16"/>
  <c r="BD136" i="16"/>
  <c r="AB153" i="16"/>
  <c r="AA153" i="16"/>
  <c r="AB152" i="16"/>
  <c r="AA152" i="16"/>
  <c r="AB151" i="16"/>
  <c r="AA151" i="16"/>
  <c r="AB150" i="16"/>
  <c r="AA150" i="16"/>
  <c r="AB149" i="16"/>
  <c r="AA149" i="16"/>
  <c r="AB148" i="16"/>
  <c r="AA148" i="16"/>
  <c r="AC148" i="16" s="1"/>
  <c r="AB147" i="16"/>
  <c r="AA147" i="16"/>
  <c r="AB146" i="16"/>
  <c r="AA146" i="16"/>
  <c r="AC146" i="16" s="1"/>
  <c r="AB145" i="16"/>
  <c r="AA145" i="16"/>
  <c r="AB144" i="16"/>
  <c r="AA144" i="16"/>
  <c r="AC144" i="16" s="1"/>
  <c r="AB143" i="16"/>
  <c r="AA143" i="16"/>
  <c r="AB142" i="16"/>
  <c r="AA142" i="16"/>
  <c r="AC142" i="16" s="1"/>
  <c r="AB141" i="16"/>
  <c r="AA141" i="16"/>
  <c r="AB140" i="16"/>
  <c r="AA140" i="16"/>
  <c r="AC140" i="16" s="1"/>
  <c r="AB139" i="16"/>
  <c r="AA139" i="16"/>
  <c r="AB138" i="16"/>
  <c r="AA138" i="16"/>
  <c r="AG136" i="16"/>
  <c r="AF136" i="16"/>
  <c r="D153" i="16"/>
  <c r="C153" i="16"/>
  <c r="D152" i="16"/>
  <c r="C152" i="16"/>
  <c r="D151" i="16"/>
  <c r="C151" i="16"/>
  <c r="D150" i="16"/>
  <c r="C150" i="16"/>
  <c r="D149" i="16"/>
  <c r="C149" i="16"/>
  <c r="D148" i="16"/>
  <c r="C148" i="16"/>
  <c r="D147" i="16"/>
  <c r="C147" i="16"/>
  <c r="D146" i="16"/>
  <c r="C146" i="16"/>
  <c r="D145" i="16"/>
  <c r="C145" i="16"/>
  <c r="D144" i="16"/>
  <c r="C144" i="16"/>
  <c r="D143" i="16"/>
  <c r="C143" i="16"/>
  <c r="D142" i="16"/>
  <c r="C142" i="16"/>
  <c r="D141" i="16"/>
  <c r="C141" i="16"/>
  <c r="D140" i="16"/>
  <c r="C140" i="16"/>
  <c r="D139" i="16"/>
  <c r="C139" i="16"/>
  <c r="D138" i="16"/>
  <c r="C138" i="16"/>
  <c r="I136" i="16"/>
  <c r="H136" i="16"/>
  <c r="CV153" i="15"/>
  <c r="CU153" i="15"/>
  <c r="CV152" i="15"/>
  <c r="CU152" i="15"/>
  <c r="CV151" i="15"/>
  <c r="CU151" i="15"/>
  <c r="CV150" i="15"/>
  <c r="CU150" i="15"/>
  <c r="CV149" i="15"/>
  <c r="CU149" i="15"/>
  <c r="CV148" i="15"/>
  <c r="CU148" i="15"/>
  <c r="CV147" i="15"/>
  <c r="CU147" i="15"/>
  <c r="CV146" i="15"/>
  <c r="CU146" i="15"/>
  <c r="CV145" i="15"/>
  <c r="CU145" i="15"/>
  <c r="CV144" i="15"/>
  <c r="CU144" i="15"/>
  <c r="CV143" i="15"/>
  <c r="CU143" i="15"/>
  <c r="CV142" i="15"/>
  <c r="CU142" i="15"/>
  <c r="CV141" i="15"/>
  <c r="CU141" i="15"/>
  <c r="CV140" i="15"/>
  <c r="CU140" i="15"/>
  <c r="CV139" i="15"/>
  <c r="CU139" i="15"/>
  <c r="CV138" i="15"/>
  <c r="CU138" i="15"/>
  <c r="DA136" i="15"/>
  <c r="CZ136" i="15"/>
  <c r="BX153" i="15"/>
  <c r="BW153" i="15"/>
  <c r="BX152" i="15"/>
  <c r="BW152" i="15"/>
  <c r="BX151" i="15"/>
  <c r="BW151" i="15"/>
  <c r="BX150" i="15"/>
  <c r="BW150" i="15"/>
  <c r="BX149" i="15"/>
  <c r="BW149" i="15"/>
  <c r="BX148" i="15"/>
  <c r="BW148" i="15"/>
  <c r="BX147" i="15"/>
  <c r="BW147" i="15"/>
  <c r="BX146" i="15"/>
  <c r="BW146" i="15"/>
  <c r="BX145" i="15"/>
  <c r="BW145" i="15"/>
  <c r="BX144" i="15"/>
  <c r="BW144" i="15"/>
  <c r="BX143" i="15"/>
  <c r="BW143" i="15"/>
  <c r="BX142" i="15"/>
  <c r="BW142" i="15"/>
  <c r="BX141" i="15"/>
  <c r="BW141" i="15"/>
  <c r="BX140" i="15"/>
  <c r="BW140" i="15"/>
  <c r="BX139" i="15"/>
  <c r="BW139" i="15"/>
  <c r="BX138" i="15"/>
  <c r="BW138" i="15"/>
  <c r="CC136" i="15"/>
  <c r="CB136" i="15"/>
  <c r="AZ153" i="15"/>
  <c r="AY153" i="15"/>
  <c r="AZ152" i="15"/>
  <c r="AY152" i="15"/>
  <c r="AZ151" i="15"/>
  <c r="AY151" i="15"/>
  <c r="AZ150" i="15"/>
  <c r="AY150" i="15"/>
  <c r="AZ149" i="15"/>
  <c r="AY149" i="15"/>
  <c r="AZ148" i="15"/>
  <c r="AY148" i="15"/>
  <c r="AZ147" i="15"/>
  <c r="AY147" i="15"/>
  <c r="AZ146" i="15"/>
  <c r="AY146" i="15"/>
  <c r="AZ145" i="15"/>
  <c r="AY145" i="15"/>
  <c r="AZ144" i="15"/>
  <c r="AY144" i="15"/>
  <c r="BA144" i="15" s="1"/>
  <c r="AZ143" i="15"/>
  <c r="AY143" i="15"/>
  <c r="AZ142" i="15"/>
  <c r="AY142" i="15"/>
  <c r="BA142" i="15" s="1"/>
  <c r="AZ141" i="15"/>
  <c r="AY141" i="15"/>
  <c r="AZ140" i="15"/>
  <c r="AY140" i="15"/>
  <c r="AZ139" i="15"/>
  <c r="AY139" i="15"/>
  <c r="AZ138" i="15"/>
  <c r="AY138" i="15"/>
  <c r="BE136" i="15"/>
  <c r="BD136" i="15"/>
  <c r="AB153" i="15"/>
  <c r="AA153" i="15"/>
  <c r="AB152" i="15"/>
  <c r="AA152" i="15"/>
  <c r="AB151" i="15"/>
  <c r="AA151" i="15"/>
  <c r="AB150" i="15"/>
  <c r="AA150" i="15"/>
  <c r="AB149" i="15"/>
  <c r="AA149" i="15"/>
  <c r="AB148" i="15"/>
  <c r="AA148" i="15"/>
  <c r="AB147" i="15"/>
  <c r="AA147" i="15"/>
  <c r="AB146" i="15"/>
  <c r="AA146" i="15"/>
  <c r="AB145" i="15"/>
  <c r="AA145" i="15"/>
  <c r="AB144" i="15"/>
  <c r="AA144" i="15"/>
  <c r="AB143" i="15"/>
  <c r="AA143" i="15"/>
  <c r="AB142" i="15"/>
  <c r="AA142" i="15"/>
  <c r="AB141" i="15"/>
  <c r="AA141" i="15"/>
  <c r="AB140" i="15"/>
  <c r="AA140" i="15"/>
  <c r="AB139" i="15"/>
  <c r="AA139" i="15"/>
  <c r="AB138" i="15"/>
  <c r="AA138" i="15"/>
  <c r="AG136" i="15"/>
  <c r="AF136" i="15"/>
  <c r="C139" i="15"/>
  <c r="C140" i="15"/>
  <c r="C141" i="15"/>
  <c r="C142" i="15"/>
  <c r="C143" i="15"/>
  <c r="C144" i="15"/>
  <c r="C145" i="15"/>
  <c r="C146" i="15"/>
  <c r="C147" i="15"/>
  <c r="C148" i="15"/>
  <c r="C149" i="15"/>
  <c r="C150" i="15"/>
  <c r="C151" i="15"/>
  <c r="C152" i="15"/>
  <c r="C153" i="15"/>
  <c r="C138" i="15"/>
  <c r="D153" i="15"/>
  <c r="D152" i="15"/>
  <c r="D151" i="15"/>
  <c r="D150" i="15"/>
  <c r="D149" i="15"/>
  <c r="D148" i="15"/>
  <c r="E148" i="15" s="1"/>
  <c r="D147" i="15"/>
  <c r="D146" i="15"/>
  <c r="D145" i="15"/>
  <c r="D144" i="15"/>
  <c r="D143" i="15"/>
  <c r="D142" i="15"/>
  <c r="E142" i="15" s="1"/>
  <c r="D141" i="15"/>
  <c r="D140" i="15"/>
  <c r="D139" i="15"/>
  <c r="D138" i="15"/>
  <c r="I136" i="15"/>
  <c r="H136" i="15"/>
  <c r="CU139" i="14"/>
  <c r="CU140" i="14"/>
  <c r="CU141" i="14"/>
  <c r="CU142" i="14"/>
  <c r="CU143" i="14"/>
  <c r="CU144" i="14"/>
  <c r="CU145" i="14"/>
  <c r="CU146" i="14"/>
  <c r="CU147" i="14"/>
  <c r="CU148" i="14"/>
  <c r="CU149" i="14"/>
  <c r="CU150" i="14"/>
  <c r="CU151" i="14"/>
  <c r="CU152" i="14"/>
  <c r="CU153" i="14"/>
  <c r="CU138" i="14"/>
  <c r="CV153" i="14"/>
  <c r="CV152" i="14"/>
  <c r="CW152" i="14" s="1"/>
  <c r="CV151" i="14"/>
  <c r="CV150" i="14"/>
  <c r="CV149" i="14"/>
  <c r="CV148" i="14"/>
  <c r="CV147" i="14"/>
  <c r="CV146" i="14"/>
  <c r="CV145" i="14"/>
  <c r="CV144" i="14"/>
  <c r="CV143" i="14"/>
  <c r="CV142" i="14"/>
  <c r="CV141" i="14"/>
  <c r="CV140" i="14"/>
  <c r="CV139" i="14"/>
  <c r="CV138" i="14"/>
  <c r="DA136" i="14"/>
  <c r="CZ136" i="14"/>
  <c r="BW139" i="14"/>
  <c r="BW140" i="14"/>
  <c r="BW141" i="14"/>
  <c r="BW142" i="14"/>
  <c r="BW143" i="14"/>
  <c r="BW144" i="14"/>
  <c r="BW145" i="14"/>
  <c r="BW146" i="14"/>
  <c r="BW147" i="14"/>
  <c r="BW148" i="14"/>
  <c r="BW149" i="14"/>
  <c r="BW150" i="14"/>
  <c r="BW151" i="14"/>
  <c r="BW152" i="14"/>
  <c r="BW153" i="14"/>
  <c r="BW138" i="14"/>
  <c r="BX153" i="14"/>
  <c r="BX152" i="14"/>
  <c r="BY152" i="14" s="1"/>
  <c r="BX151" i="14"/>
  <c r="BX150" i="14"/>
  <c r="BX149" i="14"/>
  <c r="BX148" i="14"/>
  <c r="BY148" i="14" s="1"/>
  <c r="BX147" i="14"/>
  <c r="BX146" i="14"/>
  <c r="BX145" i="14"/>
  <c r="BX144" i="14"/>
  <c r="BY144" i="14" s="1"/>
  <c r="BX143" i="14"/>
  <c r="BX142" i="14"/>
  <c r="BX141" i="14"/>
  <c r="BX140" i="14"/>
  <c r="BX139" i="14"/>
  <c r="BX138" i="14"/>
  <c r="CC136" i="14"/>
  <c r="CB136" i="14"/>
  <c r="AY139" i="14"/>
  <c r="AY140" i="14"/>
  <c r="AY141" i="14"/>
  <c r="AY142" i="14"/>
  <c r="AY143" i="14"/>
  <c r="AY144" i="14"/>
  <c r="AY145" i="14"/>
  <c r="AY146" i="14"/>
  <c r="AY147" i="14"/>
  <c r="AY148" i="14"/>
  <c r="AY149" i="14"/>
  <c r="AY150" i="14"/>
  <c r="AY151" i="14"/>
  <c r="AY152" i="14"/>
  <c r="AY153" i="14"/>
  <c r="AY138" i="14"/>
  <c r="AZ153" i="14"/>
  <c r="AZ152" i="14"/>
  <c r="BA152" i="14" s="1"/>
  <c r="AZ151" i="14"/>
  <c r="AZ150" i="14"/>
  <c r="AZ149" i="14"/>
  <c r="AZ148" i="14"/>
  <c r="BA148" i="14" s="1"/>
  <c r="AZ147" i="14"/>
  <c r="AZ146" i="14"/>
  <c r="AZ145" i="14"/>
  <c r="AZ144" i="14"/>
  <c r="BA144" i="14" s="1"/>
  <c r="AZ143" i="14"/>
  <c r="AZ142" i="14"/>
  <c r="AZ141" i="14"/>
  <c r="AZ140" i="14"/>
  <c r="BA140" i="14" s="1"/>
  <c r="AZ139" i="14"/>
  <c r="AZ138" i="14"/>
  <c r="BE136" i="14"/>
  <c r="BD136" i="14"/>
  <c r="AA139" i="14"/>
  <c r="AA140" i="14"/>
  <c r="AA141" i="14"/>
  <c r="AA142" i="14"/>
  <c r="AA143" i="14"/>
  <c r="AA144" i="14"/>
  <c r="AA145" i="14"/>
  <c r="AA146" i="14"/>
  <c r="AA147" i="14"/>
  <c r="AA148" i="14"/>
  <c r="AA149" i="14"/>
  <c r="AA150" i="14"/>
  <c r="AA151" i="14"/>
  <c r="AA152" i="14"/>
  <c r="AA153" i="14"/>
  <c r="AA138" i="14"/>
  <c r="AB153" i="14"/>
  <c r="AB152" i="14"/>
  <c r="AB151" i="14"/>
  <c r="AB150" i="14"/>
  <c r="AB149" i="14"/>
  <c r="AB148" i="14"/>
  <c r="AB147" i="14"/>
  <c r="AB146" i="14"/>
  <c r="AC146" i="14" s="1"/>
  <c r="AB145" i="14"/>
  <c r="AB144" i="14"/>
  <c r="AB143" i="14"/>
  <c r="AB142" i="14"/>
  <c r="AB141" i="14"/>
  <c r="AB140" i="14"/>
  <c r="AB139" i="14"/>
  <c r="AB138" i="14"/>
  <c r="AG136" i="14"/>
  <c r="AF136" i="14"/>
  <c r="C139" i="14"/>
  <c r="C140" i="14"/>
  <c r="C141" i="14"/>
  <c r="C142" i="14"/>
  <c r="C143" i="14"/>
  <c r="C144" i="14"/>
  <c r="C145" i="14"/>
  <c r="C146" i="14"/>
  <c r="C147" i="14"/>
  <c r="C148" i="14"/>
  <c r="C149" i="14"/>
  <c r="C150" i="14"/>
  <c r="C151" i="14"/>
  <c r="C152" i="14"/>
  <c r="C153" i="14"/>
  <c r="C138" i="14"/>
  <c r="D139" i="14"/>
  <c r="D140" i="14"/>
  <c r="D141" i="14"/>
  <c r="D142" i="14"/>
  <c r="E142" i="14" s="1"/>
  <c r="D143" i="14"/>
  <c r="D144" i="14"/>
  <c r="D145" i="14"/>
  <c r="D146" i="14"/>
  <c r="E146" i="14" s="1"/>
  <c r="D147" i="14"/>
  <c r="D148" i="14"/>
  <c r="D149" i="14"/>
  <c r="D150" i="14"/>
  <c r="D151" i="14"/>
  <c r="D152" i="14"/>
  <c r="D153" i="14"/>
  <c r="D138" i="14"/>
  <c r="E143" i="14"/>
  <c r="I136" i="14"/>
  <c r="H136" i="14"/>
  <c r="CV139" i="13"/>
  <c r="CV140" i="13"/>
  <c r="CV141" i="13"/>
  <c r="CV142" i="13"/>
  <c r="CV143" i="13"/>
  <c r="CV144" i="13"/>
  <c r="CV145" i="13"/>
  <c r="CV146" i="13"/>
  <c r="CV147" i="13"/>
  <c r="CV148" i="13"/>
  <c r="CV149" i="13"/>
  <c r="CV150" i="13"/>
  <c r="CV151" i="13"/>
  <c r="CV152" i="13"/>
  <c r="CV153" i="13"/>
  <c r="CV138" i="13"/>
  <c r="CU153" i="13"/>
  <c r="CU152" i="13"/>
  <c r="CU151" i="13"/>
  <c r="CU150" i="13"/>
  <c r="CU149" i="13"/>
  <c r="CU148" i="13"/>
  <c r="CU147" i="13"/>
  <c r="CU146" i="13"/>
  <c r="CW146" i="13" s="1"/>
  <c r="CU145" i="13"/>
  <c r="CU144" i="13"/>
  <c r="CU143" i="13"/>
  <c r="CU142" i="13"/>
  <c r="CU141" i="13"/>
  <c r="CU140" i="13"/>
  <c r="CU139" i="13"/>
  <c r="CU138" i="13"/>
  <c r="DA136" i="13"/>
  <c r="CZ136" i="13"/>
  <c r="BX139" i="13"/>
  <c r="BX140" i="13"/>
  <c r="BX141" i="13"/>
  <c r="BX142" i="13"/>
  <c r="BX143" i="13"/>
  <c r="BX144" i="13"/>
  <c r="BX145" i="13"/>
  <c r="BX146" i="13"/>
  <c r="BX147" i="13"/>
  <c r="BX148" i="13"/>
  <c r="BX149" i="13"/>
  <c r="BX150" i="13"/>
  <c r="BX151" i="13"/>
  <c r="BX152" i="13"/>
  <c r="BX153" i="13"/>
  <c r="BX138" i="13"/>
  <c r="BW153" i="13"/>
  <c r="BW152" i="13"/>
  <c r="BW151" i="13"/>
  <c r="BW150" i="13"/>
  <c r="BW149" i="13"/>
  <c r="BW148" i="13"/>
  <c r="BW147" i="13"/>
  <c r="BW146" i="13"/>
  <c r="BW145" i="13"/>
  <c r="BW144" i="13"/>
  <c r="BW143" i="13"/>
  <c r="BW142" i="13"/>
  <c r="BW141" i="13"/>
  <c r="BW140" i="13"/>
  <c r="BY140" i="13" s="1"/>
  <c r="BW139" i="13"/>
  <c r="BW138" i="13"/>
  <c r="BY138" i="13" s="1"/>
  <c r="CC136" i="13"/>
  <c r="CB136" i="13"/>
  <c r="AZ139" i="13"/>
  <c r="AZ140" i="13"/>
  <c r="AZ141" i="13"/>
  <c r="AZ142" i="13"/>
  <c r="AZ143" i="13"/>
  <c r="AZ144" i="13"/>
  <c r="AZ145" i="13"/>
  <c r="AZ146" i="13"/>
  <c r="AZ147" i="13"/>
  <c r="AZ148" i="13"/>
  <c r="AZ149" i="13"/>
  <c r="AZ150" i="13"/>
  <c r="AZ151" i="13"/>
  <c r="AZ152" i="13"/>
  <c r="AZ153" i="13"/>
  <c r="AZ138" i="13"/>
  <c r="AY153" i="13"/>
  <c r="AY152" i="13"/>
  <c r="AY151" i="13"/>
  <c r="AY150" i="13"/>
  <c r="BA150" i="13" s="1"/>
  <c r="AY149" i="13"/>
  <c r="AY148" i="13"/>
  <c r="AY147" i="13"/>
  <c r="AY146" i="13"/>
  <c r="BA146" i="13" s="1"/>
  <c r="AY145" i="13"/>
  <c r="AY144" i="13"/>
  <c r="AY143" i="13"/>
  <c r="AY142" i="13"/>
  <c r="BA142" i="13" s="1"/>
  <c r="AY141" i="13"/>
  <c r="AY140" i="13"/>
  <c r="AY139" i="13"/>
  <c r="AY138" i="13"/>
  <c r="BA138" i="13" s="1"/>
  <c r="BE136" i="13"/>
  <c r="BD136" i="13"/>
  <c r="AB139" i="13"/>
  <c r="AB140" i="13"/>
  <c r="AB141" i="13"/>
  <c r="AB142" i="13"/>
  <c r="AB143" i="13"/>
  <c r="AB144" i="13"/>
  <c r="AB145" i="13"/>
  <c r="AB146" i="13"/>
  <c r="AB147" i="13"/>
  <c r="AB148" i="13"/>
  <c r="AB149" i="13"/>
  <c r="AB150" i="13"/>
  <c r="AB151" i="13"/>
  <c r="AB152" i="13"/>
  <c r="AB153" i="13"/>
  <c r="AB138" i="13"/>
  <c r="AA153" i="13"/>
  <c r="AA152" i="13"/>
  <c r="AA151" i="13"/>
  <c r="AA150" i="13"/>
  <c r="AA149" i="13"/>
  <c r="AA148" i="13"/>
  <c r="AA147" i="13"/>
  <c r="AA146" i="13"/>
  <c r="AC146" i="13" s="1"/>
  <c r="AA145" i="13"/>
  <c r="AA144" i="13"/>
  <c r="AA143" i="13"/>
  <c r="AA142" i="13"/>
  <c r="AC142" i="13" s="1"/>
  <c r="AA141" i="13"/>
  <c r="AA140" i="13"/>
  <c r="AA139" i="13"/>
  <c r="AA138" i="13"/>
  <c r="AC138" i="13" s="1"/>
  <c r="AG136" i="13"/>
  <c r="AF136" i="13"/>
  <c r="D139" i="13"/>
  <c r="D140" i="13"/>
  <c r="D141" i="13"/>
  <c r="D142" i="13"/>
  <c r="D143" i="13"/>
  <c r="D144" i="13"/>
  <c r="D145" i="13"/>
  <c r="D146" i="13"/>
  <c r="D147" i="13"/>
  <c r="D148" i="13"/>
  <c r="D149" i="13"/>
  <c r="D150" i="13"/>
  <c r="D151" i="13"/>
  <c r="D152" i="13"/>
  <c r="D153" i="13"/>
  <c r="D138" i="13"/>
  <c r="C139" i="13"/>
  <c r="C140" i="13"/>
  <c r="C141" i="13"/>
  <c r="C142" i="13"/>
  <c r="C143" i="13"/>
  <c r="C144" i="13"/>
  <c r="C145" i="13"/>
  <c r="E145" i="13" s="1"/>
  <c r="C146" i="13"/>
  <c r="C147" i="13"/>
  <c r="C148" i="13"/>
  <c r="C149" i="13"/>
  <c r="C150" i="13"/>
  <c r="C151" i="13"/>
  <c r="C152" i="13"/>
  <c r="C153" i="13"/>
  <c r="E153" i="13" s="1"/>
  <c r="C138" i="13"/>
  <c r="E138" i="13" s="1"/>
  <c r="I136" i="13"/>
  <c r="H136" i="13"/>
  <c r="CU128" i="16"/>
  <c r="CU127" i="16"/>
  <c r="CU126" i="16"/>
  <c r="CU125" i="16"/>
  <c r="CU124" i="16"/>
  <c r="CU123" i="16"/>
  <c r="CU122" i="16"/>
  <c r="CU121" i="16"/>
  <c r="CU120" i="16"/>
  <c r="CU119" i="16"/>
  <c r="CU118" i="16"/>
  <c r="CU117" i="16"/>
  <c r="CU116" i="16"/>
  <c r="CU115" i="16"/>
  <c r="CU114" i="16"/>
  <c r="CU113" i="16"/>
  <c r="BW128" i="16"/>
  <c r="BW127" i="16"/>
  <c r="BW126" i="16"/>
  <c r="BW125" i="16"/>
  <c r="BW124" i="16"/>
  <c r="BW123" i="16"/>
  <c r="BW122" i="16"/>
  <c r="BW121" i="16"/>
  <c r="BW120" i="16"/>
  <c r="BW119" i="16"/>
  <c r="BW118" i="16"/>
  <c r="BW117" i="16"/>
  <c r="BW116" i="16"/>
  <c r="BW115" i="16"/>
  <c r="BW114" i="16"/>
  <c r="BW113" i="16"/>
  <c r="AY128" i="16"/>
  <c r="AY127" i="16"/>
  <c r="AY126" i="16"/>
  <c r="AY125" i="16"/>
  <c r="AY124" i="16"/>
  <c r="AY123" i="16"/>
  <c r="AY122" i="16"/>
  <c r="AY121" i="16"/>
  <c r="AY120" i="16"/>
  <c r="AY119" i="16"/>
  <c r="AY118" i="16"/>
  <c r="AY117" i="16"/>
  <c r="AY116" i="16"/>
  <c r="AY115" i="16"/>
  <c r="AY114" i="16"/>
  <c r="AY113" i="16"/>
  <c r="AA128" i="16"/>
  <c r="AA127" i="16"/>
  <c r="AA126" i="16"/>
  <c r="AA125" i="16"/>
  <c r="AA124" i="16"/>
  <c r="AA123" i="16"/>
  <c r="AA122" i="16"/>
  <c r="AA121" i="16"/>
  <c r="AA120" i="16"/>
  <c r="AA119" i="16"/>
  <c r="AA118" i="16"/>
  <c r="AA117" i="16"/>
  <c r="AA116" i="16"/>
  <c r="AA115" i="16"/>
  <c r="AA114" i="16"/>
  <c r="AA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13" i="16"/>
  <c r="CU53" i="16"/>
  <c r="CU52" i="16"/>
  <c r="CU51" i="16"/>
  <c r="CU50" i="16"/>
  <c r="CU49" i="16"/>
  <c r="CU48" i="16"/>
  <c r="CU47" i="16"/>
  <c r="CU46" i="16"/>
  <c r="CU45" i="16"/>
  <c r="CU44" i="16"/>
  <c r="CU43" i="16"/>
  <c r="CU42" i="16"/>
  <c r="CU41" i="16"/>
  <c r="CU40" i="16"/>
  <c r="CU39" i="16"/>
  <c r="CU38" i="16"/>
  <c r="BW53" i="16"/>
  <c r="BW52" i="16"/>
  <c r="BW51" i="16"/>
  <c r="BW50" i="16"/>
  <c r="BW49" i="16"/>
  <c r="BW48" i="16"/>
  <c r="BW47" i="16"/>
  <c r="BW46" i="16"/>
  <c r="BW45" i="16"/>
  <c r="BW44" i="16"/>
  <c r="BW43" i="16"/>
  <c r="BW42" i="16"/>
  <c r="BW41" i="16"/>
  <c r="BW40" i="16"/>
  <c r="BW39" i="16"/>
  <c r="BW38" i="16"/>
  <c r="AY53" i="16"/>
  <c r="AY52" i="16"/>
  <c r="AY51" i="16"/>
  <c r="AY50" i="16"/>
  <c r="AY49" i="16"/>
  <c r="AY48" i="16"/>
  <c r="AY47" i="16"/>
  <c r="AY46" i="16"/>
  <c r="AY45" i="16"/>
  <c r="AY44" i="16"/>
  <c r="AY43" i="16"/>
  <c r="AY42" i="16"/>
  <c r="AY41" i="16"/>
  <c r="AY40" i="16"/>
  <c r="AY39" i="16"/>
  <c r="AY38" i="16"/>
  <c r="AA53" i="16"/>
  <c r="AA52" i="16"/>
  <c r="AA51" i="16"/>
  <c r="AA50" i="16"/>
  <c r="AA49" i="16"/>
  <c r="AA48" i="16"/>
  <c r="AA47" i="16"/>
  <c r="AA46" i="16"/>
  <c r="AA45" i="16"/>
  <c r="AA44" i="16"/>
  <c r="AA43" i="16"/>
  <c r="AA42" i="16"/>
  <c r="AA41" i="16"/>
  <c r="AA40" i="16"/>
  <c r="AA39" i="16"/>
  <c r="AA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38" i="16"/>
  <c r="CU27" i="16"/>
  <c r="CU26" i="16"/>
  <c r="CU25" i="16"/>
  <c r="CU24" i="16"/>
  <c r="CU23" i="16"/>
  <c r="CU22" i="16"/>
  <c r="CU21" i="16"/>
  <c r="CU20" i="16"/>
  <c r="CU19" i="16"/>
  <c r="CU18" i="16"/>
  <c r="CU17" i="16"/>
  <c r="CU16" i="16"/>
  <c r="CU15" i="16"/>
  <c r="CU14" i="16"/>
  <c r="CU13" i="16"/>
  <c r="CU12" i="16"/>
  <c r="BW27" i="16"/>
  <c r="BW26" i="16"/>
  <c r="BW25" i="16"/>
  <c r="BW24" i="16"/>
  <c r="BW23" i="16"/>
  <c r="BW22" i="16"/>
  <c r="BW21" i="16"/>
  <c r="BW20" i="16"/>
  <c r="BW19" i="16"/>
  <c r="BW18" i="16"/>
  <c r="BW17" i="16"/>
  <c r="BW16" i="16"/>
  <c r="BW15" i="16"/>
  <c r="BW14" i="16"/>
  <c r="BW13" i="16"/>
  <c r="BW12" i="16"/>
  <c r="AY27" i="16"/>
  <c r="AY26" i="16"/>
  <c r="AY25" i="16"/>
  <c r="AY24" i="16"/>
  <c r="AY23" i="16"/>
  <c r="AY22" i="16"/>
  <c r="AY21" i="16"/>
  <c r="AY20" i="16"/>
  <c r="AY19" i="16"/>
  <c r="AY18" i="16"/>
  <c r="AY17" i="16"/>
  <c r="AY16" i="16"/>
  <c r="AY15" i="16"/>
  <c r="AY14" i="16"/>
  <c r="AY13" i="16"/>
  <c r="AY12" i="16"/>
  <c r="AA27" i="16"/>
  <c r="AA26" i="16"/>
  <c r="AA25" i="16"/>
  <c r="AA24" i="16"/>
  <c r="AA23" i="16"/>
  <c r="AA22" i="16"/>
  <c r="AA21" i="16"/>
  <c r="AA20" i="16"/>
  <c r="AA19" i="16"/>
  <c r="AA18" i="16"/>
  <c r="AA17" i="16"/>
  <c r="AA16" i="16"/>
  <c r="AA15" i="16"/>
  <c r="AA14" i="16"/>
  <c r="AA13" i="16"/>
  <c r="AA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12" i="16"/>
  <c r="CU128" i="15"/>
  <c r="CU127" i="15"/>
  <c r="CU126" i="15"/>
  <c r="CU125" i="15"/>
  <c r="CU124" i="15"/>
  <c r="CU123" i="15"/>
  <c r="CU122" i="15"/>
  <c r="CU121" i="15"/>
  <c r="CU120" i="15"/>
  <c r="CU119" i="15"/>
  <c r="CU118" i="15"/>
  <c r="CU117" i="15"/>
  <c r="CU116" i="15"/>
  <c r="CU115" i="15"/>
  <c r="CU114" i="15"/>
  <c r="CU113" i="15"/>
  <c r="BW128" i="15"/>
  <c r="BW127" i="15"/>
  <c r="BW126" i="15"/>
  <c r="BW125" i="15"/>
  <c r="BW124" i="15"/>
  <c r="BW123" i="15"/>
  <c r="BW122" i="15"/>
  <c r="BW121" i="15"/>
  <c r="BW120" i="15"/>
  <c r="BW119" i="15"/>
  <c r="BW118" i="15"/>
  <c r="BW117" i="15"/>
  <c r="BW116" i="15"/>
  <c r="BW115" i="15"/>
  <c r="BW114" i="15"/>
  <c r="BW113" i="15"/>
  <c r="AY128" i="15"/>
  <c r="AY127" i="15"/>
  <c r="AY126" i="15"/>
  <c r="AY125" i="15"/>
  <c r="AY124" i="15"/>
  <c r="AY123" i="15"/>
  <c r="AY122" i="15"/>
  <c r="AY121" i="15"/>
  <c r="AY120" i="15"/>
  <c r="AY119" i="15"/>
  <c r="AY118" i="15"/>
  <c r="AY117" i="15"/>
  <c r="AY116" i="15"/>
  <c r="AY115" i="15"/>
  <c r="AY114" i="15"/>
  <c r="AY113" i="15"/>
  <c r="AA128" i="15"/>
  <c r="AA127" i="15"/>
  <c r="AA126" i="15"/>
  <c r="AA125" i="15"/>
  <c r="AA124" i="15"/>
  <c r="AA123" i="15"/>
  <c r="AA122" i="15"/>
  <c r="AA121" i="15"/>
  <c r="AA120" i="15"/>
  <c r="AA119" i="15"/>
  <c r="AA118" i="15"/>
  <c r="AA117" i="15"/>
  <c r="AA116" i="15"/>
  <c r="AA115" i="15"/>
  <c r="AA114" i="15"/>
  <c r="AA113" i="15"/>
  <c r="C114" i="15"/>
  <c r="C115" i="15"/>
  <c r="C116" i="15"/>
  <c r="C117" i="15"/>
  <c r="C118" i="15"/>
  <c r="C119" i="15"/>
  <c r="C120" i="15"/>
  <c r="C121" i="15"/>
  <c r="C122" i="15"/>
  <c r="C123" i="15"/>
  <c r="C124" i="15"/>
  <c r="C125" i="15"/>
  <c r="C126" i="15"/>
  <c r="C127" i="15"/>
  <c r="C128" i="15"/>
  <c r="C113" i="15"/>
  <c r="CU53" i="15"/>
  <c r="CU52" i="15"/>
  <c r="CU51" i="15"/>
  <c r="CU50" i="15"/>
  <c r="CU49" i="15"/>
  <c r="CU48" i="15"/>
  <c r="CU47" i="15"/>
  <c r="CU46" i="15"/>
  <c r="CU45" i="15"/>
  <c r="CU44" i="15"/>
  <c r="CU43" i="15"/>
  <c r="CU42" i="15"/>
  <c r="CU41" i="15"/>
  <c r="CU40" i="15"/>
  <c r="CU39" i="15"/>
  <c r="CU38" i="15"/>
  <c r="BW53" i="15"/>
  <c r="BW52" i="15"/>
  <c r="BW51" i="15"/>
  <c r="BW50" i="15"/>
  <c r="BW49" i="15"/>
  <c r="BW48" i="15"/>
  <c r="BW47" i="15"/>
  <c r="BW46" i="15"/>
  <c r="BW45" i="15"/>
  <c r="BW44" i="15"/>
  <c r="BW43" i="15"/>
  <c r="BW42" i="15"/>
  <c r="BW41" i="15"/>
  <c r="BW40" i="15"/>
  <c r="BW39" i="15"/>
  <c r="BW38" i="15"/>
  <c r="AY53" i="15"/>
  <c r="AY52" i="15"/>
  <c r="AY51" i="15"/>
  <c r="AY50" i="15"/>
  <c r="AY49" i="15"/>
  <c r="AY48" i="15"/>
  <c r="AY47" i="15"/>
  <c r="AY46" i="15"/>
  <c r="AY45" i="15"/>
  <c r="AY44" i="15"/>
  <c r="AY43" i="15"/>
  <c r="AY42" i="15"/>
  <c r="AY41" i="15"/>
  <c r="AY40" i="15"/>
  <c r="AY39" i="15"/>
  <c r="AY38" i="15"/>
  <c r="AA53" i="15"/>
  <c r="AA52" i="15"/>
  <c r="AA51" i="15"/>
  <c r="AA50" i="15"/>
  <c r="AA49" i="15"/>
  <c r="AA48" i="15"/>
  <c r="AA47" i="15"/>
  <c r="AA46" i="15"/>
  <c r="AA45" i="15"/>
  <c r="AA44" i="15"/>
  <c r="AA43" i="15"/>
  <c r="AA42" i="15"/>
  <c r="AA41" i="15"/>
  <c r="AA40" i="15"/>
  <c r="AA39" i="15"/>
  <c r="AA38" i="15"/>
  <c r="C39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2" i="15"/>
  <c r="C53" i="15"/>
  <c r="C38" i="15"/>
  <c r="CU27" i="15"/>
  <c r="CU26" i="15"/>
  <c r="CU25" i="15"/>
  <c r="CU24" i="15"/>
  <c r="CU23" i="15"/>
  <c r="CU22" i="15"/>
  <c r="CU21" i="15"/>
  <c r="CU20" i="15"/>
  <c r="CU19" i="15"/>
  <c r="CU18" i="15"/>
  <c r="CU17" i="15"/>
  <c r="CU16" i="15"/>
  <c r="CU15" i="15"/>
  <c r="CU14" i="15"/>
  <c r="CU13" i="15"/>
  <c r="CU12" i="15"/>
  <c r="BW27" i="15"/>
  <c r="BW26" i="15"/>
  <c r="BW25" i="15"/>
  <c r="BW24" i="15"/>
  <c r="BW23" i="15"/>
  <c r="BW22" i="15"/>
  <c r="BW21" i="15"/>
  <c r="BW20" i="15"/>
  <c r="BW19" i="15"/>
  <c r="BW18" i="15"/>
  <c r="BW17" i="15"/>
  <c r="BW16" i="15"/>
  <c r="BW15" i="15"/>
  <c r="BW14" i="15"/>
  <c r="BW13" i="15"/>
  <c r="BW12" i="15"/>
  <c r="AY27" i="15"/>
  <c r="AY26" i="15"/>
  <c r="AY25" i="15"/>
  <c r="AY24" i="15"/>
  <c r="AY23" i="15"/>
  <c r="AY22" i="15"/>
  <c r="AY21" i="15"/>
  <c r="AY20" i="15"/>
  <c r="AY19" i="15"/>
  <c r="AY18" i="15"/>
  <c r="AY17" i="15"/>
  <c r="AY16" i="15"/>
  <c r="AY15" i="15"/>
  <c r="AY14" i="15"/>
  <c r="AY13" i="15"/>
  <c r="AY12" i="15"/>
  <c r="AA27" i="15"/>
  <c r="AA26" i="15"/>
  <c r="AA25" i="15"/>
  <c r="AA24" i="15"/>
  <c r="AA23" i="15"/>
  <c r="AA22" i="15"/>
  <c r="AA21" i="15"/>
  <c r="AA20" i="15"/>
  <c r="AA19" i="15"/>
  <c r="AA18" i="15"/>
  <c r="AA17" i="15"/>
  <c r="AA16" i="15"/>
  <c r="AA15" i="15"/>
  <c r="AA14" i="15"/>
  <c r="AA13" i="15"/>
  <c r="AA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12" i="15"/>
  <c r="CU114" i="14"/>
  <c r="CU115" i="14"/>
  <c r="CU116" i="14"/>
  <c r="CU117" i="14"/>
  <c r="CU118" i="14"/>
  <c r="CU119" i="14"/>
  <c r="CU120" i="14"/>
  <c r="CU121" i="14"/>
  <c r="CU122" i="14"/>
  <c r="CU123" i="14"/>
  <c r="CU124" i="14"/>
  <c r="CU125" i="14"/>
  <c r="CU126" i="14"/>
  <c r="CU127" i="14"/>
  <c r="CU128" i="14"/>
  <c r="CU113" i="14"/>
  <c r="BW114" i="14"/>
  <c r="BW115" i="14"/>
  <c r="BW116" i="14"/>
  <c r="BW117" i="14"/>
  <c r="BW118" i="14"/>
  <c r="BW119" i="14"/>
  <c r="BW120" i="14"/>
  <c r="BW121" i="14"/>
  <c r="BW122" i="14"/>
  <c r="BW123" i="14"/>
  <c r="BW124" i="14"/>
  <c r="BW125" i="14"/>
  <c r="BW126" i="14"/>
  <c r="BW127" i="14"/>
  <c r="BW128" i="14"/>
  <c r="BW113" i="14"/>
  <c r="AY114" i="14"/>
  <c r="AY115" i="14"/>
  <c r="AY116" i="14"/>
  <c r="AY117" i="14"/>
  <c r="AY118" i="14"/>
  <c r="AY119" i="14"/>
  <c r="AY120" i="14"/>
  <c r="AY121" i="14"/>
  <c r="AY122" i="14"/>
  <c r="AY123" i="14"/>
  <c r="AY124" i="14"/>
  <c r="AY125" i="14"/>
  <c r="AY126" i="14"/>
  <c r="AY127" i="14"/>
  <c r="AY128" i="14"/>
  <c r="AY113" i="14"/>
  <c r="AA114" i="14"/>
  <c r="AA115" i="14"/>
  <c r="AA116" i="14"/>
  <c r="AA117" i="14"/>
  <c r="AA118" i="14"/>
  <c r="AA119" i="14"/>
  <c r="AA120" i="14"/>
  <c r="AA121" i="14"/>
  <c r="AA122" i="14"/>
  <c r="AA123" i="14"/>
  <c r="AA124" i="14"/>
  <c r="AA125" i="14"/>
  <c r="AA126" i="14"/>
  <c r="AA127" i="14"/>
  <c r="AA128" i="14"/>
  <c r="AA113" i="14"/>
  <c r="C114" i="14"/>
  <c r="C115" i="14"/>
  <c r="C116" i="14"/>
  <c r="C117" i="14"/>
  <c r="C118" i="14"/>
  <c r="C119" i="14"/>
  <c r="C120" i="14"/>
  <c r="C121" i="14"/>
  <c r="C122" i="14"/>
  <c r="C123" i="14"/>
  <c r="C124" i="14"/>
  <c r="C125" i="14"/>
  <c r="C126" i="14"/>
  <c r="C127" i="14"/>
  <c r="C128" i="14"/>
  <c r="C113" i="14"/>
  <c r="CU39" i="14"/>
  <c r="CU40" i="14"/>
  <c r="CU41" i="14"/>
  <c r="CU42" i="14"/>
  <c r="CU43" i="14"/>
  <c r="CU44" i="14"/>
  <c r="CU45" i="14"/>
  <c r="CU46" i="14"/>
  <c r="CU47" i="14"/>
  <c r="CU48" i="14"/>
  <c r="CU49" i="14"/>
  <c r="CU50" i="14"/>
  <c r="CU51" i="14"/>
  <c r="CU52" i="14"/>
  <c r="CU53" i="14"/>
  <c r="CU38" i="14"/>
  <c r="BW39" i="14"/>
  <c r="BW40" i="14"/>
  <c r="BW41" i="14"/>
  <c r="BW42" i="14"/>
  <c r="BW43" i="14"/>
  <c r="BW44" i="14"/>
  <c r="BW45" i="14"/>
  <c r="BW46" i="14"/>
  <c r="BW47" i="14"/>
  <c r="BW48" i="14"/>
  <c r="BW49" i="14"/>
  <c r="BW50" i="14"/>
  <c r="BW51" i="14"/>
  <c r="BW52" i="14"/>
  <c r="BW53" i="14"/>
  <c r="BW38" i="14"/>
  <c r="AY39" i="14"/>
  <c r="AY40" i="14"/>
  <c r="AY41" i="14"/>
  <c r="AY42" i="14"/>
  <c r="AY43" i="14"/>
  <c r="AY44" i="14"/>
  <c r="AY45" i="14"/>
  <c r="AY46" i="14"/>
  <c r="AY47" i="14"/>
  <c r="AY48" i="14"/>
  <c r="AY49" i="14"/>
  <c r="AY50" i="14"/>
  <c r="AY51" i="14"/>
  <c r="AY52" i="14"/>
  <c r="AY53" i="14"/>
  <c r="AY38" i="14"/>
  <c r="AA39" i="14"/>
  <c r="AA40" i="14"/>
  <c r="AA41" i="14"/>
  <c r="AA42" i="14"/>
  <c r="AA43" i="14"/>
  <c r="AA44" i="14"/>
  <c r="AA45" i="14"/>
  <c r="AA46" i="14"/>
  <c r="AA47" i="14"/>
  <c r="AA48" i="14"/>
  <c r="AA49" i="14"/>
  <c r="AA50" i="14"/>
  <c r="AA51" i="14"/>
  <c r="AA52" i="14"/>
  <c r="AA53" i="14"/>
  <c r="AA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38" i="14"/>
  <c r="C13" i="14"/>
  <c r="AA13" i="14" s="1"/>
  <c r="C14" i="14"/>
  <c r="AY14" i="14" s="1"/>
  <c r="C15" i="14"/>
  <c r="BW15" i="14" s="1"/>
  <c r="C16" i="14"/>
  <c r="CU16" i="14" s="1"/>
  <c r="C17" i="14"/>
  <c r="C18" i="14"/>
  <c r="C19" i="14"/>
  <c r="C20" i="14"/>
  <c r="C21" i="14"/>
  <c r="C22" i="14"/>
  <c r="C23" i="14"/>
  <c r="C24" i="14"/>
  <c r="C25" i="14"/>
  <c r="C26" i="14"/>
  <c r="C27" i="14"/>
  <c r="C12" i="14"/>
  <c r="AY12" i="14" s="1"/>
  <c r="CU12" i="14"/>
  <c r="AA12" i="14"/>
  <c r="C114" i="13"/>
  <c r="AA114" i="13" s="1"/>
  <c r="C115" i="13"/>
  <c r="AA115" i="13" s="1"/>
  <c r="C116" i="13"/>
  <c r="AA116" i="13" s="1"/>
  <c r="C117" i="13"/>
  <c r="AA117" i="13" s="1"/>
  <c r="C118" i="13"/>
  <c r="C119" i="13"/>
  <c r="BW119" i="13" s="1"/>
  <c r="C120" i="13"/>
  <c r="AA120" i="13" s="1"/>
  <c r="C121" i="13"/>
  <c r="BW121" i="13" s="1"/>
  <c r="C122" i="13"/>
  <c r="C123" i="13"/>
  <c r="AA123" i="13" s="1"/>
  <c r="C124" i="13"/>
  <c r="AA124" i="13" s="1"/>
  <c r="C125" i="13"/>
  <c r="CU125" i="13" s="1"/>
  <c r="C126" i="13"/>
  <c r="C127" i="13"/>
  <c r="CU127" i="13" s="1"/>
  <c r="C128" i="13"/>
  <c r="AA128" i="13" s="1"/>
  <c r="C113" i="13"/>
  <c r="AA113" i="13" s="1"/>
  <c r="C39" i="13"/>
  <c r="AA39" i="13" s="1"/>
  <c r="C40" i="13"/>
  <c r="AA40" i="13" s="1"/>
  <c r="C41" i="13"/>
  <c r="AA41" i="13" s="1"/>
  <c r="C42" i="13"/>
  <c r="AA42" i="13" s="1"/>
  <c r="C43" i="13"/>
  <c r="AA43" i="13" s="1"/>
  <c r="C44" i="13"/>
  <c r="AA44" i="13" s="1"/>
  <c r="C45" i="13"/>
  <c r="AA45" i="13" s="1"/>
  <c r="C46" i="13"/>
  <c r="AA46" i="13" s="1"/>
  <c r="C47" i="13"/>
  <c r="AA47" i="13" s="1"/>
  <c r="C48" i="13"/>
  <c r="CU48" i="13" s="1"/>
  <c r="C49" i="13"/>
  <c r="AA49" i="13" s="1"/>
  <c r="C50" i="13"/>
  <c r="CU50" i="13" s="1"/>
  <c r="C51" i="13"/>
  <c r="C52" i="13"/>
  <c r="CU52" i="13" s="1"/>
  <c r="C53" i="13"/>
  <c r="AA53" i="13" s="1"/>
  <c r="C38" i="13"/>
  <c r="AA38" i="13" s="1"/>
  <c r="C13" i="13"/>
  <c r="CU13" i="13" s="1"/>
  <c r="C14" i="13"/>
  <c r="BW14" i="13" s="1"/>
  <c r="C15" i="13"/>
  <c r="CU15" i="13" s="1"/>
  <c r="C16" i="13"/>
  <c r="CU16" i="13" s="1"/>
  <c r="C17" i="13"/>
  <c r="BW17" i="13" s="1"/>
  <c r="C18" i="13"/>
  <c r="CU18" i="13" s="1"/>
  <c r="C19" i="13"/>
  <c r="CU19" i="13" s="1"/>
  <c r="C20" i="13"/>
  <c r="CU20" i="13" s="1"/>
  <c r="C21" i="13"/>
  <c r="BW21" i="13" s="1"/>
  <c r="C22" i="13"/>
  <c r="BW22" i="13" s="1"/>
  <c r="C23" i="13"/>
  <c r="CU23" i="13" s="1"/>
  <c r="C24" i="13"/>
  <c r="CU24" i="13" s="1"/>
  <c r="C25" i="13"/>
  <c r="AY25" i="13" s="1"/>
  <c r="C26" i="13"/>
  <c r="AY26" i="13" s="1"/>
  <c r="C27" i="13"/>
  <c r="CU27" i="13" s="1"/>
  <c r="C12" i="13"/>
  <c r="CU12" i="13" s="1"/>
  <c r="G7" i="22"/>
  <c r="G8" i="22"/>
  <c r="G9" i="22"/>
  <c r="G10" i="22"/>
  <c r="G11" i="22"/>
  <c r="G12" i="22"/>
  <c r="G13" i="22"/>
  <c r="G14" i="22"/>
  <c r="G15" i="22"/>
  <c r="G16" i="22"/>
  <c r="G17" i="22"/>
  <c r="G18" i="22"/>
  <c r="G19" i="22"/>
  <c r="G20" i="22"/>
  <c r="G21" i="22"/>
  <c r="G6" i="22"/>
  <c r="F7" i="22"/>
  <c r="F8" i="22"/>
  <c r="F9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6" i="22"/>
  <c r="E7" i="22"/>
  <c r="E8" i="22"/>
  <c r="E9" i="22"/>
  <c r="E10" i="22"/>
  <c r="E11" i="22"/>
  <c r="E12" i="22"/>
  <c r="E13" i="22"/>
  <c r="E14" i="22"/>
  <c r="E15" i="22"/>
  <c r="E16" i="22"/>
  <c r="E17" i="22"/>
  <c r="E18" i="22"/>
  <c r="E19" i="22"/>
  <c r="E20" i="22"/>
  <c r="E21" i="22"/>
  <c r="E6" i="22"/>
  <c r="E139" i="15" l="1"/>
  <c r="CW138" i="13"/>
  <c r="CW150" i="13"/>
  <c r="AC150" i="16"/>
  <c r="AC152" i="16"/>
  <c r="AA15" i="14"/>
  <c r="CU15" i="14"/>
  <c r="BY147" i="14"/>
  <c r="BY151" i="14"/>
  <c r="CW141" i="14"/>
  <c r="CW153" i="14"/>
  <c r="CW142" i="15"/>
  <c r="CW144" i="15"/>
  <c r="E149" i="16"/>
  <c r="E153" i="16"/>
  <c r="BY153" i="13"/>
  <c r="CU14" i="14"/>
  <c r="AY128" i="13"/>
  <c r="AY15" i="14"/>
  <c r="BW124" i="13"/>
  <c r="AY49" i="13"/>
  <c r="BW46" i="13"/>
  <c r="AY38" i="13"/>
  <c r="AY53" i="13"/>
  <c r="BW49" i="13"/>
  <c r="CU46" i="13"/>
  <c r="AA125" i="13"/>
  <c r="AY117" i="13"/>
  <c r="BW113" i="13"/>
  <c r="BW128" i="13"/>
  <c r="CU124" i="13"/>
  <c r="AA14" i="14"/>
  <c r="BW14" i="14"/>
  <c r="CU42" i="13"/>
  <c r="AY113" i="13"/>
  <c r="CU121" i="13"/>
  <c r="AY42" i="13"/>
  <c r="BW38" i="13"/>
  <c r="BW53" i="13"/>
  <c r="CU49" i="13"/>
  <c r="AA121" i="13"/>
  <c r="AY121" i="13"/>
  <c r="BW117" i="13"/>
  <c r="CU113" i="13"/>
  <c r="CU128" i="13"/>
  <c r="AY46" i="13"/>
  <c r="BW42" i="13"/>
  <c r="CU38" i="13"/>
  <c r="CU53" i="13"/>
  <c r="AY124" i="13"/>
  <c r="CU117" i="13"/>
  <c r="E152" i="13"/>
  <c r="E148" i="13"/>
  <c r="E144" i="13"/>
  <c r="E140" i="13"/>
  <c r="CW143" i="14"/>
  <c r="BA143" i="14"/>
  <c r="BA146" i="15"/>
  <c r="AC138" i="16"/>
  <c r="BY138" i="16"/>
  <c r="CW140" i="14"/>
  <c r="BY139" i="13"/>
  <c r="BY143" i="13"/>
  <c r="BY147" i="13"/>
  <c r="BY151" i="13"/>
  <c r="CW141" i="13"/>
  <c r="CW145" i="13"/>
  <c r="CW147" i="14"/>
  <c r="BA148" i="15"/>
  <c r="CW138" i="15"/>
  <c r="CW146" i="15"/>
  <c r="CW148" i="15"/>
  <c r="BY140" i="16"/>
  <c r="BY142" i="16"/>
  <c r="BY144" i="16"/>
  <c r="BY148" i="16"/>
  <c r="BY152" i="16"/>
  <c r="CW153" i="16"/>
  <c r="BY140" i="14"/>
  <c r="AC139" i="15"/>
  <c r="BA150" i="15"/>
  <c r="BA152" i="15"/>
  <c r="CW150" i="15"/>
  <c r="CW141" i="16"/>
  <c r="AC153" i="14"/>
  <c r="AC145" i="14"/>
  <c r="E146" i="15"/>
  <c r="AC141" i="13"/>
  <c r="AC145" i="13"/>
  <c r="AC149" i="13"/>
  <c r="AC153" i="13"/>
  <c r="BA139" i="13"/>
  <c r="BA143" i="13"/>
  <c r="BA147" i="13"/>
  <c r="BA151" i="13"/>
  <c r="BY145" i="13"/>
  <c r="BY149" i="13"/>
  <c r="E144" i="14"/>
  <c r="E144" i="15"/>
  <c r="AC138" i="15"/>
  <c r="AC144" i="15"/>
  <c r="BY142" i="15"/>
  <c r="BY144" i="15"/>
  <c r="BY146" i="15"/>
  <c r="BY148" i="15"/>
  <c r="BY150" i="15"/>
  <c r="BY152" i="15"/>
  <c r="E144" i="16"/>
  <c r="E148" i="16"/>
  <c r="BA138" i="16"/>
  <c r="BA144" i="16"/>
  <c r="BA148" i="16"/>
  <c r="BA152" i="16"/>
  <c r="CW138" i="16"/>
  <c r="CW148" i="16"/>
  <c r="CW150" i="16"/>
  <c r="E150" i="15"/>
  <c r="E149" i="14"/>
  <c r="AC151" i="14"/>
  <c r="AC147" i="14"/>
  <c r="AC143" i="14"/>
  <c r="BA151" i="14"/>
  <c r="BA139" i="14"/>
  <c r="BY138" i="14"/>
  <c r="BY150" i="14"/>
  <c r="BY146" i="14"/>
  <c r="BY142" i="14"/>
  <c r="CW138" i="14"/>
  <c r="CW150" i="14"/>
  <c r="CW146" i="14"/>
  <c r="CW151" i="14"/>
  <c r="E143" i="15"/>
  <c r="CW139" i="14"/>
  <c r="CW148" i="14"/>
  <c r="E147" i="15"/>
  <c r="E151" i="15"/>
  <c r="BA141" i="13"/>
  <c r="BA145" i="13"/>
  <c r="BA149" i="13"/>
  <c r="BA153" i="13"/>
  <c r="BY141" i="13"/>
  <c r="E153" i="14"/>
  <c r="CW142" i="14"/>
  <c r="E140" i="15"/>
  <c r="E151" i="13"/>
  <c r="E143" i="13"/>
  <c r="BA147" i="14"/>
  <c r="E142" i="13"/>
  <c r="AC139" i="13"/>
  <c r="BY148" i="13"/>
  <c r="BY144" i="13"/>
  <c r="E152" i="14"/>
  <c r="E148" i="14"/>
  <c r="E140" i="14"/>
  <c r="BY153" i="14"/>
  <c r="BY145" i="14"/>
  <c r="BY141" i="14"/>
  <c r="CW149" i="14"/>
  <c r="CW145" i="14"/>
  <c r="E153" i="15"/>
  <c r="E149" i="15"/>
  <c r="E145" i="15"/>
  <c r="E141" i="15"/>
  <c r="AC145" i="15"/>
  <c r="AC149" i="15"/>
  <c r="AC153" i="15"/>
  <c r="BY145" i="15"/>
  <c r="BY149" i="15"/>
  <c r="BY153" i="15"/>
  <c r="CW139" i="15"/>
  <c r="CW143" i="15"/>
  <c r="CW147" i="15"/>
  <c r="CW151" i="15"/>
  <c r="AC141" i="16"/>
  <c r="AC145" i="16"/>
  <c r="AC149" i="16"/>
  <c r="AC153" i="16"/>
  <c r="BA139" i="16"/>
  <c r="BA143" i="16"/>
  <c r="BA147" i="16"/>
  <c r="BA151" i="16"/>
  <c r="BY145" i="16"/>
  <c r="BY149" i="16"/>
  <c r="BY153" i="16"/>
  <c r="CW139" i="16"/>
  <c r="CW145" i="16"/>
  <c r="E151" i="14"/>
  <c r="E147" i="14"/>
  <c r="E139" i="14"/>
  <c r="E138" i="15"/>
  <c r="E152" i="15"/>
  <c r="CW149" i="13"/>
  <c r="CW153" i="13"/>
  <c r="E138" i="14"/>
  <c r="AC152" i="14"/>
  <c r="AC148" i="14"/>
  <c r="AC144" i="14"/>
  <c r="BA150" i="14"/>
  <c r="BA142" i="14"/>
  <c r="BY139" i="14"/>
  <c r="AC142" i="15"/>
  <c r="AC147" i="15"/>
  <c r="AC151" i="15"/>
  <c r="CW141" i="15"/>
  <c r="E152" i="16"/>
  <c r="BA141" i="16"/>
  <c r="BY139" i="16"/>
  <c r="CW143" i="16"/>
  <c r="E151" i="16"/>
  <c r="BA146" i="16"/>
  <c r="BA150" i="16"/>
  <c r="E143" i="16"/>
  <c r="E146" i="16"/>
  <c r="BY141" i="16"/>
  <c r="BY146" i="16"/>
  <c r="BY150" i="16"/>
  <c r="CW144" i="16"/>
  <c r="CW146" i="16"/>
  <c r="CW151" i="16"/>
  <c r="E145" i="16"/>
  <c r="E147" i="16"/>
  <c r="E150" i="16"/>
  <c r="AC139" i="16"/>
  <c r="AC143" i="16"/>
  <c r="AC147" i="16"/>
  <c r="AC151" i="16"/>
  <c r="BA140" i="16"/>
  <c r="BA142" i="16"/>
  <c r="BA145" i="16"/>
  <c r="BA149" i="16"/>
  <c r="BA153" i="16"/>
  <c r="BY143" i="16"/>
  <c r="BY147" i="16"/>
  <c r="BY151" i="16"/>
  <c r="CW140" i="16"/>
  <c r="CW142" i="16"/>
  <c r="CW147" i="16"/>
  <c r="CW149" i="16"/>
  <c r="CW152" i="16"/>
  <c r="AC148" i="15"/>
  <c r="AC152" i="15"/>
  <c r="BA138" i="15"/>
  <c r="BA139" i="15"/>
  <c r="BA141" i="15"/>
  <c r="BA145" i="15"/>
  <c r="BA149" i="15"/>
  <c r="BA153" i="15"/>
  <c r="BY143" i="15"/>
  <c r="BY151" i="15"/>
  <c r="AC140" i="15"/>
  <c r="CW152" i="15"/>
  <c r="AC141" i="15"/>
  <c r="AC143" i="15"/>
  <c r="AC146" i="15"/>
  <c r="AC150" i="15"/>
  <c r="BA140" i="15"/>
  <c r="BA143" i="15"/>
  <c r="BA147" i="15"/>
  <c r="BA151" i="15"/>
  <c r="BY147" i="15"/>
  <c r="CW140" i="15"/>
  <c r="CW145" i="15"/>
  <c r="CW149" i="15"/>
  <c r="CW153" i="15"/>
  <c r="BW12" i="14"/>
  <c r="CU13" i="14"/>
  <c r="BW13" i="14"/>
  <c r="AY13" i="14"/>
  <c r="BA138" i="14"/>
  <c r="BA146" i="14"/>
  <c r="BY149" i="14"/>
  <c r="E145" i="14"/>
  <c r="E141" i="14"/>
  <c r="AC150" i="14"/>
  <c r="AC142" i="14"/>
  <c r="BA153" i="14"/>
  <c r="BA149" i="14"/>
  <c r="BA145" i="14"/>
  <c r="BA141" i="14"/>
  <c r="CW144" i="14"/>
  <c r="AC149" i="14"/>
  <c r="BY143" i="14"/>
  <c r="AA22" i="13"/>
  <c r="AA18" i="13"/>
  <c r="AY22" i="13"/>
  <c r="BW26" i="13"/>
  <c r="CU26" i="13"/>
  <c r="CU14" i="13"/>
  <c r="AA48" i="13"/>
  <c r="AY48" i="13"/>
  <c r="AA119" i="13"/>
  <c r="AY123" i="13"/>
  <c r="BW123" i="13"/>
  <c r="CU123" i="13"/>
  <c r="CU51" i="13"/>
  <c r="BW51" i="13"/>
  <c r="AY51" i="13"/>
  <c r="CU39" i="13"/>
  <c r="BW39" i="13"/>
  <c r="AY39" i="13"/>
  <c r="CU118" i="13"/>
  <c r="BW118" i="13"/>
  <c r="AY118" i="13"/>
  <c r="AA21" i="13"/>
  <c r="AY21" i="13"/>
  <c r="BW25" i="13"/>
  <c r="BW13" i="13"/>
  <c r="CU21" i="13"/>
  <c r="AA51" i="13"/>
  <c r="AY44" i="13"/>
  <c r="BW44" i="13"/>
  <c r="CU44" i="13"/>
  <c r="AA118" i="13"/>
  <c r="AY119" i="13"/>
  <c r="CU119" i="13"/>
  <c r="CW140" i="13"/>
  <c r="AA26" i="13"/>
  <c r="AY14" i="13"/>
  <c r="BW18" i="13"/>
  <c r="CU22" i="13"/>
  <c r="CU43" i="13"/>
  <c r="BW43" i="13"/>
  <c r="AY43" i="13"/>
  <c r="CU122" i="13"/>
  <c r="BW122" i="13"/>
  <c r="AY122" i="13"/>
  <c r="AA25" i="13"/>
  <c r="AA13" i="13"/>
  <c r="AY17" i="13"/>
  <c r="CU25" i="13"/>
  <c r="CU17" i="13"/>
  <c r="AA12" i="13"/>
  <c r="AA24" i="13"/>
  <c r="AA20" i="13"/>
  <c r="AA16" i="13"/>
  <c r="AY12" i="13"/>
  <c r="AY24" i="13"/>
  <c r="AY20" i="13"/>
  <c r="AY16" i="13"/>
  <c r="BW12" i="13"/>
  <c r="BW24" i="13"/>
  <c r="BW20" i="13"/>
  <c r="BW16" i="13"/>
  <c r="AA50" i="13"/>
  <c r="AY40" i="13"/>
  <c r="AY45" i="13"/>
  <c r="AY50" i="13"/>
  <c r="BW40" i="13"/>
  <c r="BW45" i="13"/>
  <c r="BW50" i="13"/>
  <c r="CU40" i="13"/>
  <c r="CU45" i="13"/>
  <c r="AA127" i="13"/>
  <c r="AA122" i="13"/>
  <c r="AY115" i="13"/>
  <c r="AY120" i="13"/>
  <c r="AY125" i="13"/>
  <c r="BW115" i="13"/>
  <c r="BW120" i="13"/>
  <c r="BW125" i="13"/>
  <c r="CU115" i="13"/>
  <c r="CU120" i="13"/>
  <c r="E147" i="13"/>
  <c r="E139" i="13"/>
  <c r="BY152" i="13"/>
  <c r="AA14" i="13"/>
  <c r="AY18" i="13"/>
  <c r="AA52" i="13"/>
  <c r="BW48" i="13"/>
  <c r="CU47" i="13"/>
  <c r="BW47" i="13"/>
  <c r="AY47" i="13"/>
  <c r="CU126" i="13"/>
  <c r="BW126" i="13"/>
  <c r="AY126" i="13"/>
  <c r="CU114" i="13"/>
  <c r="BW114" i="13"/>
  <c r="AY114" i="13"/>
  <c r="AA17" i="13"/>
  <c r="AY13" i="13"/>
  <c r="AA27" i="13"/>
  <c r="AA23" i="13"/>
  <c r="AA19" i="13"/>
  <c r="AA15" i="13"/>
  <c r="AY27" i="13"/>
  <c r="AY23" i="13"/>
  <c r="AY19" i="13"/>
  <c r="AY15" i="13"/>
  <c r="BW27" i="13"/>
  <c r="BW23" i="13"/>
  <c r="BW19" i="13"/>
  <c r="BW15" i="13"/>
  <c r="AY41" i="13"/>
  <c r="AY52" i="13"/>
  <c r="BW41" i="13"/>
  <c r="BW52" i="13"/>
  <c r="CU41" i="13"/>
  <c r="AA126" i="13"/>
  <c r="AY116" i="13"/>
  <c r="AY127" i="13"/>
  <c r="BW116" i="13"/>
  <c r="BW127" i="13"/>
  <c r="CU116" i="13"/>
  <c r="E149" i="13"/>
  <c r="E141" i="13"/>
  <c r="AC140" i="13"/>
  <c r="AC143" i="13"/>
  <c r="AC144" i="13"/>
  <c r="AC147" i="13"/>
  <c r="AC148" i="13"/>
  <c r="AC151" i="13"/>
  <c r="AC152" i="13"/>
  <c r="CW139" i="13"/>
  <c r="CW143" i="13"/>
  <c r="CW144" i="13"/>
  <c r="CW147" i="13"/>
  <c r="CW148" i="13"/>
  <c r="CW151" i="13"/>
  <c r="CW152" i="13"/>
  <c r="BY150" i="13"/>
  <c r="BY146" i="13"/>
  <c r="BY142" i="13"/>
  <c r="E138" i="16"/>
  <c r="E139" i="16"/>
  <c r="E140" i="16"/>
  <c r="E141" i="16"/>
  <c r="E142" i="16"/>
  <c r="BY138" i="15"/>
  <c r="BY139" i="15"/>
  <c r="BY140" i="15"/>
  <c r="BY141" i="15"/>
  <c r="AC138" i="14"/>
  <c r="AC139" i="14"/>
  <c r="AC140" i="14"/>
  <c r="AC141" i="14"/>
  <c r="E150" i="14"/>
  <c r="CW142" i="13"/>
  <c r="BA140" i="13"/>
  <c r="BA144" i="13"/>
  <c r="BA148" i="13"/>
  <c r="BA152" i="13"/>
  <c r="AC150" i="13"/>
  <c r="E150" i="13"/>
  <c r="E146" i="13"/>
  <c r="AA16" i="14"/>
  <c r="AY16" i="14"/>
  <c r="BW16" i="14"/>
  <c r="P46" i="2" l="1"/>
  <c r="I46" i="2"/>
  <c r="Q46" i="2" l="1"/>
  <c r="R46" i="2" s="1"/>
  <c r="J46" i="2"/>
  <c r="K46" i="2" s="1"/>
  <c r="I35" i="1" l="1"/>
  <c r="E35" i="1"/>
  <c r="I32" i="1"/>
  <c r="E32" i="1"/>
  <c r="F29" i="1"/>
  <c r="G29" i="1"/>
  <c r="H29" i="1"/>
  <c r="I29" i="1"/>
  <c r="E29" i="1"/>
  <c r="H35" i="1" l="1"/>
  <c r="G35" i="1"/>
  <c r="F35" i="1"/>
  <c r="H32" i="1"/>
  <c r="G32" i="1"/>
  <c r="F32" i="1"/>
  <c r="L37" i="2"/>
  <c r="L34" i="2"/>
  <c r="L31" i="2"/>
  <c r="E37" i="2"/>
  <c r="E34" i="2"/>
  <c r="E31" i="2"/>
  <c r="I38" i="2"/>
  <c r="I35" i="2"/>
  <c r="I32" i="2"/>
  <c r="P38" i="2"/>
  <c r="P35" i="2"/>
  <c r="P32" i="2"/>
  <c r="S31" i="2"/>
  <c r="W32" i="2"/>
  <c r="S34" i="2"/>
  <c r="W35" i="2"/>
  <c r="S37" i="2"/>
  <c r="W38" i="2"/>
  <c r="Z31" i="2"/>
  <c r="AD32" i="2"/>
  <c r="Z34" i="2"/>
  <c r="AD35" i="2"/>
  <c r="Z37" i="2"/>
  <c r="AD38" i="2"/>
  <c r="Z55" i="2"/>
  <c r="S55" i="2"/>
  <c r="Z52" i="2"/>
  <c r="S52" i="2"/>
  <c r="E49" i="2"/>
  <c r="L55" i="2"/>
  <c r="L52" i="2"/>
  <c r="L49" i="2"/>
  <c r="E55" i="2"/>
  <c r="E52" i="2"/>
  <c r="AD56" i="2"/>
  <c r="AD53" i="2"/>
  <c r="W56" i="2"/>
  <c r="W53" i="2"/>
  <c r="P56" i="2"/>
  <c r="P53" i="2"/>
  <c r="I56" i="2"/>
  <c r="I53" i="2"/>
  <c r="Z49" i="2"/>
  <c r="S49" i="2"/>
  <c r="Z47" i="2"/>
  <c r="AD47" i="2"/>
  <c r="S47" i="2"/>
  <c r="W47" i="2"/>
  <c r="L47" i="2"/>
  <c r="P47" i="2"/>
  <c r="I47" i="2"/>
  <c r="E47" i="2"/>
  <c r="M40" i="10" l="1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93" i="10"/>
  <c r="M95" i="10"/>
  <c r="M97" i="10"/>
  <c r="M99" i="10"/>
  <c r="M101" i="10"/>
  <c r="M103" i="10"/>
  <c r="M105" i="10"/>
  <c r="M94" i="10"/>
  <c r="M102" i="10"/>
  <c r="M100" i="10"/>
  <c r="M96" i="10"/>
  <c r="M104" i="10"/>
  <c r="M98" i="10"/>
  <c r="M106" i="10"/>
  <c r="M92" i="10"/>
  <c r="M22" i="10"/>
  <c r="M19" i="10"/>
  <c r="M28" i="10"/>
  <c r="M25" i="10"/>
  <c r="M16" i="10"/>
  <c r="M69" i="10"/>
  <c r="M73" i="10"/>
  <c r="M77" i="10"/>
  <c r="M68" i="10"/>
  <c r="M72" i="10"/>
  <c r="M76" i="10"/>
  <c r="M80" i="10"/>
  <c r="M70" i="10"/>
  <c r="M74" i="10"/>
  <c r="M78" i="10"/>
  <c r="M67" i="10"/>
  <c r="M71" i="10"/>
  <c r="M75" i="10"/>
  <c r="M79" i="10"/>
  <c r="M66" i="10"/>
  <c r="J47" i="2"/>
  <c r="K47" i="2" s="1"/>
  <c r="AE47" i="2"/>
  <c r="AF47" i="2" s="1"/>
  <c r="X47" i="2"/>
  <c r="Y47" i="2" s="1"/>
  <c r="Q47" i="2"/>
  <c r="R47" i="2" s="1"/>
  <c r="C104" i="3" l="1"/>
  <c r="W54" i="7" l="1"/>
  <c r="W58" i="7"/>
  <c r="V58" i="7"/>
  <c r="R58" i="7"/>
  <c r="Q58" i="7"/>
  <c r="M58" i="7"/>
  <c r="H58" i="7"/>
  <c r="H122" i="7"/>
  <c r="M122" i="7"/>
  <c r="R122" i="7"/>
  <c r="W122" i="7"/>
  <c r="M54" i="7"/>
  <c r="H54" i="7"/>
  <c r="I143" i="7"/>
  <c r="H143" i="7"/>
  <c r="G143" i="7"/>
  <c r="F143" i="7"/>
  <c r="Q122" i="7"/>
  <c r="M115" i="7"/>
  <c r="H115" i="7"/>
  <c r="C114" i="7"/>
  <c r="C113" i="7"/>
  <c r="D112" i="7"/>
  <c r="C112" i="7"/>
  <c r="C111" i="7"/>
  <c r="D109" i="7"/>
  <c r="D108" i="7"/>
  <c r="C108" i="7"/>
  <c r="C110" i="7" s="1"/>
  <c r="W105" i="7"/>
  <c r="R105" i="7"/>
  <c r="C104" i="7"/>
  <c r="Q104" i="7" s="1"/>
  <c r="Q105" i="7" s="1"/>
  <c r="I133" i="7"/>
  <c r="H133" i="7"/>
  <c r="G133" i="7"/>
  <c r="F133" i="7"/>
  <c r="W72" i="7"/>
  <c r="R72" i="7"/>
  <c r="I132" i="7"/>
  <c r="G132" i="7"/>
  <c r="F132" i="7"/>
  <c r="I142" i="7"/>
  <c r="H140" i="7" l="1"/>
  <c r="F91" i="5"/>
  <c r="G108" i="7"/>
  <c r="F142" i="7" s="1"/>
  <c r="L108" i="7"/>
  <c r="L115" i="7" s="1"/>
  <c r="G142" i="7" s="1"/>
  <c r="V104" i="7"/>
  <c r="V105" i="7" s="1"/>
  <c r="I140" i="7" l="1"/>
  <c r="G91" i="5"/>
  <c r="W85" i="7"/>
  <c r="R85" i="7"/>
  <c r="M85" i="7"/>
  <c r="H85" i="7"/>
  <c r="C84" i="7"/>
  <c r="C83" i="7"/>
  <c r="C82" i="7"/>
  <c r="D81" i="7"/>
  <c r="C81" i="7"/>
  <c r="C80" i="7"/>
  <c r="D79" i="7"/>
  <c r="C79" i="7"/>
  <c r="D78" i="7"/>
  <c r="C78" i="7"/>
  <c r="C77" i="7"/>
  <c r="D75" i="7"/>
  <c r="C75" i="7"/>
  <c r="C76" i="7" s="1"/>
  <c r="P50" i="2" l="1"/>
  <c r="I50" i="2"/>
  <c r="F129" i="7" l="1"/>
  <c r="I129" i="7"/>
  <c r="H129" i="7"/>
  <c r="G129" i="7"/>
  <c r="AD61" i="2"/>
  <c r="Z61" i="2"/>
  <c r="Z25" i="2"/>
  <c r="Z26" i="2"/>
  <c r="Z29" i="2"/>
  <c r="Z23" i="2"/>
  <c r="S25" i="2"/>
  <c r="S26" i="2"/>
  <c r="S29" i="2"/>
  <c r="S23" i="2"/>
  <c r="L60" i="2"/>
  <c r="L29" i="2"/>
  <c r="L45" i="2"/>
  <c r="P60" i="2"/>
  <c r="P45" i="2"/>
  <c r="L26" i="2"/>
  <c r="L25" i="2"/>
  <c r="L23" i="2"/>
  <c r="L20" i="2"/>
  <c r="I45" i="2"/>
  <c r="E45" i="2"/>
  <c r="E29" i="2"/>
  <c r="E26" i="2"/>
  <c r="E25" i="2"/>
  <c r="E20" i="2"/>
  <c r="K41" i="10" l="1"/>
  <c r="K40" i="10"/>
  <c r="J45" i="2"/>
  <c r="S92" i="10"/>
  <c r="S94" i="10"/>
  <c r="S96" i="10"/>
  <c r="S98" i="10"/>
  <c r="S100" i="10"/>
  <c r="S102" i="10"/>
  <c r="S104" i="10"/>
  <c r="S106" i="10"/>
  <c r="S93" i="10"/>
  <c r="S101" i="10"/>
  <c r="S95" i="10"/>
  <c r="S103" i="10"/>
  <c r="S97" i="10"/>
  <c r="S105" i="10"/>
  <c r="S99" i="10"/>
  <c r="K15" i="10"/>
  <c r="U15" i="10" s="1"/>
  <c r="K19" i="10"/>
  <c r="K16" i="10"/>
  <c r="K20" i="10"/>
  <c r="U20" i="10" s="1"/>
  <c r="K14" i="10"/>
  <c r="U14" i="10" s="1"/>
  <c r="K22" i="10"/>
  <c r="K17" i="10"/>
  <c r="U17" i="10" s="1"/>
  <c r="K18" i="10"/>
  <c r="U18" i="10" s="1"/>
  <c r="K21" i="10"/>
  <c r="U21" i="10" s="1"/>
  <c r="R40" i="10"/>
  <c r="R41" i="10"/>
  <c r="R42" i="10"/>
  <c r="R43" i="10"/>
  <c r="R44" i="10"/>
  <c r="R45" i="10"/>
  <c r="R46" i="10"/>
  <c r="R47" i="10"/>
  <c r="R48" i="10"/>
  <c r="R49" i="10"/>
  <c r="R50" i="10"/>
  <c r="R51" i="10"/>
  <c r="R52" i="10"/>
  <c r="R53" i="10"/>
  <c r="R54" i="10"/>
  <c r="R39" i="10"/>
  <c r="U39" i="10" s="1"/>
  <c r="Q45" i="2"/>
  <c r="AE61" i="2"/>
  <c r="AF61" i="2" s="1"/>
  <c r="Q60" i="2"/>
  <c r="R60" i="2" s="1"/>
  <c r="W101" i="7"/>
  <c r="I146" i="7" s="1"/>
  <c r="R101" i="7"/>
  <c r="H146" i="7" s="1"/>
  <c r="M101" i="7"/>
  <c r="G146" i="7" s="1"/>
  <c r="H101" i="7"/>
  <c r="F146" i="7" s="1"/>
  <c r="C100" i="7"/>
  <c r="C99" i="7"/>
  <c r="C98" i="7"/>
  <c r="D97" i="7"/>
  <c r="C97" i="7"/>
  <c r="C96" i="7"/>
  <c r="D95" i="7"/>
  <c r="C95" i="7"/>
  <c r="D94" i="7"/>
  <c r="C94" i="7"/>
  <c r="C93" i="7"/>
  <c r="D91" i="7"/>
  <c r="C91" i="7"/>
  <c r="C92" i="7" s="1"/>
  <c r="M72" i="7"/>
  <c r="H72" i="7"/>
  <c r="C71" i="7"/>
  <c r="C70" i="7"/>
  <c r="D69" i="7"/>
  <c r="C69" i="7"/>
  <c r="C68" i="7"/>
  <c r="D66" i="7"/>
  <c r="D65" i="7"/>
  <c r="C65" i="7"/>
  <c r="C67" i="7" s="1"/>
  <c r="W62" i="7"/>
  <c r="R62" i="7"/>
  <c r="C61" i="7"/>
  <c r="V61" i="7" s="1"/>
  <c r="V62" i="7" s="1"/>
  <c r="R54" i="7"/>
  <c r="D53" i="7"/>
  <c r="C53" i="7"/>
  <c r="D52" i="7"/>
  <c r="C52" i="7"/>
  <c r="C51" i="7"/>
  <c r="C50" i="7"/>
  <c r="D49" i="7"/>
  <c r="C49" i="7"/>
  <c r="C48" i="7"/>
  <c r="D47" i="7"/>
  <c r="C47" i="7"/>
  <c r="D46" i="7"/>
  <c r="C46" i="7"/>
  <c r="C45" i="7"/>
  <c r="D44" i="7"/>
  <c r="C44" i="7"/>
  <c r="D43" i="7"/>
  <c r="C43" i="7"/>
  <c r="D42" i="7"/>
  <c r="C42" i="7"/>
  <c r="D41" i="7"/>
  <c r="C41" i="7"/>
  <c r="D40" i="7"/>
  <c r="C40" i="7"/>
  <c r="D39" i="7"/>
  <c r="C39" i="7"/>
  <c r="S20" i="2"/>
  <c r="CC113" i="15" l="1"/>
  <c r="AG113" i="15"/>
  <c r="I113" i="14"/>
  <c r="BE113" i="14"/>
  <c r="DA113" i="14"/>
  <c r="CC113" i="13"/>
  <c r="AG113" i="13"/>
  <c r="BE113" i="13"/>
  <c r="I113" i="13"/>
  <c r="DA113" i="15"/>
  <c r="BE113" i="15"/>
  <c r="AG113" i="14"/>
  <c r="CC113" i="14"/>
  <c r="DA113" i="13"/>
  <c r="I113" i="15"/>
  <c r="DA96" i="15"/>
  <c r="BE96" i="15"/>
  <c r="I96" i="15"/>
  <c r="CC96" i="14"/>
  <c r="AG96" i="14"/>
  <c r="DA96" i="13"/>
  <c r="BE96" i="13"/>
  <c r="I96" i="13"/>
  <c r="DA96" i="14"/>
  <c r="CC96" i="15"/>
  <c r="AG96" i="15"/>
  <c r="BE96" i="14"/>
  <c r="I96" i="14"/>
  <c r="CC96" i="13"/>
  <c r="AG96" i="13"/>
  <c r="DA89" i="15"/>
  <c r="BE89" i="15"/>
  <c r="I89" i="15"/>
  <c r="CC89" i="14"/>
  <c r="AG89" i="14"/>
  <c r="DA89" i="13"/>
  <c r="BE89" i="13"/>
  <c r="I89" i="13"/>
  <c r="CC89" i="15"/>
  <c r="AG89" i="15"/>
  <c r="DA89" i="14"/>
  <c r="BE89" i="14"/>
  <c r="I89" i="14"/>
  <c r="CC89" i="13"/>
  <c r="AG89" i="13"/>
  <c r="CC90" i="15"/>
  <c r="AG90" i="15"/>
  <c r="DA90" i="14"/>
  <c r="BE90" i="14"/>
  <c r="I90" i="14"/>
  <c r="CC90" i="13"/>
  <c r="AG90" i="13"/>
  <c r="DA90" i="15"/>
  <c r="BE90" i="15"/>
  <c r="I90" i="15"/>
  <c r="CC90" i="14"/>
  <c r="AG90" i="14"/>
  <c r="DA90" i="13"/>
  <c r="BE90" i="13"/>
  <c r="I90" i="13"/>
  <c r="DA93" i="15"/>
  <c r="BE93" i="15"/>
  <c r="I93" i="15"/>
  <c r="CC93" i="14"/>
  <c r="AG93" i="14"/>
  <c r="DA93" i="13"/>
  <c r="BE93" i="13"/>
  <c r="I93" i="13"/>
  <c r="BE93" i="14"/>
  <c r="I93" i="14"/>
  <c r="CC93" i="13"/>
  <c r="AG93" i="13"/>
  <c r="CC93" i="15"/>
  <c r="AG93" i="15"/>
  <c r="DA93" i="14"/>
  <c r="CC95" i="15"/>
  <c r="AG95" i="15"/>
  <c r="DA95" i="14"/>
  <c r="BE95" i="14"/>
  <c r="I95" i="14"/>
  <c r="CC95" i="13"/>
  <c r="AG95" i="13"/>
  <c r="I95" i="15"/>
  <c r="AG95" i="14"/>
  <c r="DA95" i="13"/>
  <c r="I95" i="13"/>
  <c r="DA95" i="15"/>
  <c r="BE95" i="15"/>
  <c r="CC95" i="14"/>
  <c r="BE95" i="13"/>
  <c r="DA92" i="15"/>
  <c r="BE92" i="15"/>
  <c r="I92" i="15"/>
  <c r="CC92" i="14"/>
  <c r="AG92" i="14"/>
  <c r="DA92" i="13"/>
  <c r="BE92" i="13"/>
  <c r="I92" i="13"/>
  <c r="CC92" i="15"/>
  <c r="AG92" i="15"/>
  <c r="DA92" i="14"/>
  <c r="BE92" i="14"/>
  <c r="I92" i="14"/>
  <c r="CC92" i="13"/>
  <c r="AG92" i="13"/>
  <c r="I131" i="7"/>
  <c r="G86" i="5"/>
  <c r="Z28" i="2" s="1"/>
  <c r="DA89" i="16"/>
  <c r="CC89" i="16"/>
  <c r="BE89" i="16"/>
  <c r="AG89" i="16"/>
  <c r="I89" i="16"/>
  <c r="DA113" i="16"/>
  <c r="CC113" i="16"/>
  <c r="BE113" i="16"/>
  <c r="AG113" i="16"/>
  <c r="I113" i="16"/>
  <c r="DA96" i="16"/>
  <c r="CC96" i="16"/>
  <c r="BE96" i="16"/>
  <c r="AG96" i="16"/>
  <c r="I96" i="16"/>
  <c r="DA90" i="16"/>
  <c r="CC90" i="16"/>
  <c r="BE90" i="16"/>
  <c r="AG90" i="16"/>
  <c r="I90" i="16"/>
  <c r="DA93" i="16"/>
  <c r="CC93" i="16"/>
  <c r="BE93" i="16"/>
  <c r="AG93" i="16"/>
  <c r="I93" i="16"/>
  <c r="DA95" i="16"/>
  <c r="CC95" i="16"/>
  <c r="BE95" i="16"/>
  <c r="AG95" i="16"/>
  <c r="I95" i="16"/>
  <c r="DA92" i="16"/>
  <c r="CC92" i="16"/>
  <c r="BE92" i="16"/>
  <c r="AG92" i="16"/>
  <c r="I92" i="16"/>
  <c r="K45" i="2"/>
  <c r="R45" i="2"/>
  <c r="G65" i="7"/>
  <c r="G72" i="7" s="1"/>
  <c r="F130" i="7" s="1"/>
  <c r="V65" i="7"/>
  <c r="V72" i="7" s="1"/>
  <c r="Q65" i="7"/>
  <c r="Q72" i="7" s="1"/>
  <c r="I141" i="7"/>
  <c r="H132" i="7"/>
  <c r="L65" i="7"/>
  <c r="L72" i="7" s="1"/>
  <c r="G130" i="7" s="1"/>
  <c r="Q61" i="7"/>
  <c r="Z20" i="2"/>
  <c r="H130" i="7" l="1"/>
  <c r="I130" i="7"/>
  <c r="G84" i="5"/>
  <c r="Q62" i="7"/>
  <c r="F141" i="7"/>
  <c r="F144" i="7" s="1"/>
  <c r="H141" i="7"/>
  <c r="H144" i="7" s="1"/>
  <c r="I144" i="7"/>
  <c r="G141" i="7"/>
  <c r="AC10" i="2"/>
  <c r="O10" i="2"/>
  <c r="H10" i="2"/>
  <c r="V10" i="2"/>
  <c r="AB10" i="2"/>
  <c r="U10" i="2"/>
  <c r="N10" i="2"/>
  <c r="G10" i="2"/>
  <c r="AA10" i="2"/>
  <c r="T10" i="2"/>
  <c r="M10" i="2"/>
  <c r="F10" i="2"/>
  <c r="R104" i="3"/>
  <c r="H25" i="3"/>
  <c r="H35" i="3"/>
  <c r="F38" i="1"/>
  <c r="F39" i="1" s="1"/>
  <c r="G38" i="1"/>
  <c r="G39" i="1" s="1"/>
  <c r="H38" i="1"/>
  <c r="H39" i="1" s="1"/>
  <c r="I38" i="1"/>
  <c r="I39" i="1" s="1"/>
  <c r="F26" i="1"/>
  <c r="F27" i="1" s="1"/>
  <c r="G26" i="1"/>
  <c r="G27" i="1" s="1"/>
  <c r="H26" i="1"/>
  <c r="H27" i="1" s="1"/>
  <c r="I26" i="1"/>
  <c r="I27" i="1" s="1"/>
  <c r="E38" i="1"/>
  <c r="E39" i="1" s="1"/>
  <c r="E26" i="1"/>
  <c r="E27" i="1" s="1"/>
  <c r="H131" i="7" l="1"/>
  <c r="F86" i="5"/>
  <c r="S28" i="2" s="1"/>
  <c r="G144" i="7"/>
  <c r="AD50" i="2"/>
  <c r="W50" i="2"/>
  <c r="W14" i="10" l="1"/>
  <c r="W15" i="10"/>
  <c r="W17" i="10"/>
  <c r="W18" i="10"/>
  <c r="W20" i="10"/>
  <c r="W21" i="10"/>
  <c r="W23" i="10"/>
  <c r="W24" i="10"/>
  <c r="W26" i="10"/>
  <c r="W27" i="10"/>
  <c r="DD78" i="16" l="1"/>
  <c r="DD75" i="16"/>
  <c r="DD74" i="16"/>
  <c r="DD73" i="16"/>
  <c r="DD70" i="16"/>
  <c r="DD69" i="16"/>
  <c r="DD68" i="16"/>
  <c r="DD65" i="16"/>
  <c r="DD64" i="16"/>
  <c r="DD63" i="16"/>
  <c r="CD78" i="16"/>
  <c r="CD75" i="16"/>
  <c r="CD74" i="16"/>
  <c r="CD73" i="16"/>
  <c r="CD70" i="16"/>
  <c r="CD69" i="16"/>
  <c r="CD68" i="16"/>
  <c r="CD65" i="16"/>
  <c r="CD64" i="16"/>
  <c r="CD63" i="16"/>
  <c r="BD78" i="16"/>
  <c r="BD75" i="16"/>
  <c r="BD74" i="16"/>
  <c r="BD73" i="16"/>
  <c r="BD70" i="16"/>
  <c r="BD69" i="16"/>
  <c r="BD68" i="16"/>
  <c r="BD65" i="16"/>
  <c r="BD64" i="16"/>
  <c r="BD63" i="16"/>
  <c r="AD78" i="16"/>
  <c r="AD75" i="16"/>
  <c r="AD74" i="16"/>
  <c r="AD73" i="16"/>
  <c r="AD70" i="16"/>
  <c r="AD69" i="16"/>
  <c r="AD68" i="16"/>
  <c r="AD65" i="16"/>
  <c r="AD64" i="16"/>
  <c r="AD63" i="16"/>
  <c r="D78" i="16"/>
  <c r="D75" i="16"/>
  <c r="D74" i="16"/>
  <c r="D73" i="16"/>
  <c r="D70" i="16"/>
  <c r="D69" i="16"/>
  <c r="D68" i="16"/>
  <c r="D65" i="16"/>
  <c r="D64" i="16"/>
  <c r="D63" i="16"/>
  <c r="DD78" i="15"/>
  <c r="DD75" i="15"/>
  <c r="DD74" i="15"/>
  <c r="DD73" i="15"/>
  <c r="DD70" i="15"/>
  <c r="DD69" i="15"/>
  <c r="DD68" i="15"/>
  <c r="DD65" i="15"/>
  <c r="DD64" i="15"/>
  <c r="DD63" i="15"/>
  <c r="CD78" i="15"/>
  <c r="CD75" i="15"/>
  <c r="CD74" i="15"/>
  <c r="CD73" i="15"/>
  <c r="CD70" i="15"/>
  <c r="CD69" i="15"/>
  <c r="CD68" i="15"/>
  <c r="CD65" i="15"/>
  <c r="CD64" i="15"/>
  <c r="CD63" i="15"/>
  <c r="BD78" i="15"/>
  <c r="BD75" i="15"/>
  <c r="BD74" i="15"/>
  <c r="BD73" i="15"/>
  <c r="BD70" i="15"/>
  <c r="BD69" i="15"/>
  <c r="BD68" i="15"/>
  <c r="BD65" i="15"/>
  <c r="BD64" i="15"/>
  <c r="BD63" i="15"/>
  <c r="AD78" i="15"/>
  <c r="AD75" i="15"/>
  <c r="AD74" i="15"/>
  <c r="AD73" i="15"/>
  <c r="AD70" i="15"/>
  <c r="AD69" i="15"/>
  <c r="AD68" i="15"/>
  <c r="AD65" i="15"/>
  <c r="AD64" i="15"/>
  <c r="AD63" i="15"/>
  <c r="D78" i="15"/>
  <c r="D75" i="15"/>
  <c r="D74" i="15"/>
  <c r="D73" i="15"/>
  <c r="D70" i="15"/>
  <c r="D69" i="15"/>
  <c r="D68" i="15"/>
  <c r="D65" i="15"/>
  <c r="D64" i="15"/>
  <c r="D63" i="15"/>
  <c r="DD78" i="14"/>
  <c r="DD75" i="14"/>
  <c r="DD74" i="14"/>
  <c r="DD73" i="14"/>
  <c r="DD70" i="14"/>
  <c r="DD69" i="14"/>
  <c r="DD68" i="14"/>
  <c r="DD65" i="14"/>
  <c r="DD64" i="14"/>
  <c r="DD63" i="14"/>
  <c r="CD78" i="14"/>
  <c r="CD75" i="14"/>
  <c r="CD74" i="14"/>
  <c r="CD73" i="14"/>
  <c r="CD70" i="14"/>
  <c r="CD69" i="14"/>
  <c r="CD68" i="14"/>
  <c r="CD65" i="14"/>
  <c r="CD64" i="14"/>
  <c r="CD63" i="14"/>
  <c r="BD63" i="14"/>
  <c r="BD78" i="14"/>
  <c r="BD75" i="14"/>
  <c r="BD74" i="14"/>
  <c r="BD73" i="14"/>
  <c r="BD70" i="14"/>
  <c r="BD69" i="14"/>
  <c r="BD68" i="14"/>
  <c r="BD65" i="14"/>
  <c r="BD64" i="14"/>
  <c r="AD78" i="14"/>
  <c r="AD75" i="14"/>
  <c r="AD74" i="14"/>
  <c r="AD73" i="14"/>
  <c r="AD70" i="14"/>
  <c r="AD69" i="14"/>
  <c r="AD68" i="14"/>
  <c r="AD65" i="14"/>
  <c r="AD64" i="14"/>
  <c r="AD63" i="14"/>
  <c r="D78" i="14"/>
  <c r="D75" i="14"/>
  <c r="D74" i="14"/>
  <c r="D73" i="14"/>
  <c r="D70" i="14"/>
  <c r="D69" i="14"/>
  <c r="D68" i="14"/>
  <c r="D65" i="14"/>
  <c r="D64" i="14"/>
  <c r="D63" i="14"/>
  <c r="DD78" i="13"/>
  <c r="DD75" i="13"/>
  <c r="DD74" i="13"/>
  <c r="DD73" i="13"/>
  <c r="DD70" i="13"/>
  <c r="DD69" i="13"/>
  <c r="DD68" i="13"/>
  <c r="DD65" i="13"/>
  <c r="DD64" i="13"/>
  <c r="DD63" i="13"/>
  <c r="CD78" i="13"/>
  <c r="CD75" i="13"/>
  <c r="CD74" i="13"/>
  <c r="CD73" i="13"/>
  <c r="CD70" i="13"/>
  <c r="CD69" i="13"/>
  <c r="CD68" i="13"/>
  <c r="CD65" i="13"/>
  <c r="CD64" i="13"/>
  <c r="CD63" i="13"/>
  <c r="BD78" i="13"/>
  <c r="BD75" i="13"/>
  <c r="BD74" i="13"/>
  <c r="BD73" i="13"/>
  <c r="BD70" i="13"/>
  <c r="BD69" i="13"/>
  <c r="BD68" i="13"/>
  <c r="BD65" i="13"/>
  <c r="BD64" i="13"/>
  <c r="BD63" i="13"/>
  <c r="AD78" i="13"/>
  <c r="AD75" i="13"/>
  <c r="AD74" i="13"/>
  <c r="AD73" i="13"/>
  <c r="AD70" i="13"/>
  <c r="AD69" i="13"/>
  <c r="AD68" i="13"/>
  <c r="AD65" i="13"/>
  <c r="AD64" i="13"/>
  <c r="AD63" i="13"/>
  <c r="D78" i="13"/>
  <c r="D75" i="13"/>
  <c r="D74" i="13"/>
  <c r="D73" i="13"/>
  <c r="D70" i="13"/>
  <c r="D69" i="13"/>
  <c r="D68" i="13"/>
  <c r="D65" i="13"/>
  <c r="D64" i="13"/>
  <c r="D63" i="13"/>
  <c r="BV14" i="16" l="1"/>
  <c r="BV15" i="16" s="1"/>
  <c r="BV16" i="16" s="1"/>
  <c r="BV17" i="16" s="1"/>
  <c r="BV18" i="16" s="1"/>
  <c r="BV19" i="16" s="1"/>
  <c r="BV20" i="16" s="1"/>
  <c r="BV21" i="16" s="1"/>
  <c r="BV22" i="16" s="1"/>
  <c r="BV23" i="16" s="1"/>
  <c r="BV24" i="16" s="1"/>
  <c r="BV25" i="16" s="1"/>
  <c r="BV26" i="16" s="1"/>
  <c r="BV27" i="16" s="1"/>
  <c r="BV40" i="16"/>
  <c r="BV41" i="16" s="1"/>
  <c r="BV42" i="16" s="1"/>
  <c r="BV43" i="16" s="1"/>
  <c r="BV44" i="16" s="1"/>
  <c r="BV45" i="16" s="1"/>
  <c r="BV46" i="16" s="1"/>
  <c r="BV47" i="16" s="1"/>
  <c r="BV48" i="16" s="1"/>
  <c r="BV49" i="16" s="1"/>
  <c r="BV50" i="16" s="1"/>
  <c r="BV51" i="16" s="1"/>
  <c r="BV52" i="16" s="1"/>
  <c r="BV53" i="16" s="1"/>
  <c r="CB65" i="16"/>
  <c r="CB66" i="16" s="1"/>
  <c r="CB67" i="16" s="1"/>
  <c r="CB68" i="16" s="1"/>
  <c r="CB69" i="16" s="1"/>
  <c r="CB70" i="16" s="1"/>
  <c r="CB71" i="16" s="1"/>
  <c r="CB72" i="16" s="1"/>
  <c r="CB73" i="16" s="1"/>
  <c r="CB74" i="16" s="1"/>
  <c r="CB75" i="16" s="1"/>
  <c r="CB76" i="16" s="1"/>
  <c r="CB77" i="16" s="1"/>
  <c r="CB78" i="16" s="1"/>
  <c r="BV90" i="16"/>
  <c r="BV91" i="16" s="1"/>
  <c r="BV92" i="16" s="1"/>
  <c r="BV93" i="16" s="1"/>
  <c r="BV94" i="16" s="1"/>
  <c r="BV95" i="16" s="1"/>
  <c r="BV96" i="16" s="1"/>
  <c r="BV97" i="16" s="1"/>
  <c r="BV98" i="16" s="1"/>
  <c r="BV99" i="16" s="1"/>
  <c r="BV100" i="16" s="1"/>
  <c r="BV101" i="16" s="1"/>
  <c r="BV102" i="16" s="1"/>
  <c r="BV103" i="16" s="1"/>
  <c r="BV115" i="16"/>
  <c r="BV116" i="16" s="1"/>
  <c r="BV117" i="16" s="1"/>
  <c r="BV118" i="16" s="1"/>
  <c r="BV119" i="16" s="1"/>
  <c r="BV120" i="16" s="1"/>
  <c r="BV121" i="16" s="1"/>
  <c r="BV122" i="16" s="1"/>
  <c r="BV123" i="16" s="1"/>
  <c r="BV124" i="16" s="1"/>
  <c r="BV125" i="16" s="1"/>
  <c r="BV126" i="16" s="1"/>
  <c r="BV127" i="16" s="1"/>
  <c r="BV128" i="16" s="1"/>
  <c r="AX115" i="16"/>
  <c r="AX116" i="16" s="1"/>
  <c r="AX117" i="16" s="1"/>
  <c r="AX118" i="16" s="1"/>
  <c r="AX119" i="16" s="1"/>
  <c r="AX120" i="16" s="1"/>
  <c r="AX121" i="16" s="1"/>
  <c r="AX122" i="16" s="1"/>
  <c r="AX123" i="16" s="1"/>
  <c r="AX124" i="16" s="1"/>
  <c r="AX125" i="16" s="1"/>
  <c r="AX126" i="16" s="1"/>
  <c r="AX127" i="16" s="1"/>
  <c r="AX128" i="16" s="1"/>
  <c r="AX90" i="16"/>
  <c r="AX91" i="16" s="1"/>
  <c r="AX92" i="16" s="1"/>
  <c r="AX93" i="16" s="1"/>
  <c r="AX94" i="16" s="1"/>
  <c r="AX95" i="16" s="1"/>
  <c r="AX96" i="16" s="1"/>
  <c r="AX97" i="16" s="1"/>
  <c r="AX98" i="16" s="1"/>
  <c r="AX99" i="16" s="1"/>
  <c r="AX100" i="16" s="1"/>
  <c r="AX101" i="16" s="1"/>
  <c r="AX102" i="16" s="1"/>
  <c r="AX103" i="16" s="1"/>
  <c r="BB65" i="16"/>
  <c r="BB66" i="16" s="1"/>
  <c r="BB67" i="16" s="1"/>
  <c r="BB68" i="16" s="1"/>
  <c r="BB69" i="16" s="1"/>
  <c r="BB70" i="16" s="1"/>
  <c r="BB71" i="16" s="1"/>
  <c r="BB72" i="16" s="1"/>
  <c r="BB73" i="16" s="1"/>
  <c r="BB74" i="16" s="1"/>
  <c r="BB75" i="16" s="1"/>
  <c r="BB76" i="16" s="1"/>
  <c r="BB77" i="16" s="1"/>
  <c r="BB78" i="16" s="1"/>
  <c r="AX40" i="16"/>
  <c r="AX41" i="16" s="1"/>
  <c r="AX42" i="16" s="1"/>
  <c r="AX43" i="16" s="1"/>
  <c r="AX44" i="16" s="1"/>
  <c r="AX45" i="16" s="1"/>
  <c r="AX46" i="16" s="1"/>
  <c r="AX47" i="16" s="1"/>
  <c r="AX48" i="16" s="1"/>
  <c r="AX49" i="16" s="1"/>
  <c r="AX50" i="16" s="1"/>
  <c r="AX51" i="16" s="1"/>
  <c r="AX52" i="16" s="1"/>
  <c r="AX53" i="16" s="1"/>
  <c r="AX14" i="16"/>
  <c r="AX15" i="16" s="1"/>
  <c r="AX16" i="16" s="1"/>
  <c r="AX17" i="16" s="1"/>
  <c r="AX18" i="16" s="1"/>
  <c r="AX19" i="16" s="1"/>
  <c r="AX20" i="16" s="1"/>
  <c r="AX21" i="16" s="1"/>
  <c r="AX22" i="16" s="1"/>
  <c r="AX23" i="16" s="1"/>
  <c r="AX24" i="16" s="1"/>
  <c r="AX25" i="16" s="1"/>
  <c r="AX26" i="16" s="1"/>
  <c r="AX27" i="16" s="1"/>
  <c r="Z14" i="16"/>
  <c r="Z15" i="16" s="1"/>
  <c r="Z16" i="16" s="1"/>
  <c r="Z17" i="16" s="1"/>
  <c r="Z18" i="16" s="1"/>
  <c r="Z19" i="16" s="1"/>
  <c r="Z20" i="16" s="1"/>
  <c r="Z21" i="16" s="1"/>
  <c r="Z22" i="16" s="1"/>
  <c r="Z23" i="16" s="1"/>
  <c r="Z24" i="16" s="1"/>
  <c r="Z25" i="16" s="1"/>
  <c r="Z26" i="16" s="1"/>
  <c r="Z27" i="16" s="1"/>
  <c r="Z40" i="16"/>
  <c r="Z41" i="16" s="1"/>
  <c r="Z42" i="16" s="1"/>
  <c r="Z43" i="16" s="1"/>
  <c r="Z44" i="16" s="1"/>
  <c r="Z45" i="16" s="1"/>
  <c r="Z46" i="16" s="1"/>
  <c r="Z47" i="16" s="1"/>
  <c r="Z48" i="16" s="1"/>
  <c r="Z49" i="16" s="1"/>
  <c r="Z50" i="16" s="1"/>
  <c r="Z51" i="16" s="1"/>
  <c r="Z52" i="16" s="1"/>
  <c r="Z53" i="16" s="1"/>
  <c r="AB65" i="16"/>
  <c r="AB66" i="16" s="1"/>
  <c r="AB67" i="16" s="1"/>
  <c r="AB68" i="16" s="1"/>
  <c r="AB69" i="16" s="1"/>
  <c r="AB70" i="16" s="1"/>
  <c r="AB71" i="16" s="1"/>
  <c r="AB72" i="16" s="1"/>
  <c r="AB73" i="16" s="1"/>
  <c r="AB74" i="16" s="1"/>
  <c r="AB75" i="16" s="1"/>
  <c r="AB76" i="16" s="1"/>
  <c r="AB77" i="16" s="1"/>
  <c r="AB78" i="16" s="1"/>
  <c r="Z90" i="16"/>
  <c r="Z91" i="16" s="1"/>
  <c r="Z92" i="16" s="1"/>
  <c r="Z93" i="16" s="1"/>
  <c r="Z94" i="16" s="1"/>
  <c r="Z95" i="16" s="1"/>
  <c r="Z96" i="16" s="1"/>
  <c r="Z97" i="16" s="1"/>
  <c r="Z98" i="16" s="1"/>
  <c r="Z99" i="16" s="1"/>
  <c r="Z100" i="16" s="1"/>
  <c r="Z101" i="16" s="1"/>
  <c r="Z102" i="16" s="1"/>
  <c r="Z103" i="16" s="1"/>
  <c r="Z115" i="16"/>
  <c r="Z116" i="16" s="1"/>
  <c r="Z117" i="16" s="1"/>
  <c r="Z118" i="16" s="1"/>
  <c r="Z119" i="16" s="1"/>
  <c r="Z120" i="16" s="1"/>
  <c r="Z121" i="16" s="1"/>
  <c r="Z122" i="16" s="1"/>
  <c r="Z123" i="16" s="1"/>
  <c r="Z124" i="16" s="1"/>
  <c r="Z125" i="16" s="1"/>
  <c r="Z126" i="16" s="1"/>
  <c r="Z127" i="16" s="1"/>
  <c r="Z128" i="16" s="1"/>
  <c r="B115" i="16"/>
  <c r="B116" i="16" s="1"/>
  <c r="B117" i="16" s="1"/>
  <c r="B118" i="16" s="1"/>
  <c r="B119" i="16" s="1"/>
  <c r="B120" i="16" s="1"/>
  <c r="B121" i="16" s="1"/>
  <c r="B122" i="16" s="1"/>
  <c r="B123" i="16" s="1"/>
  <c r="B124" i="16" s="1"/>
  <c r="B125" i="16" s="1"/>
  <c r="B126" i="16" s="1"/>
  <c r="B127" i="16" s="1"/>
  <c r="B128" i="16" s="1"/>
  <c r="B90" i="16"/>
  <c r="B91" i="16" s="1"/>
  <c r="B92" i="16" s="1"/>
  <c r="B93" i="16" s="1"/>
  <c r="B94" i="16" s="1"/>
  <c r="B95" i="16" s="1"/>
  <c r="B96" i="16" s="1"/>
  <c r="B97" i="16" s="1"/>
  <c r="B98" i="16" s="1"/>
  <c r="B99" i="16" s="1"/>
  <c r="B100" i="16" s="1"/>
  <c r="B101" i="16" s="1"/>
  <c r="B102" i="16" s="1"/>
  <c r="B103" i="16" s="1"/>
  <c r="B65" i="16"/>
  <c r="B66" i="16" s="1"/>
  <c r="B67" i="16" s="1"/>
  <c r="B68" i="16" s="1"/>
  <c r="B69" i="16" s="1"/>
  <c r="B70" i="16" s="1"/>
  <c r="B71" i="16" s="1"/>
  <c r="B72" i="16" s="1"/>
  <c r="B73" i="16" s="1"/>
  <c r="B74" i="16" s="1"/>
  <c r="B75" i="16" s="1"/>
  <c r="B76" i="16" s="1"/>
  <c r="B77" i="16" s="1"/>
  <c r="B78" i="16" s="1"/>
  <c r="B40" i="16"/>
  <c r="B41" i="16" s="1"/>
  <c r="B42" i="16" s="1"/>
  <c r="B43" i="16" s="1"/>
  <c r="B44" i="16" s="1"/>
  <c r="B45" i="16" s="1"/>
  <c r="B46" i="16" s="1"/>
  <c r="B47" i="16" s="1"/>
  <c r="B48" i="16" s="1"/>
  <c r="B49" i="16" s="1"/>
  <c r="B50" i="16" s="1"/>
  <c r="B51" i="16" s="1"/>
  <c r="B52" i="16" s="1"/>
  <c r="B53" i="16" s="1"/>
  <c r="B14" i="16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CT115" i="15"/>
  <c r="CT116" i="15" s="1"/>
  <c r="CT117" i="15" s="1"/>
  <c r="CT118" i="15" s="1"/>
  <c r="CT119" i="15" s="1"/>
  <c r="CT120" i="15" s="1"/>
  <c r="CT121" i="15" s="1"/>
  <c r="CT122" i="15" s="1"/>
  <c r="CT123" i="15" s="1"/>
  <c r="CT124" i="15" s="1"/>
  <c r="CT125" i="15" s="1"/>
  <c r="CT126" i="15" s="1"/>
  <c r="CT127" i="15" s="1"/>
  <c r="CT128" i="15" s="1"/>
  <c r="CT90" i="15"/>
  <c r="CT91" i="15" s="1"/>
  <c r="CT92" i="15" s="1"/>
  <c r="CT93" i="15" s="1"/>
  <c r="CT94" i="15" s="1"/>
  <c r="CT95" i="15" s="1"/>
  <c r="CT96" i="15" s="1"/>
  <c r="CT97" i="15" s="1"/>
  <c r="CT98" i="15" s="1"/>
  <c r="CT99" i="15" s="1"/>
  <c r="CT100" i="15" s="1"/>
  <c r="CT101" i="15" s="1"/>
  <c r="CT102" i="15" s="1"/>
  <c r="CT103" i="15" s="1"/>
  <c r="DB65" i="15"/>
  <c r="DB66" i="15" s="1"/>
  <c r="DB67" i="15" s="1"/>
  <c r="DB68" i="15" s="1"/>
  <c r="DB69" i="15" s="1"/>
  <c r="DB70" i="15" s="1"/>
  <c r="DB71" i="15" s="1"/>
  <c r="DB72" i="15" s="1"/>
  <c r="DB73" i="15" s="1"/>
  <c r="DB74" i="15" s="1"/>
  <c r="DB75" i="15" s="1"/>
  <c r="DB76" i="15" s="1"/>
  <c r="DB77" i="15" s="1"/>
  <c r="DB78" i="15" s="1"/>
  <c r="CT40" i="15"/>
  <c r="CT41" i="15" s="1"/>
  <c r="CT42" i="15" s="1"/>
  <c r="CT43" i="15" s="1"/>
  <c r="CT44" i="15" s="1"/>
  <c r="CT45" i="15" s="1"/>
  <c r="CT46" i="15" s="1"/>
  <c r="CT47" i="15" s="1"/>
  <c r="CT48" i="15" s="1"/>
  <c r="CT49" i="15" s="1"/>
  <c r="CT50" i="15" s="1"/>
  <c r="CT51" i="15" s="1"/>
  <c r="CT52" i="15" s="1"/>
  <c r="CT53" i="15" s="1"/>
  <c r="CT14" i="15"/>
  <c r="CT15" i="15" s="1"/>
  <c r="CT16" i="15" s="1"/>
  <c r="CT17" i="15" s="1"/>
  <c r="CT18" i="15" s="1"/>
  <c r="CT19" i="15" s="1"/>
  <c r="CT20" i="15" s="1"/>
  <c r="CT21" i="15" s="1"/>
  <c r="CT22" i="15" s="1"/>
  <c r="CT23" i="15" s="1"/>
  <c r="CT24" i="15" s="1"/>
  <c r="CT25" i="15" s="1"/>
  <c r="CT26" i="15" s="1"/>
  <c r="CT27" i="15" s="1"/>
  <c r="BV14" i="15"/>
  <c r="BV15" i="15" s="1"/>
  <c r="BV16" i="15" s="1"/>
  <c r="BV17" i="15" s="1"/>
  <c r="BV18" i="15" s="1"/>
  <c r="BV19" i="15" s="1"/>
  <c r="BV20" i="15" s="1"/>
  <c r="BV21" i="15" s="1"/>
  <c r="BV22" i="15" s="1"/>
  <c r="BV23" i="15" s="1"/>
  <c r="BV24" i="15" s="1"/>
  <c r="BV25" i="15" s="1"/>
  <c r="BV26" i="15" s="1"/>
  <c r="BV27" i="15" s="1"/>
  <c r="BV40" i="15"/>
  <c r="BV41" i="15" s="1"/>
  <c r="BV42" i="15" s="1"/>
  <c r="BV43" i="15" s="1"/>
  <c r="BV44" i="15" s="1"/>
  <c r="BV45" i="15" s="1"/>
  <c r="BV46" i="15" s="1"/>
  <c r="BV47" i="15" s="1"/>
  <c r="BV48" i="15" s="1"/>
  <c r="BV49" i="15" s="1"/>
  <c r="BV50" i="15" s="1"/>
  <c r="BV51" i="15" s="1"/>
  <c r="BV52" i="15" s="1"/>
  <c r="BV53" i="15" s="1"/>
  <c r="CB65" i="15"/>
  <c r="CB66" i="15" s="1"/>
  <c r="CB67" i="15" s="1"/>
  <c r="CB68" i="15" s="1"/>
  <c r="CB69" i="15" s="1"/>
  <c r="CB70" i="15" s="1"/>
  <c r="CB71" i="15" s="1"/>
  <c r="CB72" i="15" s="1"/>
  <c r="CB73" i="15" s="1"/>
  <c r="CB74" i="15" s="1"/>
  <c r="CB75" i="15" s="1"/>
  <c r="CB76" i="15" s="1"/>
  <c r="CB77" i="15" s="1"/>
  <c r="CB78" i="15" s="1"/>
  <c r="BV90" i="15"/>
  <c r="BV91" i="15" s="1"/>
  <c r="BV92" i="15" s="1"/>
  <c r="BV93" i="15" s="1"/>
  <c r="BV94" i="15" s="1"/>
  <c r="BV95" i="15" s="1"/>
  <c r="BV96" i="15" s="1"/>
  <c r="BV97" i="15" s="1"/>
  <c r="BV98" i="15" s="1"/>
  <c r="BV99" i="15" s="1"/>
  <c r="BV100" i="15" s="1"/>
  <c r="BV101" i="15" s="1"/>
  <c r="BV102" i="15" s="1"/>
  <c r="BV103" i="15" s="1"/>
  <c r="BV115" i="15"/>
  <c r="BV116" i="15" s="1"/>
  <c r="BV117" i="15" s="1"/>
  <c r="BV118" i="15" s="1"/>
  <c r="BV119" i="15" s="1"/>
  <c r="BV120" i="15" s="1"/>
  <c r="BV121" i="15" s="1"/>
  <c r="BV122" i="15" s="1"/>
  <c r="BV123" i="15" s="1"/>
  <c r="BV124" i="15" s="1"/>
  <c r="BV125" i="15" s="1"/>
  <c r="BV126" i="15" s="1"/>
  <c r="BV127" i="15" s="1"/>
  <c r="BV128" i="15" s="1"/>
  <c r="AX115" i="15"/>
  <c r="AX116" i="15" s="1"/>
  <c r="AX117" i="15" s="1"/>
  <c r="AX118" i="15" s="1"/>
  <c r="AX119" i="15" s="1"/>
  <c r="AX120" i="15" s="1"/>
  <c r="AX121" i="15" s="1"/>
  <c r="AX122" i="15" s="1"/>
  <c r="AX123" i="15" s="1"/>
  <c r="AX124" i="15" s="1"/>
  <c r="AX125" i="15" s="1"/>
  <c r="AX126" i="15" s="1"/>
  <c r="AX127" i="15" s="1"/>
  <c r="AX128" i="15" s="1"/>
  <c r="AX90" i="15"/>
  <c r="AX91" i="15" s="1"/>
  <c r="AX92" i="15" s="1"/>
  <c r="AX93" i="15" s="1"/>
  <c r="AX94" i="15" s="1"/>
  <c r="AX95" i="15" s="1"/>
  <c r="AX96" i="15" s="1"/>
  <c r="AX97" i="15" s="1"/>
  <c r="AX98" i="15" s="1"/>
  <c r="AX99" i="15" s="1"/>
  <c r="AX100" i="15" s="1"/>
  <c r="AX101" i="15" s="1"/>
  <c r="AX102" i="15" s="1"/>
  <c r="AX103" i="15" s="1"/>
  <c r="BB65" i="15"/>
  <c r="BB66" i="15" s="1"/>
  <c r="BB67" i="15" s="1"/>
  <c r="BB68" i="15" s="1"/>
  <c r="BB69" i="15" s="1"/>
  <c r="BB70" i="15" s="1"/>
  <c r="BB71" i="15" s="1"/>
  <c r="BB72" i="15" s="1"/>
  <c r="BB73" i="15" s="1"/>
  <c r="BB74" i="15" s="1"/>
  <c r="BB75" i="15" s="1"/>
  <c r="BB76" i="15" s="1"/>
  <c r="BB77" i="15" s="1"/>
  <c r="BB78" i="15" s="1"/>
  <c r="AX40" i="15"/>
  <c r="AX41" i="15" s="1"/>
  <c r="AX42" i="15" s="1"/>
  <c r="AX43" i="15" s="1"/>
  <c r="AX44" i="15" s="1"/>
  <c r="AX45" i="15" s="1"/>
  <c r="AX46" i="15" s="1"/>
  <c r="AX47" i="15" s="1"/>
  <c r="AX48" i="15" s="1"/>
  <c r="AX49" i="15" s="1"/>
  <c r="AX50" i="15" s="1"/>
  <c r="AX51" i="15" s="1"/>
  <c r="AX52" i="15" s="1"/>
  <c r="AX53" i="15" s="1"/>
  <c r="AX14" i="15"/>
  <c r="AX15" i="15" s="1"/>
  <c r="AX16" i="15" s="1"/>
  <c r="AX17" i="15" s="1"/>
  <c r="AX18" i="15" s="1"/>
  <c r="AX19" i="15" s="1"/>
  <c r="AX20" i="15" s="1"/>
  <c r="AX21" i="15" s="1"/>
  <c r="AX22" i="15" s="1"/>
  <c r="AX23" i="15" s="1"/>
  <c r="AX24" i="15" s="1"/>
  <c r="AX25" i="15" s="1"/>
  <c r="AX26" i="15" s="1"/>
  <c r="AX27" i="15" s="1"/>
  <c r="Z14" i="15"/>
  <c r="Z15" i="15" s="1"/>
  <c r="Z16" i="15" s="1"/>
  <c r="Z17" i="15" s="1"/>
  <c r="Z18" i="15" s="1"/>
  <c r="Z19" i="15" s="1"/>
  <c r="Z20" i="15" s="1"/>
  <c r="Z21" i="15" s="1"/>
  <c r="Z22" i="15" s="1"/>
  <c r="Z23" i="15" s="1"/>
  <c r="Z24" i="15" s="1"/>
  <c r="Z25" i="15" s="1"/>
  <c r="Z26" i="15" s="1"/>
  <c r="Z27" i="15" s="1"/>
  <c r="Z40" i="15"/>
  <c r="Z41" i="15" s="1"/>
  <c r="Z42" i="15" s="1"/>
  <c r="Z43" i="15" s="1"/>
  <c r="Z44" i="15" s="1"/>
  <c r="Z45" i="15" s="1"/>
  <c r="Z46" i="15" s="1"/>
  <c r="Z47" i="15" s="1"/>
  <c r="Z48" i="15" s="1"/>
  <c r="Z49" i="15" s="1"/>
  <c r="Z50" i="15" s="1"/>
  <c r="Z51" i="15" s="1"/>
  <c r="Z52" i="15" s="1"/>
  <c r="Z53" i="15" s="1"/>
  <c r="AB65" i="15"/>
  <c r="AB66" i="15" s="1"/>
  <c r="AB67" i="15" s="1"/>
  <c r="AB68" i="15" s="1"/>
  <c r="AB69" i="15" s="1"/>
  <c r="AB70" i="15" s="1"/>
  <c r="AB71" i="15" s="1"/>
  <c r="AB72" i="15" s="1"/>
  <c r="AB73" i="15" s="1"/>
  <c r="AB74" i="15" s="1"/>
  <c r="AB75" i="15" s="1"/>
  <c r="AB76" i="15" s="1"/>
  <c r="AB77" i="15" s="1"/>
  <c r="AB78" i="15" s="1"/>
  <c r="Z90" i="15"/>
  <c r="Z91" i="15" s="1"/>
  <c r="Z92" i="15" s="1"/>
  <c r="Z93" i="15" s="1"/>
  <c r="Z94" i="15" s="1"/>
  <c r="Z95" i="15" s="1"/>
  <c r="Z96" i="15" s="1"/>
  <c r="Z97" i="15" s="1"/>
  <c r="Z98" i="15" s="1"/>
  <c r="Z99" i="15" s="1"/>
  <c r="Z100" i="15" s="1"/>
  <c r="Z101" i="15" s="1"/>
  <c r="Z102" i="15" s="1"/>
  <c r="Z103" i="15" s="1"/>
  <c r="Z115" i="15"/>
  <c r="Z116" i="15" s="1"/>
  <c r="Z117" i="15" s="1"/>
  <c r="Z118" i="15" s="1"/>
  <c r="Z119" i="15" s="1"/>
  <c r="Z120" i="15" s="1"/>
  <c r="Z121" i="15" s="1"/>
  <c r="Z122" i="15" s="1"/>
  <c r="Z123" i="15" s="1"/>
  <c r="Z124" i="15" s="1"/>
  <c r="Z125" i="15" s="1"/>
  <c r="Z126" i="15" s="1"/>
  <c r="Z127" i="15" s="1"/>
  <c r="Z128" i="15" s="1"/>
  <c r="B115" i="15"/>
  <c r="B116" i="15" s="1"/>
  <c r="B117" i="15" s="1"/>
  <c r="B118" i="15" s="1"/>
  <c r="B119" i="15" s="1"/>
  <c r="B120" i="15" s="1"/>
  <c r="B121" i="15" s="1"/>
  <c r="B122" i="15" s="1"/>
  <c r="B123" i="15" s="1"/>
  <c r="B124" i="15" s="1"/>
  <c r="B125" i="15" s="1"/>
  <c r="B126" i="15" s="1"/>
  <c r="B127" i="15" s="1"/>
  <c r="B128" i="15" s="1"/>
  <c r="B90" i="15"/>
  <c r="B91" i="15" s="1"/>
  <c r="B92" i="15" s="1"/>
  <c r="B93" i="15" s="1"/>
  <c r="B94" i="15" s="1"/>
  <c r="B95" i="15" s="1"/>
  <c r="B96" i="15" s="1"/>
  <c r="B97" i="15" s="1"/>
  <c r="B98" i="15" s="1"/>
  <c r="B99" i="15" s="1"/>
  <c r="B100" i="15" s="1"/>
  <c r="B101" i="15" s="1"/>
  <c r="B102" i="15" s="1"/>
  <c r="B103" i="15" s="1"/>
  <c r="B65" i="15"/>
  <c r="B66" i="15" s="1"/>
  <c r="B67" i="15" s="1"/>
  <c r="B68" i="15" s="1"/>
  <c r="B69" i="15" s="1"/>
  <c r="B70" i="15" s="1"/>
  <c r="B71" i="15" s="1"/>
  <c r="B72" i="15" s="1"/>
  <c r="B73" i="15" s="1"/>
  <c r="B74" i="15" s="1"/>
  <c r="B75" i="15" s="1"/>
  <c r="B76" i="15" s="1"/>
  <c r="B77" i="15" s="1"/>
  <c r="B78" i="15" s="1"/>
  <c r="B40" i="15"/>
  <c r="B41" i="15" s="1"/>
  <c r="B42" i="15" s="1"/>
  <c r="B43" i="15" s="1"/>
  <c r="B44" i="15" s="1"/>
  <c r="B45" i="15" s="1"/>
  <c r="B46" i="15" s="1"/>
  <c r="B47" i="15" s="1"/>
  <c r="B48" i="15" s="1"/>
  <c r="B49" i="15" s="1"/>
  <c r="B50" i="15" s="1"/>
  <c r="B51" i="15" s="1"/>
  <c r="B52" i="15" s="1"/>
  <c r="B53" i="15" s="1"/>
  <c r="B14" i="15"/>
  <c r="B15" i="15" s="1"/>
  <c r="B16" i="15" s="1"/>
  <c r="B17" i="15" s="1"/>
  <c r="B18" i="15" s="1"/>
  <c r="B19" i="15" s="1"/>
  <c r="B20" i="15" s="1"/>
  <c r="B21" i="15" s="1"/>
  <c r="B22" i="15" s="1"/>
  <c r="B23" i="15" s="1"/>
  <c r="B24" i="15" s="1"/>
  <c r="B25" i="15" s="1"/>
  <c r="B26" i="15" s="1"/>
  <c r="B27" i="15" s="1"/>
  <c r="CT14" i="14"/>
  <c r="CT15" i="14" s="1"/>
  <c r="CT16" i="14" s="1"/>
  <c r="CT17" i="14" s="1"/>
  <c r="CT18" i="14" s="1"/>
  <c r="CT19" i="14" s="1"/>
  <c r="CT20" i="14" s="1"/>
  <c r="CT21" i="14" s="1"/>
  <c r="CT22" i="14" s="1"/>
  <c r="CT23" i="14" s="1"/>
  <c r="CT24" i="14" s="1"/>
  <c r="CT25" i="14" s="1"/>
  <c r="CT26" i="14" s="1"/>
  <c r="CT27" i="14" s="1"/>
  <c r="CT40" i="14"/>
  <c r="CT41" i="14" s="1"/>
  <c r="CT42" i="14" s="1"/>
  <c r="CT43" i="14" s="1"/>
  <c r="CT44" i="14" s="1"/>
  <c r="CT45" i="14" s="1"/>
  <c r="CT46" i="14" s="1"/>
  <c r="CT47" i="14" s="1"/>
  <c r="CT48" i="14" s="1"/>
  <c r="CT49" i="14" s="1"/>
  <c r="CT50" i="14" s="1"/>
  <c r="CT51" i="14" s="1"/>
  <c r="CT52" i="14" s="1"/>
  <c r="CT53" i="14" s="1"/>
  <c r="DB65" i="14"/>
  <c r="DB66" i="14" s="1"/>
  <c r="DB67" i="14" s="1"/>
  <c r="DB68" i="14" s="1"/>
  <c r="DB69" i="14" s="1"/>
  <c r="DB70" i="14" s="1"/>
  <c r="DB71" i="14" s="1"/>
  <c r="DB72" i="14" s="1"/>
  <c r="DB73" i="14" s="1"/>
  <c r="DB74" i="14" s="1"/>
  <c r="DB75" i="14" s="1"/>
  <c r="DB76" i="14" s="1"/>
  <c r="DB77" i="14" s="1"/>
  <c r="DB78" i="14" s="1"/>
  <c r="CT90" i="14"/>
  <c r="CT91" i="14" s="1"/>
  <c r="CT92" i="14" s="1"/>
  <c r="CT93" i="14" s="1"/>
  <c r="CT94" i="14" s="1"/>
  <c r="CT95" i="14" s="1"/>
  <c r="CT96" i="14" s="1"/>
  <c r="CT97" i="14" s="1"/>
  <c r="CT98" i="14" s="1"/>
  <c r="CT99" i="14" s="1"/>
  <c r="CT100" i="14" s="1"/>
  <c r="CT101" i="14" s="1"/>
  <c r="CT102" i="14" s="1"/>
  <c r="CT103" i="14" s="1"/>
  <c r="CT115" i="14"/>
  <c r="CT116" i="14" s="1"/>
  <c r="CT117" i="14" s="1"/>
  <c r="CT118" i="14" s="1"/>
  <c r="CT119" i="14" s="1"/>
  <c r="CT120" i="14" s="1"/>
  <c r="CT121" i="14" s="1"/>
  <c r="CT122" i="14" s="1"/>
  <c r="CT123" i="14" s="1"/>
  <c r="CT124" i="14" s="1"/>
  <c r="CT125" i="14" s="1"/>
  <c r="CT126" i="14" s="1"/>
  <c r="CT127" i="14" s="1"/>
  <c r="CT128" i="14" s="1"/>
  <c r="BV115" i="14"/>
  <c r="BV116" i="14" s="1"/>
  <c r="BV117" i="14" s="1"/>
  <c r="BV118" i="14" s="1"/>
  <c r="BV119" i="14" s="1"/>
  <c r="BV120" i="14" s="1"/>
  <c r="BV121" i="14" s="1"/>
  <c r="BV122" i="14" s="1"/>
  <c r="BV123" i="14" s="1"/>
  <c r="BV124" i="14" s="1"/>
  <c r="BV125" i="14" s="1"/>
  <c r="BV126" i="14" s="1"/>
  <c r="BV127" i="14" s="1"/>
  <c r="BV128" i="14" s="1"/>
  <c r="BV90" i="14"/>
  <c r="BV91" i="14" s="1"/>
  <c r="BV92" i="14" s="1"/>
  <c r="BV93" i="14" s="1"/>
  <c r="BV94" i="14" s="1"/>
  <c r="BV95" i="14" s="1"/>
  <c r="BV96" i="14" s="1"/>
  <c r="BV97" i="14" s="1"/>
  <c r="BV98" i="14" s="1"/>
  <c r="BV99" i="14" s="1"/>
  <c r="BV100" i="14" s="1"/>
  <c r="BV101" i="14" s="1"/>
  <c r="BV102" i="14" s="1"/>
  <c r="BV103" i="14" s="1"/>
  <c r="CB65" i="14"/>
  <c r="CB66" i="14" s="1"/>
  <c r="CB67" i="14" s="1"/>
  <c r="CB68" i="14" s="1"/>
  <c r="CB69" i="14" s="1"/>
  <c r="CB70" i="14" s="1"/>
  <c r="CB71" i="14" s="1"/>
  <c r="CB72" i="14" s="1"/>
  <c r="CB73" i="14" s="1"/>
  <c r="CB74" i="14" s="1"/>
  <c r="CB75" i="14" s="1"/>
  <c r="CB76" i="14" s="1"/>
  <c r="CB77" i="14" s="1"/>
  <c r="CB78" i="14" s="1"/>
  <c r="BV40" i="14"/>
  <c r="BV41" i="14" s="1"/>
  <c r="BV42" i="14" s="1"/>
  <c r="BV43" i="14" s="1"/>
  <c r="BV44" i="14" s="1"/>
  <c r="BV45" i="14" s="1"/>
  <c r="BV46" i="14" s="1"/>
  <c r="BV47" i="14" s="1"/>
  <c r="BV48" i="14" s="1"/>
  <c r="BV49" i="14" s="1"/>
  <c r="BV50" i="14" s="1"/>
  <c r="BV51" i="14" s="1"/>
  <c r="BV52" i="14" s="1"/>
  <c r="BV53" i="14" s="1"/>
  <c r="BV14" i="14"/>
  <c r="BV15" i="14" s="1"/>
  <c r="BV16" i="14" s="1"/>
  <c r="BV17" i="14" s="1"/>
  <c r="BV18" i="14" s="1"/>
  <c r="BV19" i="14" s="1"/>
  <c r="BV20" i="14" s="1"/>
  <c r="BV21" i="14" s="1"/>
  <c r="BV22" i="14" s="1"/>
  <c r="BV23" i="14" s="1"/>
  <c r="BV24" i="14" s="1"/>
  <c r="BV25" i="14" s="1"/>
  <c r="BV26" i="14" s="1"/>
  <c r="BV27" i="14" s="1"/>
  <c r="AX115" i="14"/>
  <c r="AX116" i="14" s="1"/>
  <c r="AX117" i="14" s="1"/>
  <c r="AX118" i="14" s="1"/>
  <c r="AX119" i="14" s="1"/>
  <c r="AX120" i="14" s="1"/>
  <c r="AX121" i="14" s="1"/>
  <c r="AX122" i="14" s="1"/>
  <c r="AX123" i="14" s="1"/>
  <c r="AX124" i="14" s="1"/>
  <c r="AX125" i="14" s="1"/>
  <c r="AX126" i="14" s="1"/>
  <c r="AX127" i="14" s="1"/>
  <c r="AX128" i="14" s="1"/>
  <c r="AX90" i="14"/>
  <c r="AX91" i="14" s="1"/>
  <c r="AX92" i="14" s="1"/>
  <c r="AX93" i="14" s="1"/>
  <c r="AX94" i="14" s="1"/>
  <c r="AX95" i="14" s="1"/>
  <c r="AX96" i="14" s="1"/>
  <c r="AX97" i="14" s="1"/>
  <c r="AX98" i="14" s="1"/>
  <c r="AX99" i="14" s="1"/>
  <c r="AX100" i="14" s="1"/>
  <c r="AX101" i="14" s="1"/>
  <c r="AX102" i="14" s="1"/>
  <c r="AX103" i="14" s="1"/>
  <c r="BB65" i="14"/>
  <c r="BB66" i="14" s="1"/>
  <c r="BB67" i="14" s="1"/>
  <c r="BB68" i="14" s="1"/>
  <c r="BB69" i="14" s="1"/>
  <c r="BB70" i="14" s="1"/>
  <c r="BB71" i="14" s="1"/>
  <c r="BB72" i="14" s="1"/>
  <c r="BB73" i="14" s="1"/>
  <c r="BB74" i="14" s="1"/>
  <c r="BB75" i="14" s="1"/>
  <c r="BB76" i="14" s="1"/>
  <c r="BB77" i="14" s="1"/>
  <c r="BB78" i="14" s="1"/>
  <c r="AX40" i="14"/>
  <c r="AX41" i="14" s="1"/>
  <c r="AX42" i="14" s="1"/>
  <c r="AX43" i="14" s="1"/>
  <c r="AX44" i="14" s="1"/>
  <c r="AX45" i="14" s="1"/>
  <c r="AX46" i="14" s="1"/>
  <c r="AX47" i="14" s="1"/>
  <c r="AX48" i="14" s="1"/>
  <c r="AX49" i="14" s="1"/>
  <c r="AX50" i="14" s="1"/>
  <c r="AX51" i="14" s="1"/>
  <c r="AX52" i="14" s="1"/>
  <c r="AX53" i="14" s="1"/>
  <c r="AX14" i="14"/>
  <c r="AX15" i="14" s="1"/>
  <c r="AX16" i="14" s="1"/>
  <c r="AX17" i="14" s="1"/>
  <c r="AX18" i="14" s="1"/>
  <c r="AX19" i="14" s="1"/>
  <c r="AX20" i="14" s="1"/>
  <c r="AX21" i="14" s="1"/>
  <c r="AX22" i="14" s="1"/>
  <c r="AX23" i="14" s="1"/>
  <c r="AX24" i="14" s="1"/>
  <c r="AX25" i="14" s="1"/>
  <c r="AX26" i="14" s="1"/>
  <c r="AX27" i="14" s="1"/>
  <c r="Z14" i="14"/>
  <c r="Z15" i="14" s="1"/>
  <c r="Z16" i="14" s="1"/>
  <c r="Z17" i="14" s="1"/>
  <c r="Z18" i="14" s="1"/>
  <c r="Z19" i="14" s="1"/>
  <c r="Z20" i="14" s="1"/>
  <c r="Z21" i="14" s="1"/>
  <c r="Z22" i="14" s="1"/>
  <c r="Z23" i="14" s="1"/>
  <c r="Z24" i="14" s="1"/>
  <c r="Z25" i="14" s="1"/>
  <c r="Z26" i="14" s="1"/>
  <c r="Z27" i="14" s="1"/>
  <c r="Z40" i="14"/>
  <c r="Z41" i="14" s="1"/>
  <c r="Z42" i="14" s="1"/>
  <c r="Z43" i="14" s="1"/>
  <c r="Z44" i="14" s="1"/>
  <c r="Z45" i="14" s="1"/>
  <c r="Z46" i="14" s="1"/>
  <c r="Z47" i="14" s="1"/>
  <c r="Z48" i="14" s="1"/>
  <c r="Z49" i="14" s="1"/>
  <c r="Z50" i="14" s="1"/>
  <c r="Z51" i="14" s="1"/>
  <c r="Z52" i="14" s="1"/>
  <c r="Z53" i="14" s="1"/>
  <c r="AB65" i="14"/>
  <c r="AB66" i="14" s="1"/>
  <c r="AB67" i="14" s="1"/>
  <c r="AB68" i="14" s="1"/>
  <c r="AB69" i="14" s="1"/>
  <c r="AB70" i="14" s="1"/>
  <c r="AB71" i="14" s="1"/>
  <c r="AB72" i="14" s="1"/>
  <c r="AB73" i="14" s="1"/>
  <c r="AB74" i="14" s="1"/>
  <c r="AB75" i="14" s="1"/>
  <c r="AB76" i="14" s="1"/>
  <c r="AB77" i="14" s="1"/>
  <c r="AB78" i="14" s="1"/>
  <c r="Z90" i="14"/>
  <c r="Z91" i="14" s="1"/>
  <c r="Z92" i="14" s="1"/>
  <c r="Z93" i="14" s="1"/>
  <c r="Z94" i="14" s="1"/>
  <c r="Z95" i="14" s="1"/>
  <c r="Z96" i="14" s="1"/>
  <c r="Z97" i="14" s="1"/>
  <c r="Z98" i="14" s="1"/>
  <c r="Z99" i="14" s="1"/>
  <c r="Z100" i="14" s="1"/>
  <c r="Z101" i="14" s="1"/>
  <c r="Z102" i="14" s="1"/>
  <c r="Z103" i="14" s="1"/>
  <c r="Z115" i="14"/>
  <c r="Z116" i="14" s="1"/>
  <c r="Z117" i="14" s="1"/>
  <c r="Z118" i="14" s="1"/>
  <c r="Z119" i="14" s="1"/>
  <c r="Z120" i="14" s="1"/>
  <c r="Z121" i="14" s="1"/>
  <c r="Z122" i="14" s="1"/>
  <c r="Z123" i="14" s="1"/>
  <c r="Z124" i="14" s="1"/>
  <c r="Z125" i="14" s="1"/>
  <c r="Z126" i="14" s="1"/>
  <c r="Z127" i="14" s="1"/>
  <c r="Z128" i="14" s="1"/>
  <c r="B115" i="14"/>
  <c r="B116" i="14" s="1"/>
  <c r="B117" i="14" s="1"/>
  <c r="B118" i="14" s="1"/>
  <c r="B119" i="14" s="1"/>
  <c r="B120" i="14" s="1"/>
  <c r="B121" i="14" s="1"/>
  <c r="B122" i="14" s="1"/>
  <c r="B123" i="14" s="1"/>
  <c r="B124" i="14" s="1"/>
  <c r="B125" i="14" s="1"/>
  <c r="B126" i="14" s="1"/>
  <c r="B127" i="14" s="1"/>
  <c r="B128" i="14" s="1"/>
  <c r="B90" i="14"/>
  <c r="B91" i="14" s="1"/>
  <c r="B92" i="14" s="1"/>
  <c r="B93" i="14" s="1"/>
  <c r="B94" i="14" s="1"/>
  <c r="B95" i="14" s="1"/>
  <c r="B96" i="14" s="1"/>
  <c r="B97" i="14" s="1"/>
  <c r="B98" i="14" s="1"/>
  <c r="B99" i="14" s="1"/>
  <c r="B100" i="14" s="1"/>
  <c r="B101" i="14" s="1"/>
  <c r="B102" i="14" s="1"/>
  <c r="B103" i="14" s="1"/>
  <c r="B65" i="14"/>
  <c r="B66" i="14" s="1"/>
  <c r="B67" i="14" s="1"/>
  <c r="B68" i="14" s="1"/>
  <c r="B69" i="14" s="1"/>
  <c r="B70" i="14" s="1"/>
  <c r="B71" i="14" s="1"/>
  <c r="B72" i="14" s="1"/>
  <c r="B73" i="14" s="1"/>
  <c r="B74" i="14" s="1"/>
  <c r="B75" i="14" s="1"/>
  <c r="B76" i="14" s="1"/>
  <c r="B77" i="14" s="1"/>
  <c r="B78" i="14" s="1"/>
  <c r="B40" i="14"/>
  <c r="B41" i="14" s="1"/>
  <c r="B42" i="14" s="1"/>
  <c r="B43" i="14" s="1"/>
  <c r="B44" i="14" s="1"/>
  <c r="B45" i="14" s="1"/>
  <c r="B46" i="14" s="1"/>
  <c r="B47" i="14" s="1"/>
  <c r="B48" i="14" s="1"/>
  <c r="B49" i="14" s="1"/>
  <c r="B50" i="14" s="1"/>
  <c r="B51" i="14" s="1"/>
  <c r="B52" i="14" s="1"/>
  <c r="B53" i="14" s="1"/>
  <c r="B14" i="14"/>
  <c r="B15" i="14" s="1"/>
  <c r="B16" i="14" s="1"/>
  <c r="B17" i="14" s="1"/>
  <c r="B18" i="14" s="1"/>
  <c r="B19" i="14" s="1"/>
  <c r="B20" i="14" s="1"/>
  <c r="B21" i="14" s="1"/>
  <c r="B22" i="14" s="1"/>
  <c r="B23" i="14" s="1"/>
  <c r="B24" i="14" s="1"/>
  <c r="B25" i="14" s="1"/>
  <c r="B26" i="14" s="1"/>
  <c r="B27" i="14" s="1"/>
  <c r="CT14" i="13"/>
  <c r="CT15" i="13" s="1"/>
  <c r="CT16" i="13" s="1"/>
  <c r="CT17" i="13" s="1"/>
  <c r="CT18" i="13" s="1"/>
  <c r="CT19" i="13" s="1"/>
  <c r="CT20" i="13" s="1"/>
  <c r="CT21" i="13" s="1"/>
  <c r="CT22" i="13" s="1"/>
  <c r="CT23" i="13" s="1"/>
  <c r="CT24" i="13" s="1"/>
  <c r="CT25" i="13" s="1"/>
  <c r="CT26" i="13" s="1"/>
  <c r="CT27" i="13" s="1"/>
  <c r="CT40" i="13"/>
  <c r="CT41" i="13" s="1"/>
  <c r="CT42" i="13" s="1"/>
  <c r="CT43" i="13" s="1"/>
  <c r="CT44" i="13" s="1"/>
  <c r="CT45" i="13" s="1"/>
  <c r="CT46" i="13" s="1"/>
  <c r="CT47" i="13" s="1"/>
  <c r="CT48" i="13" s="1"/>
  <c r="CT49" i="13" s="1"/>
  <c r="CT50" i="13" s="1"/>
  <c r="CT51" i="13" s="1"/>
  <c r="CT52" i="13" s="1"/>
  <c r="CT53" i="13" s="1"/>
  <c r="DB65" i="13"/>
  <c r="DB66" i="13" s="1"/>
  <c r="DB67" i="13" s="1"/>
  <c r="DB68" i="13" s="1"/>
  <c r="DB69" i="13" s="1"/>
  <c r="DB70" i="13" s="1"/>
  <c r="DB71" i="13" s="1"/>
  <c r="DB72" i="13" s="1"/>
  <c r="DB73" i="13" s="1"/>
  <c r="DB74" i="13" s="1"/>
  <c r="DB75" i="13" s="1"/>
  <c r="DB76" i="13" s="1"/>
  <c r="DB77" i="13" s="1"/>
  <c r="DB78" i="13" s="1"/>
  <c r="CT90" i="13"/>
  <c r="CT91" i="13" s="1"/>
  <c r="CT92" i="13" s="1"/>
  <c r="CT93" i="13" s="1"/>
  <c r="CT94" i="13" s="1"/>
  <c r="CT95" i="13" s="1"/>
  <c r="CT96" i="13" s="1"/>
  <c r="CT97" i="13" s="1"/>
  <c r="CT98" i="13" s="1"/>
  <c r="CT99" i="13" s="1"/>
  <c r="CT100" i="13" s="1"/>
  <c r="CT101" i="13" s="1"/>
  <c r="CT102" i="13" s="1"/>
  <c r="CT103" i="13" s="1"/>
  <c r="D8" i="5" l="1"/>
  <c r="F58" i="5" l="1"/>
  <c r="E58" i="5"/>
  <c r="G58" i="5"/>
  <c r="D58" i="5"/>
  <c r="CT114" i="16"/>
  <c r="CT115" i="16" s="1"/>
  <c r="CT116" i="16" s="1"/>
  <c r="CT117" i="16" s="1"/>
  <c r="CT118" i="16" s="1"/>
  <c r="CT119" i="16" s="1"/>
  <c r="CT115" i="13"/>
  <c r="CT116" i="13" s="1"/>
  <c r="CT117" i="13" s="1"/>
  <c r="CT118" i="13" s="1"/>
  <c r="CT89" i="16"/>
  <c r="CT90" i="16" s="1"/>
  <c r="CT91" i="16" s="1"/>
  <c r="CT92" i="16" s="1"/>
  <c r="CT93" i="16" s="1"/>
  <c r="CV92" i="13" l="1"/>
  <c r="CV96" i="13"/>
  <c r="CV100" i="13"/>
  <c r="CV88" i="13"/>
  <c r="BX92" i="13"/>
  <c r="BX96" i="13"/>
  <c r="BX100" i="13"/>
  <c r="BX88" i="13"/>
  <c r="AZ92" i="13"/>
  <c r="AZ96" i="13"/>
  <c r="AZ100" i="13"/>
  <c r="AZ88" i="13"/>
  <c r="AB92" i="13"/>
  <c r="AB96" i="13"/>
  <c r="AB100" i="13"/>
  <c r="AB88" i="13"/>
  <c r="D91" i="13"/>
  <c r="D95" i="13"/>
  <c r="D99" i="13"/>
  <c r="D103" i="13"/>
  <c r="CV90" i="13"/>
  <c r="CV98" i="13"/>
  <c r="BX94" i="13"/>
  <c r="BX98" i="13"/>
  <c r="AZ98" i="13"/>
  <c r="AB94" i="13"/>
  <c r="D89" i="13"/>
  <c r="CV89" i="13"/>
  <c r="CV93" i="13"/>
  <c r="CV97" i="13"/>
  <c r="CV101" i="13"/>
  <c r="BX89" i="13"/>
  <c r="BX93" i="13"/>
  <c r="BX97" i="13"/>
  <c r="BX101" i="13"/>
  <c r="AZ89" i="13"/>
  <c r="AZ93" i="13"/>
  <c r="AZ97" i="13"/>
  <c r="AZ101" i="13"/>
  <c r="AB89" i="13"/>
  <c r="AB93" i="13"/>
  <c r="AB97" i="13"/>
  <c r="AB101" i="13"/>
  <c r="D88" i="13"/>
  <c r="D92" i="13"/>
  <c r="D96" i="13"/>
  <c r="D100" i="13"/>
  <c r="CV102" i="13"/>
  <c r="BX102" i="13"/>
  <c r="AZ94" i="13"/>
  <c r="AZ102" i="13"/>
  <c r="AB98" i="13"/>
  <c r="D93" i="13"/>
  <c r="CV91" i="13"/>
  <c r="CV95" i="13"/>
  <c r="CV99" i="13"/>
  <c r="CV103" i="13"/>
  <c r="BX91" i="13"/>
  <c r="BX95" i="13"/>
  <c r="BX99" i="13"/>
  <c r="BX103" i="13"/>
  <c r="AZ91" i="13"/>
  <c r="AZ95" i="13"/>
  <c r="AZ99" i="13"/>
  <c r="AZ103" i="13"/>
  <c r="AB91" i="13"/>
  <c r="AB95" i="13"/>
  <c r="AB99" i="13"/>
  <c r="AB103" i="13"/>
  <c r="D90" i="13"/>
  <c r="D94" i="13"/>
  <c r="D98" i="13"/>
  <c r="D102" i="13"/>
  <c r="CV94" i="13"/>
  <c r="BX90" i="13"/>
  <c r="AZ90" i="13"/>
  <c r="AB90" i="13"/>
  <c r="AB102" i="13"/>
  <c r="D97" i="13"/>
  <c r="D101" i="13"/>
  <c r="CV42" i="13"/>
  <c r="CV46" i="13"/>
  <c r="CV50" i="13"/>
  <c r="CV38" i="13"/>
  <c r="BX42" i="13"/>
  <c r="BX46" i="13"/>
  <c r="BX50" i="13"/>
  <c r="BX38" i="13"/>
  <c r="AZ42" i="13"/>
  <c r="AZ46" i="13"/>
  <c r="AZ50" i="13"/>
  <c r="AZ38" i="13"/>
  <c r="AB42" i="13"/>
  <c r="AB46" i="13"/>
  <c r="AB50" i="13"/>
  <c r="AB38" i="13"/>
  <c r="D42" i="13"/>
  <c r="D46" i="13"/>
  <c r="D50" i="13"/>
  <c r="D38" i="13"/>
  <c r="CV44" i="13"/>
  <c r="BX40" i="13"/>
  <c r="BX52" i="13"/>
  <c r="AZ52" i="13"/>
  <c r="AB48" i="13"/>
  <c r="D44" i="13"/>
  <c r="CV39" i="13"/>
  <c r="CV43" i="13"/>
  <c r="CV47" i="13"/>
  <c r="CV51" i="13"/>
  <c r="BX39" i="13"/>
  <c r="BX43" i="13"/>
  <c r="BX47" i="13"/>
  <c r="BX51" i="13"/>
  <c r="AZ39" i="13"/>
  <c r="AZ43" i="13"/>
  <c r="AZ47" i="13"/>
  <c r="AZ51" i="13"/>
  <c r="AB39" i="13"/>
  <c r="AB43" i="13"/>
  <c r="AB47" i="13"/>
  <c r="AB51" i="13"/>
  <c r="D39" i="13"/>
  <c r="D43" i="13"/>
  <c r="D47" i="13"/>
  <c r="D51" i="13"/>
  <c r="CV40" i="13"/>
  <c r="CV52" i="13"/>
  <c r="BX48" i="13"/>
  <c r="AZ44" i="13"/>
  <c r="AB40" i="13"/>
  <c r="AB52" i="13"/>
  <c r="D48" i="13"/>
  <c r="D52" i="13"/>
  <c r="CV41" i="13"/>
  <c r="CV45" i="13"/>
  <c r="CV49" i="13"/>
  <c r="CV53" i="13"/>
  <c r="BX41" i="13"/>
  <c r="BX45" i="13"/>
  <c r="BX49" i="13"/>
  <c r="BX53" i="13"/>
  <c r="AZ41" i="13"/>
  <c r="AZ45" i="13"/>
  <c r="AZ49" i="13"/>
  <c r="AZ53" i="13"/>
  <c r="AB41" i="13"/>
  <c r="AB45" i="13"/>
  <c r="AB49" i="13"/>
  <c r="AB53" i="13"/>
  <c r="D41" i="13"/>
  <c r="D45" i="13"/>
  <c r="D49" i="13"/>
  <c r="D53" i="13"/>
  <c r="CV48" i="13"/>
  <c r="BX44" i="13"/>
  <c r="AZ40" i="13"/>
  <c r="AZ48" i="13"/>
  <c r="AB44" i="13"/>
  <c r="D40" i="13"/>
  <c r="Z12" i="2"/>
  <c r="CV124" i="13"/>
  <c r="BX124" i="13"/>
  <c r="AZ124" i="13"/>
  <c r="AB124" i="13"/>
  <c r="D124" i="13"/>
  <c r="CV125" i="13"/>
  <c r="BX125" i="13"/>
  <c r="AZ125" i="13"/>
  <c r="AB125" i="13"/>
  <c r="D125" i="13"/>
  <c r="CV122" i="13"/>
  <c r="BX122" i="13"/>
  <c r="AZ122" i="13"/>
  <c r="AB122" i="13"/>
  <c r="D122" i="13"/>
  <c r="CV123" i="13"/>
  <c r="BX123" i="13"/>
  <c r="AZ123" i="13"/>
  <c r="AB123" i="13"/>
  <c r="D123" i="13"/>
  <c r="CV115" i="13"/>
  <c r="AB115" i="13"/>
  <c r="BX120" i="13"/>
  <c r="AZ120" i="13"/>
  <c r="D120" i="13"/>
  <c r="BX121" i="13"/>
  <c r="D121" i="13"/>
  <c r="CV118" i="13"/>
  <c r="AB118" i="13"/>
  <c r="AZ119" i="13"/>
  <c r="CV128" i="13"/>
  <c r="BX128" i="13"/>
  <c r="AZ128" i="13"/>
  <c r="AB128" i="13"/>
  <c r="D128" i="13"/>
  <c r="CV113" i="13"/>
  <c r="BX113" i="13"/>
  <c r="AZ113" i="13"/>
  <c r="AB113" i="13"/>
  <c r="D113" i="13"/>
  <c r="CV126" i="13"/>
  <c r="BX126" i="13"/>
  <c r="AZ126" i="13"/>
  <c r="AB126" i="13"/>
  <c r="D126" i="13"/>
  <c r="CV127" i="13"/>
  <c r="BX127" i="13"/>
  <c r="AZ127" i="13"/>
  <c r="AB127" i="13"/>
  <c r="D127" i="13"/>
  <c r="BX115" i="13"/>
  <c r="AZ115" i="13"/>
  <c r="CV120" i="13"/>
  <c r="AB120" i="13"/>
  <c r="CV121" i="13"/>
  <c r="AB121" i="13"/>
  <c r="BX118" i="13"/>
  <c r="D118" i="13"/>
  <c r="BX119" i="13"/>
  <c r="D119" i="13"/>
  <c r="CV116" i="13"/>
  <c r="BX116" i="13"/>
  <c r="AZ116" i="13"/>
  <c r="AB116" i="13"/>
  <c r="D116" i="13"/>
  <c r="CV117" i="13"/>
  <c r="BX117" i="13"/>
  <c r="AZ117" i="13"/>
  <c r="AB117" i="13"/>
  <c r="D117" i="13"/>
  <c r="CV114" i="13"/>
  <c r="BX114" i="13"/>
  <c r="AZ114" i="13"/>
  <c r="AB114" i="13"/>
  <c r="D114" i="13"/>
  <c r="D115" i="13"/>
  <c r="AZ121" i="13"/>
  <c r="AZ118" i="13"/>
  <c r="CV119" i="13"/>
  <c r="AB119" i="13"/>
  <c r="CV16" i="13"/>
  <c r="CV20" i="13"/>
  <c r="CV24" i="13"/>
  <c r="CV12" i="13"/>
  <c r="BX16" i="13"/>
  <c r="BX20" i="13"/>
  <c r="BX24" i="13"/>
  <c r="BX12" i="13"/>
  <c r="AZ16" i="13"/>
  <c r="AZ20" i="13"/>
  <c r="AZ24" i="13"/>
  <c r="AZ12" i="13"/>
  <c r="AB16" i="13"/>
  <c r="AB20" i="13"/>
  <c r="AB24" i="13"/>
  <c r="AB12" i="13"/>
  <c r="D16" i="13"/>
  <c r="D20" i="13"/>
  <c r="D24" i="13"/>
  <c r="D12" i="13"/>
  <c r="CV14" i="13"/>
  <c r="BX14" i="13"/>
  <c r="BX26" i="13"/>
  <c r="AZ22" i="13"/>
  <c r="AB14" i="13"/>
  <c r="AB22" i="13"/>
  <c r="D18" i="13"/>
  <c r="D26" i="13"/>
  <c r="CV13" i="13"/>
  <c r="CV17" i="13"/>
  <c r="CV21" i="13"/>
  <c r="CV25" i="13"/>
  <c r="BX13" i="13"/>
  <c r="BX17" i="13"/>
  <c r="BX21" i="13"/>
  <c r="BX25" i="13"/>
  <c r="AZ13" i="13"/>
  <c r="AZ17" i="13"/>
  <c r="AZ21" i="13"/>
  <c r="AZ25" i="13"/>
  <c r="AB13" i="13"/>
  <c r="AB17" i="13"/>
  <c r="AB21" i="13"/>
  <c r="AB25" i="13"/>
  <c r="D13" i="13"/>
  <c r="D17" i="13"/>
  <c r="D21" i="13"/>
  <c r="D25" i="13"/>
  <c r="CV22" i="13"/>
  <c r="BX18" i="13"/>
  <c r="AZ14" i="13"/>
  <c r="AZ26" i="13"/>
  <c r="AB26" i="13"/>
  <c r="D22" i="13"/>
  <c r="CV15" i="13"/>
  <c r="CV19" i="13"/>
  <c r="CV23" i="13"/>
  <c r="CV27" i="13"/>
  <c r="BX15" i="13"/>
  <c r="BX19" i="13"/>
  <c r="BX23" i="13"/>
  <c r="BX27" i="13"/>
  <c r="AZ15" i="13"/>
  <c r="AZ19" i="13"/>
  <c r="AZ23" i="13"/>
  <c r="AZ27" i="13"/>
  <c r="AB15" i="13"/>
  <c r="AB19" i="13"/>
  <c r="AB23" i="13"/>
  <c r="AB27" i="13"/>
  <c r="D15" i="13"/>
  <c r="D19" i="13"/>
  <c r="D23" i="13"/>
  <c r="D27" i="13"/>
  <c r="CV18" i="13"/>
  <c r="CV26" i="13"/>
  <c r="BX22" i="13"/>
  <c r="AZ18" i="13"/>
  <c r="AB18" i="13"/>
  <c r="D14" i="13"/>
  <c r="CT119" i="13"/>
  <c r="CT120" i="13" s="1"/>
  <c r="CT121" i="13" s="1"/>
  <c r="CT122" i="13" s="1"/>
  <c r="CT123" i="13" s="1"/>
  <c r="CT120" i="16"/>
  <c r="CT94" i="16"/>
  <c r="DB64" i="16"/>
  <c r="DB65" i="16" s="1"/>
  <c r="DB66" i="16" s="1"/>
  <c r="DL61" i="16"/>
  <c r="DK61" i="16"/>
  <c r="CL61" i="16"/>
  <c r="CK61" i="16"/>
  <c r="BL61" i="16"/>
  <c r="BK61" i="16"/>
  <c r="AL61" i="16"/>
  <c r="AK61" i="16"/>
  <c r="L61" i="16"/>
  <c r="K61" i="16"/>
  <c r="DL61" i="15"/>
  <c r="DK61" i="15"/>
  <c r="CL61" i="15"/>
  <c r="CK61" i="15"/>
  <c r="BL61" i="15"/>
  <c r="BK61" i="15"/>
  <c r="AL61" i="15"/>
  <c r="AK61" i="15"/>
  <c r="L61" i="15"/>
  <c r="K61" i="15"/>
  <c r="DL61" i="14"/>
  <c r="DK61" i="14"/>
  <c r="CL61" i="14"/>
  <c r="CK61" i="14"/>
  <c r="BL61" i="14"/>
  <c r="BK61" i="14"/>
  <c r="AL61" i="14"/>
  <c r="AK61" i="14"/>
  <c r="L61" i="14"/>
  <c r="K61" i="14"/>
  <c r="G5" i="18"/>
  <c r="H5" i="18"/>
  <c r="D5" i="18"/>
  <c r="D8" i="17" l="1"/>
  <c r="D12" i="17"/>
  <c r="D16" i="17"/>
  <c r="D20" i="17"/>
  <c r="D10" i="17"/>
  <c r="D18" i="17"/>
  <c r="D11" i="17"/>
  <c r="D19" i="17"/>
  <c r="D9" i="17"/>
  <c r="D13" i="17"/>
  <c r="D17" i="17"/>
  <c r="D21" i="17"/>
  <c r="D14" i="17"/>
  <c r="D22" i="17"/>
  <c r="D15" i="17"/>
  <c r="D7" i="17"/>
  <c r="CT121" i="16"/>
  <c r="CT124" i="13"/>
  <c r="CT95" i="16"/>
  <c r="DB67" i="16"/>
  <c r="DB68" i="16" s="1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6" i="7"/>
  <c r="D15" i="7"/>
  <c r="D17" i="7" s="1"/>
  <c r="C35" i="7"/>
  <c r="C34" i="7"/>
  <c r="C33" i="7"/>
  <c r="C32" i="7"/>
  <c r="C31" i="7"/>
  <c r="C30" i="7"/>
  <c r="C29" i="7"/>
  <c r="C28" i="7"/>
  <c r="C27" i="7"/>
  <c r="C26" i="7"/>
  <c r="C25" i="7"/>
  <c r="C24" i="7"/>
  <c r="C23" i="7"/>
  <c r="C22" i="7"/>
  <c r="C21" i="7"/>
  <c r="C19" i="7"/>
  <c r="C18" i="7"/>
  <c r="C16" i="7"/>
  <c r="C15" i="7"/>
  <c r="C17" i="7" s="1"/>
  <c r="F25" i="22"/>
  <c r="G25" i="22"/>
  <c r="E25" i="22"/>
  <c r="D25" i="22"/>
  <c r="D159" i="3"/>
  <c r="D154" i="3"/>
  <c r="D151" i="3"/>
  <c r="D146" i="3"/>
  <c r="D145" i="3"/>
  <c r="C159" i="3"/>
  <c r="C158" i="3"/>
  <c r="C157" i="3"/>
  <c r="C156" i="3"/>
  <c r="C155" i="3"/>
  <c r="C154" i="3"/>
  <c r="C153" i="3"/>
  <c r="C152" i="3"/>
  <c r="C150" i="3"/>
  <c r="C149" i="3"/>
  <c r="C148" i="3"/>
  <c r="C147" i="3"/>
  <c r="C146" i="3"/>
  <c r="C145" i="3"/>
  <c r="D140" i="3"/>
  <c r="D139" i="3"/>
  <c r="D138" i="3"/>
  <c r="D137" i="3"/>
  <c r="C140" i="3"/>
  <c r="C139" i="3"/>
  <c r="C138" i="3"/>
  <c r="C137" i="3"/>
  <c r="D133" i="3"/>
  <c r="D125" i="3"/>
  <c r="D121" i="3"/>
  <c r="D119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D112" i="3"/>
  <c r="D111" i="3"/>
  <c r="D110" i="3"/>
  <c r="D109" i="3"/>
  <c r="C115" i="3"/>
  <c r="C114" i="3"/>
  <c r="C113" i="3"/>
  <c r="C112" i="3"/>
  <c r="C111" i="3"/>
  <c r="C110" i="3"/>
  <c r="C109" i="3"/>
  <c r="C108" i="3"/>
  <c r="D104" i="3"/>
  <c r="Q104" i="3" s="1"/>
  <c r="D103" i="3"/>
  <c r="D99" i="3"/>
  <c r="D98" i="3"/>
  <c r="D96" i="3"/>
  <c r="D95" i="3"/>
  <c r="D94" i="3"/>
  <c r="D93" i="3"/>
  <c r="D90" i="3"/>
  <c r="D89" i="3"/>
  <c r="D87" i="3"/>
  <c r="D86" i="3"/>
  <c r="D85" i="3"/>
  <c r="D84" i="3"/>
  <c r="C103" i="3"/>
  <c r="C102" i="3"/>
  <c r="C101" i="3"/>
  <c r="C100" i="3"/>
  <c r="C99" i="3"/>
  <c r="C98" i="3"/>
  <c r="C97" i="3"/>
  <c r="C96" i="3"/>
  <c r="V96" i="3" s="1"/>
  <c r="C95" i="3"/>
  <c r="C94" i="3"/>
  <c r="C93" i="3"/>
  <c r="C92" i="3"/>
  <c r="C91" i="3"/>
  <c r="C90" i="3"/>
  <c r="C89" i="3"/>
  <c r="C88" i="3"/>
  <c r="C84" i="3"/>
  <c r="C86" i="3" s="1"/>
  <c r="D78" i="3"/>
  <c r="D75" i="3"/>
  <c r="C80" i="3"/>
  <c r="C79" i="3"/>
  <c r="C78" i="3"/>
  <c r="C77" i="3"/>
  <c r="C74" i="3"/>
  <c r="C76" i="3" s="1"/>
  <c r="D70" i="3"/>
  <c r="D69" i="3"/>
  <c r="D66" i="3"/>
  <c r="D64" i="3"/>
  <c r="D63" i="3"/>
  <c r="D61" i="3"/>
  <c r="D60" i="3"/>
  <c r="D59" i="3"/>
  <c r="D58" i="3"/>
  <c r="D57" i="3"/>
  <c r="D56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2" i="3"/>
  <c r="C51" i="3"/>
  <c r="D44" i="3"/>
  <c r="D42" i="3"/>
  <c r="D41" i="3"/>
  <c r="D38" i="3"/>
  <c r="C47" i="3"/>
  <c r="C46" i="3"/>
  <c r="C45" i="3"/>
  <c r="C44" i="3"/>
  <c r="C43" i="3"/>
  <c r="C42" i="3"/>
  <c r="C41" i="3"/>
  <c r="C40" i="3"/>
  <c r="C38" i="3"/>
  <c r="C39" i="3" s="1"/>
  <c r="D34" i="3"/>
  <c r="D33" i="3"/>
  <c r="D32" i="3"/>
  <c r="AA32" i="3" s="1"/>
  <c r="D31" i="3"/>
  <c r="V31" i="3" s="1"/>
  <c r="D30" i="3"/>
  <c r="Q30" i="3" s="1"/>
  <c r="D29" i="3"/>
  <c r="D28" i="3"/>
  <c r="D27" i="3"/>
  <c r="D26" i="3"/>
  <c r="D25" i="3"/>
  <c r="D24" i="3"/>
  <c r="D23" i="3"/>
  <c r="D22" i="3"/>
  <c r="D21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D20" i="3"/>
  <c r="D19" i="3"/>
  <c r="C18" i="3"/>
  <c r="C17" i="3"/>
  <c r="D17" i="3"/>
  <c r="D15" i="3"/>
  <c r="D14" i="3"/>
  <c r="D16" i="3" s="1"/>
  <c r="C15" i="3"/>
  <c r="C14" i="3"/>
  <c r="C16" i="3" s="1"/>
  <c r="D12" i="18"/>
  <c r="S30" i="3" l="1"/>
  <c r="AC67" i="3"/>
  <c r="I34" i="1"/>
  <c r="I36" i="1" s="1"/>
  <c r="F34" i="1"/>
  <c r="F36" i="1" s="1"/>
  <c r="E34" i="1"/>
  <c r="E36" i="1" s="1"/>
  <c r="H34" i="1"/>
  <c r="H36" i="1" s="1"/>
  <c r="G34" i="1"/>
  <c r="G36" i="1" s="1"/>
  <c r="G31" i="1"/>
  <c r="G33" i="1" s="1"/>
  <c r="H31" i="1"/>
  <c r="H33" i="1" s="1"/>
  <c r="F31" i="1"/>
  <c r="F33" i="1" s="1"/>
  <c r="I31" i="1"/>
  <c r="I33" i="1" s="1"/>
  <c r="E31" i="1"/>
  <c r="E33" i="1" s="1"/>
  <c r="I28" i="1"/>
  <c r="I30" i="1" s="1"/>
  <c r="H28" i="1"/>
  <c r="H30" i="1" s="1"/>
  <c r="F28" i="1"/>
  <c r="F30" i="1" s="1"/>
  <c r="E28" i="1"/>
  <c r="E30" i="1" s="1"/>
  <c r="G28" i="1"/>
  <c r="G30" i="1" s="1"/>
  <c r="E36" i="2"/>
  <c r="J38" i="2" s="1"/>
  <c r="K38" i="2" s="1"/>
  <c r="S54" i="2"/>
  <c r="Z36" i="2"/>
  <c r="AE38" i="2" s="1"/>
  <c r="AF38" i="2" s="1"/>
  <c r="E54" i="2"/>
  <c r="S36" i="2"/>
  <c r="X38" i="2" s="1"/>
  <c r="Y38" i="2" s="1"/>
  <c r="L54" i="2"/>
  <c r="L36" i="2"/>
  <c r="Q38" i="2" s="1"/>
  <c r="R38" i="2" s="1"/>
  <c r="Z54" i="2"/>
  <c r="L33" i="2"/>
  <c r="Q35" i="2" s="1"/>
  <c r="R35" i="2" s="1"/>
  <c r="S51" i="2"/>
  <c r="E33" i="2"/>
  <c r="J35" i="2" s="1"/>
  <c r="K35" i="2" s="1"/>
  <c r="E51" i="2"/>
  <c r="Z33" i="2"/>
  <c r="AE35" i="2" s="1"/>
  <c r="AF35" i="2" s="1"/>
  <c r="Z51" i="2"/>
  <c r="L51" i="2"/>
  <c r="S33" i="2"/>
  <c r="X35" i="2" s="1"/>
  <c r="Y35" i="2" s="1"/>
  <c r="E30" i="2"/>
  <c r="J32" i="2" s="1"/>
  <c r="Z30" i="2"/>
  <c r="AE32" i="2" s="1"/>
  <c r="L30" i="2"/>
  <c r="Q32" i="2" s="1"/>
  <c r="S30" i="2"/>
  <c r="X32" i="2" s="1"/>
  <c r="L48" i="2"/>
  <c r="E48" i="2"/>
  <c r="AA25" i="3"/>
  <c r="AC39" i="3"/>
  <c r="AC25" i="3"/>
  <c r="V30" i="3"/>
  <c r="Q39" i="3"/>
  <c r="AA39" i="3"/>
  <c r="AC32" i="3"/>
  <c r="X96" i="3"/>
  <c r="X30" i="3"/>
  <c r="AC102" i="3"/>
  <c r="X31" i="3"/>
  <c r="S39" i="3"/>
  <c r="S104" i="3"/>
  <c r="F9" i="18"/>
  <c r="DE76" i="16"/>
  <c r="DE66" i="16"/>
  <c r="CE76" i="16"/>
  <c r="CE66" i="16"/>
  <c r="BE76" i="16"/>
  <c r="BE66" i="16"/>
  <c r="AE76" i="16"/>
  <c r="AE66" i="16"/>
  <c r="E76" i="16"/>
  <c r="E66" i="16"/>
  <c r="DE76" i="15"/>
  <c r="DE66" i="15"/>
  <c r="CE76" i="15"/>
  <c r="CE66" i="15"/>
  <c r="AE76" i="15"/>
  <c r="AE66" i="15"/>
  <c r="E76" i="15"/>
  <c r="E66" i="15"/>
  <c r="DE71" i="16"/>
  <c r="CE71" i="16"/>
  <c r="BE71" i="16"/>
  <c r="AE71" i="16"/>
  <c r="E71" i="16"/>
  <c r="DE71" i="15"/>
  <c r="CE71" i="15"/>
  <c r="AE71" i="15"/>
  <c r="E71" i="15"/>
  <c r="AE71" i="14"/>
  <c r="BE71" i="14"/>
  <c r="CE71" i="14"/>
  <c r="DE71" i="14"/>
  <c r="DE71" i="13"/>
  <c r="CE71" i="13"/>
  <c r="BE71" i="13"/>
  <c r="AE71" i="13"/>
  <c r="E71" i="13"/>
  <c r="E76" i="14"/>
  <c r="E66" i="14"/>
  <c r="AE66" i="14"/>
  <c r="E71" i="14"/>
  <c r="AE76" i="14"/>
  <c r="CE76" i="14"/>
  <c r="DE76" i="14"/>
  <c r="DE76" i="13"/>
  <c r="AE66" i="13"/>
  <c r="E76" i="13"/>
  <c r="CE66" i="13"/>
  <c r="BE66" i="13"/>
  <c r="BE76" i="14"/>
  <c r="BE66" i="14"/>
  <c r="CE66" i="14"/>
  <c r="DE66" i="14"/>
  <c r="DE66" i="13"/>
  <c r="CE76" i="13"/>
  <c r="E66" i="13"/>
  <c r="BE76" i="13"/>
  <c r="AE76" i="13"/>
  <c r="E9" i="18"/>
  <c r="DE72" i="16"/>
  <c r="CE72" i="16"/>
  <c r="BE72" i="16"/>
  <c r="AE72" i="16"/>
  <c r="E72" i="16"/>
  <c r="DE72" i="15"/>
  <c r="CE72" i="15"/>
  <c r="AE72" i="15"/>
  <c r="E72" i="15"/>
  <c r="DE77" i="16"/>
  <c r="DE67" i="16"/>
  <c r="CE77" i="16"/>
  <c r="CE67" i="16"/>
  <c r="BE77" i="16"/>
  <c r="BE67" i="16"/>
  <c r="AE77" i="16"/>
  <c r="AE67" i="16"/>
  <c r="E77" i="16"/>
  <c r="E67" i="16"/>
  <c r="DE77" i="15"/>
  <c r="DE67" i="15"/>
  <c r="CE77" i="15"/>
  <c r="CE67" i="15"/>
  <c r="AE77" i="15"/>
  <c r="AE67" i="15"/>
  <c r="E77" i="15"/>
  <c r="E67" i="15"/>
  <c r="AE67" i="14"/>
  <c r="BE67" i="14"/>
  <c r="CE67" i="14"/>
  <c r="DE67" i="14"/>
  <c r="DE67" i="13"/>
  <c r="CE67" i="13"/>
  <c r="BE67" i="13"/>
  <c r="AE67" i="13"/>
  <c r="E67" i="13"/>
  <c r="E72" i="14"/>
  <c r="AE77" i="14"/>
  <c r="BE77" i="14"/>
  <c r="CE77" i="14"/>
  <c r="DE77" i="14"/>
  <c r="DE77" i="13"/>
  <c r="CE77" i="13"/>
  <c r="BE77" i="13"/>
  <c r="AE77" i="13"/>
  <c r="E77" i="13"/>
  <c r="E77" i="14"/>
  <c r="E67" i="14"/>
  <c r="BE72" i="13"/>
  <c r="BE72" i="14"/>
  <c r="CE72" i="14"/>
  <c r="DE72" i="14"/>
  <c r="DE72" i="13"/>
  <c r="E72" i="13"/>
  <c r="AE72" i="13"/>
  <c r="AE72" i="14"/>
  <c r="CE72" i="13"/>
  <c r="G9" i="18"/>
  <c r="DE74" i="16"/>
  <c r="DE64" i="16"/>
  <c r="CE74" i="16"/>
  <c r="CE64" i="16"/>
  <c r="BE74" i="16"/>
  <c r="BE64" i="16"/>
  <c r="AE74" i="16"/>
  <c r="AE64" i="16"/>
  <c r="E74" i="16"/>
  <c r="E64" i="16"/>
  <c r="DE74" i="15"/>
  <c r="DE64" i="15"/>
  <c r="CE74" i="15"/>
  <c r="CE64" i="15"/>
  <c r="AE74" i="15"/>
  <c r="AE64" i="15"/>
  <c r="E74" i="15"/>
  <c r="E64" i="15"/>
  <c r="DE69" i="16"/>
  <c r="CE69" i="16"/>
  <c r="BE69" i="16"/>
  <c r="AE69" i="16"/>
  <c r="E69" i="16"/>
  <c r="DE69" i="15"/>
  <c r="CE69" i="15"/>
  <c r="AE69" i="15"/>
  <c r="E69" i="15"/>
  <c r="E74" i="14"/>
  <c r="E64" i="14"/>
  <c r="AE74" i="14"/>
  <c r="BE74" i="14"/>
  <c r="AE69" i="14"/>
  <c r="BE69" i="14"/>
  <c r="CE69" i="14"/>
  <c r="DE69" i="14"/>
  <c r="DE69" i="13"/>
  <c r="CE69" i="13"/>
  <c r="BE69" i="13"/>
  <c r="AE69" i="13"/>
  <c r="E69" i="13"/>
  <c r="E69" i="14"/>
  <c r="AE64" i="14"/>
  <c r="BE64" i="13"/>
  <c r="AE74" i="13"/>
  <c r="CE64" i="13"/>
  <c r="CE74" i="14"/>
  <c r="DE74" i="14"/>
  <c r="DE74" i="13"/>
  <c r="AE64" i="13"/>
  <c r="E74" i="13"/>
  <c r="BE64" i="14"/>
  <c r="CE64" i="14"/>
  <c r="DE64" i="14"/>
  <c r="DE64" i="13"/>
  <c r="CE74" i="13"/>
  <c r="E64" i="13"/>
  <c r="BE74" i="13"/>
  <c r="Z48" i="2"/>
  <c r="S48" i="2"/>
  <c r="D9" i="18"/>
  <c r="E8" i="17" s="1"/>
  <c r="DE78" i="16"/>
  <c r="DE68" i="16"/>
  <c r="CE78" i="16"/>
  <c r="CE68" i="16"/>
  <c r="BE78" i="16"/>
  <c r="BE68" i="16"/>
  <c r="AE78" i="16"/>
  <c r="AE68" i="16"/>
  <c r="E78" i="16"/>
  <c r="E68" i="16"/>
  <c r="DE78" i="15"/>
  <c r="DE68" i="15"/>
  <c r="CE78" i="15"/>
  <c r="CE68" i="15"/>
  <c r="AE78" i="15"/>
  <c r="AE68" i="15"/>
  <c r="E78" i="15"/>
  <c r="E68" i="15"/>
  <c r="DE73" i="16"/>
  <c r="DE63" i="16"/>
  <c r="CE73" i="16"/>
  <c r="CE63" i="16"/>
  <c r="BE73" i="16"/>
  <c r="BE63" i="16"/>
  <c r="AE73" i="16"/>
  <c r="AE63" i="16"/>
  <c r="E73" i="16"/>
  <c r="E63" i="16"/>
  <c r="DE73" i="15"/>
  <c r="DE63" i="15"/>
  <c r="CE73" i="15"/>
  <c r="CE63" i="15"/>
  <c r="AE73" i="15"/>
  <c r="AE63" i="15"/>
  <c r="E73" i="15"/>
  <c r="E63" i="15"/>
  <c r="AE63" i="14"/>
  <c r="BE63" i="14"/>
  <c r="CE63" i="14"/>
  <c r="DE63" i="14"/>
  <c r="DE63" i="13"/>
  <c r="CE63" i="13"/>
  <c r="BE63" i="13"/>
  <c r="AE63" i="13"/>
  <c r="E63" i="13"/>
  <c r="E78" i="14"/>
  <c r="E68" i="14"/>
  <c r="AE78" i="14"/>
  <c r="BE78" i="14"/>
  <c r="AE73" i="14"/>
  <c r="BE73" i="14"/>
  <c r="CE73" i="14"/>
  <c r="DE73" i="14"/>
  <c r="DE73" i="13"/>
  <c r="CE73" i="13"/>
  <c r="BE73" i="13"/>
  <c r="AE73" i="13"/>
  <c r="E73" i="13"/>
  <c r="E73" i="14"/>
  <c r="E63" i="14"/>
  <c r="BE68" i="14"/>
  <c r="CE68" i="14"/>
  <c r="DE68" i="14"/>
  <c r="DE68" i="13"/>
  <c r="CE78" i="13"/>
  <c r="E68" i="13"/>
  <c r="BE68" i="13"/>
  <c r="AE78" i="13"/>
  <c r="DE78" i="13"/>
  <c r="AE68" i="13"/>
  <c r="E78" i="13"/>
  <c r="CE68" i="13"/>
  <c r="BE78" i="13"/>
  <c r="AE68" i="14"/>
  <c r="CE78" i="14"/>
  <c r="DE78" i="14"/>
  <c r="H9" i="18"/>
  <c r="DE70" i="16"/>
  <c r="CE70" i="16"/>
  <c r="BE70" i="16"/>
  <c r="AE70" i="16"/>
  <c r="E70" i="16"/>
  <c r="DE70" i="15"/>
  <c r="CE70" i="15"/>
  <c r="AE70" i="15"/>
  <c r="E70" i="15"/>
  <c r="DE75" i="16"/>
  <c r="DE65" i="16"/>
  <c r="CE75" i="16"/>
  <c r="CE65" i="16"/>
  <c r="BE75" i="16"/>
  <c r="BE65" i="16"/>
  <c r="AE75" i="16"/>
  <c r="AE65" i="16"/>
  <c r="E75" i="16"/>
  <c r="E65" i="16"/>
  <c r="DE75" i="15"/>
  <c r="DE65" i="15"/>
  <c r="CE75" i="15"/>
  <c r="CE65" i="15"/>
  <c r="AE75" i="15"/>
  <c r="AE65" i="15"/>
  <c r="E75" i="15"/>
  <c r="E65" i="15"/>
  <c r="AE75" i="14"/>
  <c r="BE75" i="14"/>
  <c r="CE75" i="14"/>
  <c r="DE75" i="14"/>
  <c r="DE75" i="13"/>
  <c r="CE75" i="13"/>
  <c r="BE75" i="13"/>
  <c r="AE75" i="13"/>
  <c r="E75" i="13"/>
  <c r="E70" i="14"/>
  <c r="AE70" i="14"/>
  <c r="AE65" i="14"/>
  <c r="BE65" i="14"/>
  <c r="CE65" i="14"/>
  <c r="DE65" i="14"/>
  <c r="DE65" i="13"/>
  <c r="CE65" i="13"/>
  <c r="BE65" i="13"/>
  <c r="AE65" i="13"/>
  <c r="E65" i="13"/>
  <c r="E75" i="14"/>
  <c r="E65" i="14"/>
  <c r="CE70" i="13"/>
  <c r="BE70" i="14"/>
  <c r="CE70" i="14"/>
  <c r="DE70" i="14"/>
  <c r="BE70" i="13"/>
  <c r="AE70" i="13"/>
  <c r="DE70" i="13"/>
  <c r="E70" i="13"/>
  <c r="C87" i="3"/>
  <c r="C85" i="3"/>
  <c r="D10" i="5"/>
  <c r="CT122" i="16"/>
  <c r="CT125" i="13"/>
  <c r="CT96" i="16"/>
  <c r="DB69" i="16"/>
  <c r="B4" i="15"/>
  <c r="B4" i="14"/>
  <c r="D9" i="5"/>
  <c r="H37" i="1" l="1"/>
  <c r="G106" i="10"/>
  <c r="G102" i="10"/>
  <c r="G98" i="10"/>
  <c r="G94" i="10"/>
  <c r="G80" i="10"/>
  <c r="G76" i="10"/>
  <c r="G72" i="10"/>
  <c r="G68" i="10"/>
  <c r="G54" i="10"/>
  <c r="G50" i="10"/>
  <c r="G46" i="10"/>
  <c r="G42" i="10"/>
  <c r="G14" i="10"/>
  <c r="G18" i="10"/>
  <c r="G22" i="10"/>
  <c r="G26" i="10"/>
  <c r="G103" i="10"/>
  <c r="G99" i="10"/>
  <c r="G95" i="10"/>
  <c r="G91" i="10"/>
  <c r="G77" i="10"/>
  <c r="G73" i="10"/>
  <c r="G69" i="10"/>
  <c r="G65" i="10"/>
  <c r="G51" i="10"/>
  <c r="G47" i="10"/>
  <c r="G43" i="10"/>
  <c r="G39" i="10"/>
  <c r="G17" i="10"/>
  <c r="G21" i="10"/>
  <c r="G25" i="10"/>
  <c r="G13" i="10"/>
  <c r="G101" i="10"/>
  <c r="G93" i="10"/>
  <c r="G75" i="10"/>
  <c r="G67" i="10"/>
  <c r="G49" i="10"/>
  <c r="G41" i="10"/>
  <c r="G19" i="10"/>
  <c r="G27" i="10"/>
  <c r="G100" i="10"/>
  <c r="G92" i="10"/>
  <c r="G74" i="10"/>
  <c r="G66" i="10"/>
  <c r="G48" i="10"/>
  <c r="G40" i="10"/>
  <c r="G20" i="10"/>
  <c r="G28" i="10"/>
  <c r="G105" i="10"/>
  <c r="G97" i="10"/>
  <c r="G79" i="10"/>
  <c r="G71" i="10"/>
  <c r="G53" i="10"/>
  <c r="G45" i="10"/>
  <c r="G15" i="10"/>
  <c r="G23" i="10"/>
  <c r="G104" i="10"/>
  <c r="G96" i="10"/>
  <c r="G78" i="10"/>
  <c r="G70" i="10"/>
  <c r="G52" i="10"/>
  <c r="G44" i="10"/>
  <c r="G16" i="10"/>
  <c r="G24" i="10"/>
  <c r="J50" i="2"/>
  <c r="E50" i="2"/>
  <c r="AE53" i="2"/>
  <c r="AF53" i="2" s="1"/>
  <c r="Z53" i="2"/>
  <c r="X53" i="2"/>
  <c r="Y53" i="2" s="1"/>
  <c r="S53" i="2"/>
  <c r="Q56" i="2"/>
  <c r="R56" i="2" s="1"/>
  <c r="L56" i="2"/>
  <c r="X56" i="2"/>
  <c r="Y56" i="2" s="1"/>
  <c r="S56" i="2"/>
  <c r="X50" i="2"/>
  <c r="S50" i="2"/>
  <c r="Q50" i="2"/>
  <c r="L50" i="2"/>
  <c r="Q53" i="2"/>
  <c r="R53" i="2" s="1"/>
  <c r="L53" i="2"/>
  <c r="AE50" i="2"/>
  <c r="Z50" i="2"/>
  <c r="J53" i="2"/>
  <c r="K53" i="2" s="1"/>
  <c r="E53" i="2"/>
  <c r="AE56" i="2"/>
  <c r="AF56" i="2" s="1"/>
  <c r="Z56" i="2"/>
  <c r="J56" i="2"/>
  <c r="K56" i="2" s="1"/>
  <c r="E56" i="2"/>
  <c r="E37" i="1"/>
  <c r="G37" i="1"/>
  <c r="R138" i="15"/>
  <c r="DJ138" i="15"/>
  <c r="AP138" i="15"/>
  <c r="BN138" i="15"/>
  <c r="CL138" i="15"/>
  <c r="BN138" i="14"/>
  <c r="DJ138" i="14"/>
  <c r="CL138" i="14"/>
  <c r="R138" i="14"/>
  <c r="AP138" i="14"/>
  <c r="E11" i="17"/>
  <c r="E15" i="17"/>
  <c r="E21" i="17"/>
  <c r="E20" i="17"/>
  <c r="I37" i="1"/>
  <c r="E17" i="17"/>
  <c r="E16" i="17"/>
  <c r="E7" i="17"/>
  <c r="E19" i="17"/>
  <c r="F37" i="1"/>
  <c r="Y32" i="2"/>
  <c r="X40" i="2"/>
  <c r="R32" i="2"/>
  <c r="Q40" i="2"/>
  <c r="K50" i="2"/>
  <c r="AF32" i="2"/>
  <c r="AE40" i="2"/>
  <c r="R50" i="2"/>
  <c r="R64" i="2" s="1"/>
  <c r="Q58" i="2"/>
  <c r="K32" i="2"/>
  <c r="Y50" i="2"/>
  <c r="X58" i="2"/>
  <c r="Y58" i="2" s="1"/>
  <c r="F89" i="5" s="1"/>
  <c r="AF50" i="2"/>
  <c r="E22" i="17"/>
  <c r="E13" i="17"/>
  <c r="E18" i="17"/>
  <c r="E12" i="17"/>
  <c r="E14" i="17"/>
  <c r="E9" i="17"/>
  <c r="E10" i="17"/>
  <c r="D28" i="22"/>
  <c r="CT123" i="16"/>
  <c r="CT126" i="13"/>
  <c r="CT97" i="16"/>
  <c r="DB70" i="16"/>
  <c r="DL61" i="13"/>
  <c r="DK61" i="13"/>
  <c r="CL61" i="13"/>
  <c r="CK61" i="13"/>
  <c r="BL61" i="13"/>
  <c r="BK61" i="13"/>
  <c r="AL61" i="13"/>
  <c r="AK61" i="13"/>
  <c r="L61" i="13"/>
  <c r="K61" i="13"/>
  <c r="AE58" i="2" l="1"/>
  <c r="AF58" i="2" s="1"/>
  <c r="G89" i="5" s="1"/>
  <c r="J58" i="2"/>
  <c r="K58" i="2" s="1"/>
  <c r="O22" i="10"/>
  <c r="O25" i="10"/>
  <c r="O28" i="10"/>
  <c r="O16" i="10"/>
  <c r="O19" i="10"/>
  <c r="O92" i="10"/>
  <c r="O94" i="10"/>
  <c r="O96" i="10"/>
  <c r="O98" i="10"/>
  <c r="O100" i="10"/>
  <c r="O102" i="10"/>
  <c r="O104" i="10"/>
  <c r="O106" i="10"/>
  <c r="O99" i="10"/>
  <c r="O105" i="10"/>
  <c r="O93" i="10"/>
  <c r="O101" i="10"/>
  <c r="O95" i="10"/>
  <c r="O103" i="10"/>
  <c r="O97" i="10"/>
  <c r="P19" i="10"/>
  <c r="P22" i="10"/>
  <c r="P16" i="10"/>
  <c r="P25" i="10"/>
  <c r="P28" i="10"/>
  <c r="N66" i="10"/>
  <c r="N70" i="10"/>
  <c r="N74" i="10"/>
  <c r="N78" i="10"/>
  <c r="N69" i="10"/>
  <c r="N73" i="10"/>
  <c r="N77" i="10"/>
  <c r="N71" i="10"/>
  <c r="N68" i="10"/>
  <c r="N72" i="10"/>
  <c r="N76" i="10"/>
  <c r="N80" i="10"/>
  <c r="N75" i="10"/>
  <c r="N79" i="10"/>
  <c r="N67" i="10"/>
  <c r="P93" i="10"/>
  <c r="P95" i="10"/>
  <c r="P97" i="10"/>
  <c r="P99" i="10"/>
  <c r="P101" i="10"/>
  <c r="P103" i="10"/>
  <c r="P105" i="10"/>
  <c r="P92" i="10"/>
  <c r="P94" i="10"/>
  <c r="P96" i="10"/>
  <c r="P98" i="10"/>
  <c r="P100" i="10"/>
  <c r="P102" i="10"/>
  <c r="P104" i="10"/>
  <c r="P106" i="10"/>
  <c r="N92" i="10"/>
  <c r="N94" i="10"/>
  <c r="N96" i="10"/>
  <c r="N98" i="10"/>
  <c r="N100" i="10"/>
  <c r="N102" i="10"/>
  <c r="N104" i="10"/>
  <c r="N106" i="10"/>
  <c r="N93" i="10"/>
  <c r="N95" i="10"/>
  <c r="N97" i="10"/>
  <c r="N99" i="10"/>
  <c r="N101" i="10"/>
  <c r="N103" i="10"/>
  <c r="N105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P68" i="10"/>
  <c r="P72" i="10"/>
  <c r="P76" i="10"/>
  <c r="P80" i="10"/>
  <c r="P67" i="10"/>
  <c r="P71" i="10"/>
  <c r="P75" i="10"/>
  <c r="P79" i="10"/>
  <c r="P73" i="10"/>
  <c r="P77" i="10"/>
  <c r="P66" i="10"/>
  <c r="P70" i="10"/>
  <c r="P74" i="10"/>
  <c r="P78" i="10"/>
  <c r="P69" i="10"/>
  <c r="O67" i="10"/>
  <c r="O71" i="10"/>
  <c r="O75" i="10"/>
  <c r="O79" i="10"/>
  <c r="O66" i="10"/>
  <c r="O70" i="10"/>
  <c r="O74" i="10"/>
  <c r="O78" i="10"/>
  <c r="O80" i="10"/>
  <c r="O69" i="10"/>
  <c r="O73" i="10"/>
  <c r="O77" i="10"/>
  <c r="O72" i="10"/>
  <c r="O76" i="10"/>
  <c r="O68" i="10"/>
  <c r="N25" i="10"/>
  <c r="N16" i="10"/>
  <c r="N28" i="10"/>
  <c r="N19" i="10"/>
  <c r="N22" i="10"/>
  <c r="O40" i="10"/>
  <c r="O41" i="10"/>
  <c r="O42" i="10"/>
  <c r="O43" i="10"/>
  <c r="O44" i="10"/>
  <c r="O45" i="10"/>
  <c r="O46" i="10"/>
  <c r="O47" i="10"/>
  <c r="O48" i="10"/>
  <c r="O49" i="10"/>
  <c r="O50" i="10"/>
  <c r="O51" i="10"/>
  <c r="O52" i="10"/>
  <c r="O53" i="10"/>
  <c r="O54" i="10"/>
  <c r="P40" i="10"/>
  <c r="P41" i="10"/>
  <c r="P42" i="10"/>
  <c r="P43" i="10"/>
  <c r="P44" i="10"/>
  <c r="P45" i="10"/>
  <c r="P46" i="10"/>
  <c r="P47" i="10"/>
  <c r="P48" i="10"/>
  <c r="P49" i="10"/>
  <c r="P50" i="10"/>
  <c r="P51" i="10"/>
  <c r="P52" i="10"/>
  <c r="P53" i="10"/>
  <c r="P54" i="10"/>
  <c r="BN139" i="14"/>
  <c r="DJ139" i="15"/>
  <c r="DJ140" i="15" s="1"/>
  <c r="DJ141" i="15" s="1"/>
  <c r="DJ142" i="15" s="1"/>
  <c r="DJ143" i="15" s="1"/>
  <c r="DJ144" i="15" s="1"/>
  <c r="DJ145" i="15" s="1"/>
  <c r="DJ146" i="15" s="1"/>
  <c r="DJ147" i="15" s="1"/>
  <c r="DJ148" i="15" s="1"/>
  <c r="DJ149" i="15" s="1"/>
  <c r="DJ150" i="15" s="1"/>
  <c r="DJ151" i="15" s="1"/>
  <c r="DJ152" i="15" s="1"/>
  <c r="DJ153" i="15" s="1"/>
  <c r="AK160" i="15" s="1"/>
  <c r="R139" i="14"/>
  <c r="R140" i="14" s="1"/>
  <c r="R141" i="14" s="1"/>
  <c r="R142" i="14" s="1"/>
  <c r="R143" i="14" s="1"/>
  <c r="R144" i="14" s="1"/>
  <c r="R145" i="14" s="1"/>
  <c r="R146" i="14" s="1"/>
  <c r="R147" i="14" s="1"/>
  <c r="R148" i="14" s="1"/>
  <c r="R149" i="14" s="1"/>
  <c r="R150" i="14" s="1"/>
  <c r="R151" i="14" s="1"/>
  <c r="R152" i="14" s="1"/>
  <c r="R153" i="14" s="1"/>
  <c r="AG160" i="14" s="1"/>
  <c r="CL139" i="14"/>
  <c r="CL140" i="14" s="1"/>
  <c r="CL141" i="14" s="1"/>
  <c r="CL142" i="14" s="1"/>
  <c r="CL143" i="14" s="1"/>
  <c r="CL144" i="14" s="1"/>
  <c r="CL145" i="14" s="1"/>
  <c r="CL146" i="14" s="1"/>
  <c r="CL147" i="14" s="1"/>
  <c r="CL148" i="14" s="1"/>
  <c r="CL149" i="14" s="1"/>
  <c r="CL150" i="14" s="1"/>
  <c r="CL151" i="14" s="1"/>
  <c r="CL152" i="14" s="1"/>
  <c r="CL153" i="14" s="1"/>
  <c r="AJ160" i="14" s="1"/>
  <c r="BN139" i="15"/>
  <c r="BN140" i="15" s="1"/>
  <c r="BN141" i="15" s="1"/>
  <c r="BN142" i="15" s="1"/>
  <c r="BN143" i="15" s="1"/>
  <c r="BN144" i="15" s="1"/>
  <c r="BN145" i="15" s="1"/>
  <c r="BN146" i="15" s="1"/>
  <c r="BN147" i="15" s="1"/>
  <c r="BN148" i="15" s="1"/>
  <c r="BN149" i="15" s="1"/>
  <c r="BN150" i="15" s="1"/>
  <c r="BN151" i="15" s="1"/>
  <c r="BN152" i="15" s="1"/>
  <c r="BN153" i="15" s="1"/>
  <c r="AI160" i="15" s="1"/>
  <c r="R139" i="15"/>
  <c r="R140" i="15" s="1"/>
  <c r="R141" i="15" s="1"/>
  <c r="R142" i="15" s="1"/>
  <c r="R143" i="15" s="1"/>
  <c r="R144" i="15" s="1"/>
  <c r="R145" i="15" s="1"/>
  <c r="R146" i="15" s="1"/>
  <c r="R147" i="15" s="1"/>
  <c r="R148" i="15" s="1"/>
  <c r="R149" i="15" s="1"/>
  <c r="R150" i="15" s="1"/>
  <c r="R151" i="15" s="1"/>
  <c r="R152" i="15" s="1"/>
  <c r="R153" i="15" s="1"/>
  <c r="AG160" i="15" s="1"/>
  <c r="AP139" i="15"/>
  <c r="AP140" i="15" s="1"/>
  <c r="AP141" i="15" s="1"/>
  <c r="AP142" i="15" s="1"/>
  <c r="AP143" i="15" s="1"/>
  <c r="AP144" i="15" s="1"/>
  <c r="AP145" i="15" s="1"/>
  <c r="AP146" i="15" s="1"/>
  <c r="AP147" i="15" s="1"/>
  <c r="AP148" i="15" s="1"/>
  <c r="AP149" i="15" s="1"/>
  <c r="AP150" i="15" s="1"/>
  <c r="AP151" i="15" s="1"/>
  <c r="AP152" i="15" s="1"/>
  <c r="AP153" i="15" s="1"/>
  <c r="AH160" i="15" s="1"/>
  <c r="CL139" i="15"/>
  <c r="CL140" i="15" s="1"/>
  <c r="CL141" i="15" s="1"/>
  <c r="CL142" i="15" s="1"/>
  <c r="CL143" i="15" s="1"/>
  <c r="CL144" i="15" s="1"/>
  <c r="CL145" i="15" s="1"/>
  <c r="CL146" i="15" s="1"/>
  <c r="CL147" i="15" s="1"/>
  <c r="CL148" i="15" s="1"/>
  <c r="CL149" i="15" s="1"/>
  <c r="CL150" i="15" s="1"/>
  <c r="CL151" i="15" s="1"/>
  <c r="CL152" i="15" s="1"/>
  <c r="CL153" i="15" s="1"/>
  <c r="AJ160" i="15" s="1"/>
  <c r="BN140" i="14"/>
  <c r="BN141" i="14" s="1"/>
  <c r="BN142" i="14" s="1"/>
  <c r="BN143" i="14" s="1"/>
  <c r="BN144" i="14" s="1"/>
  <c r="BN145" i="14" s="1"/>
  <c r="BN146" i="14" s="1"/>
  <c r="BN147" i="14" s="1"/>
  <c r="BN148" i="14" s="1"/>
  <c r="BN149" i="14" s="1"/>
  <c r="BN150" i="14" s="1"/>
  <c r="BN151" i="14" s="1"/>
  <c r="BN152" i="14" s="1"/>
  <c r="BN153" i="14" s="1"/>
  <c r="AI160" i="14" s="1"/>
  <c r="AP139" i="14"/>
  <c r="AP140" i="14" s="1"/>
  <c r="AP141" i="14" s="1"/>
  <c r="AP142" i="14" s="1"/>
  <c r="AP143" i="14" s="1"/>
  <c r="AP144" i="14" s="1"/>
  <c r="AP145" i="14" s="1"/>
  <c r="AP146" i="14" s="1"/>
  <c r="AP147" i="14" s="1"/>
  <c r="AP148" i="14" s="1"/>
  <c r="AP149" i="14" s="1"/>
  <c r="AP150" i="14" s="1"/>
  <c r="AP151" i="14" s="1"/>
  <c r="AP152" i="14" s="1"/>
  <c r="AP153" i="14" s="1"/>
  <c r="AH160" i="14" s="1"/>
  <c r="DJ139" i="14"/>
  <c r="DJ140" i="14" s="1"/>
  <c r="DJ141" i="14" s="1"/>
  <c r="DJ142" i="14" s="1"/>
  <c r="DJ143" i="14" s="1"/>
  <c r="DJ144" i="14" s="1"/>
  <c r="DJ145" i="14" s="1"/>
  <c r="DJ146" i="14" s="1"/>
  <c r="DJ147" i="14" s="1"/>
  <c r="DJ148" i="14" s="1"/>
  <c r="DJ149" i="14" s="1"/>
  <c r="DJ150" i="14" s="1"/>
  <c r="DJ151" i="14" s="1"/>
  <c r="DJ152" i="14" s="1"/>
  <c r="DJ153" i="14" s="1"/>
  <c r="AK160" i="14" s="1"/>
  <c r="AF40" i="2"/>
  <c r="R40" i="2"/>
  <c r="K40" i="2"/>
  <c r="R58" i="2"/>
  <c r="E89" i="5" s="1"/>
  <c r="Q64" i="2"/>
  <c r="Y40" i="2"/>
  <c r="CT124" i="16"/>
  <c r="CT127" i="13"/>
  <c r="CT98" i="16"/>
  <c r="DB71" i="16"/>
  <c r="U98" i="10" l="1"/>
  <c r="U106" i="10"/>
  <c r="U95" i="10"/>
  <c r="U100" i="10"/>
  <c r="U105" i="10"/>
  <c r="U103" i="10"/>
  <c r="U102" i="10"/>
  <c r="U94" i="10"/>
  <c r="U54" i="10"/>
  <c r="U50" i="10"/>
  <c r="U46" i="10"/>
  <c r="U42" i="10"/>
  <c r="DA128" i="16"/>
  <c r="U53" i="10"/>
  <c r="U49" i="10"/>
  <c r="U45" i="10"/>
  <c r="U41" i="10"/>
  <c r="U101" i="10"/>
  <c r="U52" i="10"/>
  <c r="U48" i="10"/>
  <c r="U44" i="10"/>
  <c r="U40" i="10"/>
  <c r="U99" i="10"/>
  <c r="AG53" i="16"/>
  <c r="CC45" i="16"/>
  <c r="BE45" i="16"/>
  <c r="AG45" i="16"/>
  <c r="DA45" i="16"/>
  <c r="I45" i="16"/>
  <c r="U80" i="10"/>
  <c r="U51" i="10"/>
  <c r="U47" i="10"/>
  <c r="U43" i="10"/>
  <c r="U97" i="10"/>
  <c r="U104" i="10"/>
  <c r="U96" i="10"/>
  <c r="CT125" i="16"/>
  <c r="CT128" i="13"/>
  <c r="CT99" i="16"/>
  <c r="DB72" i="16"/>
  <c r="BE41" i="16" l="1"/>
  <c r="DA41" i="15"/>
  <c r="BE41" i="15"/>
  <c r="I41" i="15"/>
  <c r="AG41" i="14"/>
  <c r="CC41" i="14"/>
  <c r="DA41" i="13"/>
  <c r="BE41" i="13"/>
  <c r="I41" i="13"/>
  <c r="CC41" i="15"/>
  <c r="AG41" i="15"/>
  <c r="I41" i="14"/>
  <c r="BE41" i="14"/>
  <c r="DA41" i="14"/>
  <c r="CC41" i="13"/>
  <c r="AG41" i="13"/>
  <c r="DA44" i="15"/>
  <c r="BE44" i="15"/>
  <c r="I44" i="15"/>
  <c r="AG44" i="14"/>
  <c r="CC44" i="14"/>
  <c r="DA44" i="13"/>
  <c r="BE44" i="13"/>
  <c r="I44" i="13"/>
  <c r="CC44" i="15"/>
  <c r="AG44" i="15"/>
  <c r="CC44" i="13"/>
  <c r="I44" i="14"/>
  <c r="BE44" i="14"/>
  <c r="DA44" i="14"/>
  <c r="AG44" i="13"/>
  <c r="CC42" i="16"/>
  <c r="CC42" i="15"/>
  <c r="AG42" i="15"/>
  <c r="I42" i="14"/>
  <c r="BE42" i="14"/>
  <c r="DA42" i="14"/>
  <c r="CC42" i="13"/>
  <c r="AG42" i="13"/>
  <c r="I42" i="15"/>
  <c r="AG42" i="14"/>
  <c r="CC42" i="14"/>
  <c r="DA42" i="15"/>
  <c r="BE42" i="15"/>
  <c r="DA42" i="13"/>
  <c r="BE42" i="13"/>
  <c r="I42" i="13"/>
  <c r="DA42" i="16"/>
  <c r="CC50" i="16"/>
  <c r="CC50" i="15"/>
  <c r="AG50" i="15"/>
  <c r="I50" i="14"/>
  <c r="BE50" i="14"/>
  <c r="DA50" i="14"/>
  <c r="CC50" i="13"/>
  <c r="AG50" i="13"/>
  <c r="BE50" i="15"/>
  <c r="I50" i="15"/>
  <c r="AG50" i="14"/>
  <c r="CC50" i="14"/>
  <c r="DA50" i="15"/>
  <c r="DA50" i="13"/>
  <c r="BE50" i="13"/>
  <c r="I50" i="13"/>
  <c r="DA53" i="16"/>
  <c r="DA53" i="15"/>
  <c r="BE53" i="15"/>
  <c r="I53" i="15"/>
  <c r="AG53" i="14"/>
  <c r="CC53" i="14"/>
  <c r="DA53" i="13"/>
  <c r="BE53" i="13"/>
  <c r="I53" i="13"/>
  <c r="CC53" i="15"/>
  <c r="AG53" i="13"/>
  <c r="AG53" i="15"/>
  <c r="I53" i="14"/>
  <c r="BE53" i="14"/>
  <c r="DA53" i="14"/>
  <c r="CC53" i="13"/>
  <c r="CC51" i="15"/>
  <c r="AG51" i="15"/>
  <c r="I51" i="14"/>
  <c r="BE51" i="14"/>
  <c r="DA51" i="14"/>
  <c r="CC51" i="13"/>
  <c r="AG51" i="13"/>
  <c r="DA51" i="15"/>
  <c r="BE51" i="15"/>
  <c r="I51" i="15"/>
  <c r="AG51" i="14"/>
  <c r="CC51" i="14"/>
  <c r="DA51" i="13"/>
  <c r="BE51" i="13"/>
  <c r="I51" i="13"/>
  <c r="CC46" i="15"/>
  <c r="AG46" i="15"/>
  <c r="I46" i="14"/>
  <c r="BE46" i="14"/>
  <c r="DA46" i="14"/>
  <c r="CC46" i="13"/>
  <c r="AG46" i="13"/>
  <c r="DA46" i="15"/>
  <c r="DA46" i="13"/>
  <c r="BE46" i="15"/>
  <c r="I46" i="15"/>
  <c r="AG46" i="14"/>
  <c r="CC46" i="14"/>
  <c r="BE46" i="13"/>
  <c r="I46" i="13"/>
  <c r="CC47" i="16"/>
  <c r="CC47" i="15"/>
  <c r="AG47" i="15"/>
  <c r="I47" i="14"/>
  <c r="BE47" i="14"/>
  <c r="DA47" i="14"/>
  <c r="CC47" i="13"/>
  <c r="AG47" i="13"/>
  <c r="DA47" i="15"/>
  <c r="BE47" i="15"/>
  <c r="I47" i="15"/>
  <c r="AG47" i="14"/>
  <c r="CC47" i="14"/>
  <c r="DA47" i="13"/>
  <c r="BE47" i="13"/>
  <c r="I47" i="13"/>
  <c r="DA48" i="15"/>
  <c r="BE48" i="15"/>
  <c r="I48" i="15"/>
  <c r="AG48" i="14"/>
  <c r="CC48" i="14"/>
  <c r="DA48" i="13"/>
  <c r="BE48" i="13"/>
  <c r="I48" i="13"/>
  <c r="CC48" i="15"/>
  <c r="DA48" i="14"/>
  <c r="CC48" i="13"/>
  <c r="AG48" i="15"/>
  <c r="I48" i="14"/>
  <c r="BE48" i="14"/>
  <c r="AG48" i="13"/>
  <c r="AG49" i="16"/>
  <c r="DA49" i="15"/>
  <c r="BE49" i="15"/>
  <c r="I49" i="15"/>
  <c r="AG49" i="14"/>
  <c r="CC49" i="14"/>
  <c r="DA49" i="13"/>
  <c r="BE49" i="13"/>
  <c r="I49" i="13"/>
  <c r="CC49" i="13"/>
  <c r="CC49" i="15"/>
  <c r="AG49" i="15"/>
  <c r="I49" i="14"/>
  <c r="BE49" i="14"/>
  <c r="DA49" i="14"/>
  <c r="AG49" i="13"/>
  <c r="CC43" i="15"/>
  <c r="AG43" i="15"/>
  <c r="I43" i="14"/>
  <c r="BE43" i="14"/>
  <c r="DA43" i="14"/>
  <c r="CC43" i="13"/>
  <c r="AG43" i="13"/>
  <c r="BE43" i="15"/>
  <c r="I43" i="15"/>
  <c r="AG43" i="14"/>
  <c r="CC43" i="14"/>
  <c r="DA43" i="13"/>
  <c r="BE43" i="13"/>
  <c r="I43" i="13"/>
  <c r="DA43" i="15"/>
  <c r="AG52" i="16"/>
  <c r="DA52" i="15"/>
  <c r="BE52" i="15"/>
  <c r="I52" i="15"/>
  <c r="AG52" i="14"/>
  <c r="CC52" i="14"/>
  <c r="DA52" i="13"/>
  <c r="BE52" i="13"/>
  <c r="I52" i="13"/>
  <c r="AG52" i="15"/>
  <c r="I52" i="14"/>
  <c r="BE52" i="14"/>
  <c r="CC52" i="15"/>
  <c r="DA52" i="14"/>
  <c r="CC52" i="13"/>
  <c r="AG52" i="13"/>
  <c r="DA45" i="15"/>
  <c r="BE45" i="15"/>
  <c r="I45" i="15"/>
  <c r="AG45" i="14"/>
  <c r="CC45" i="14"/>
  <c r="DA45" i="13"/>
  <c r="BE45" i="13"/>
  <c r="I45" i="13"/>
  <c r="CC45" i="15"/>
  <c r="AG45" i="15"/>
  <c r="I45" i="14"/>
  <c r="BE45" i="14"/>
  <c r="DA45" i="14"/>
  <c r="CC45" i="13"/>
  <c r="AG45" i="13"/>
  <c r="DA27" i="15"/>
  <c r="BE27" i="15"/>
  <c r="I27" i="15"/>
  <c r="CC27" i="14"/>
  <c r="AG27" i="14"/>
  <c r="DA27" i="13"/>
  <c r="BE27" i="13"/>
  <c r="I27" i="13"/>
  <c r="DA27" i="14"/>
  <c r="BE27" i="14"/>
  <c r="I27" i="14"/>
  <c r="CC27" i="13"/>
  <c r="AG27" i="13"/>
  <c r="CC27" i="15"/>
  <c r="AG27" i="15"/>
  <c r="CC126" i="15"/>
  <c r="AG126" i="15"/>
  <c r="I126" i="14"/>
  <c r="BE126" i="14"/>
  <c r="DA126" i="14"/>
  <c r="CC126" i="13"/>
  <c r="AG126" i="13"/>
  <c r="DA126" i="15"/>
  <c r="AG126" i="14"/>
  <c r="CC126" i="14"/>
  <c r="DA126" i="13"/>
  <c r="BE126" i="13"/>
  <c r="I126" i="13"/>
  <c r="BE126" i="15"/>
  <c r="I126" i="15"/>
  <c r="CC116" i="16"/>
  <c r="DA116" i="15"/>
  <c r="BE116" i="15"/>
  <c r="I116" i="15"/>
  <c r="AG116" i="14"/>
  <c r="AG116" i="15"/>
  <c r="I116" i="14"/>
  <c r="BE116" i="14"/>
  <c r="DA116" i="14"/>
  <c r="CC116" i="14"/>
  <c r="DA116" i="13"/>
  <c r="BE116" i="13"/>
  <c r="I116" i="13"/>
  <c r="CC116" i="15"/>
  <c r="CC116" i="13"/>
  <c r="AG116" i="13"/>
  <c r="DA127" i="15"/>
  <c r="BE127" i="15"/>
  <c r="I127" i="15"/>
  <c r="AG127" i="14"/>
  <c r="CC127" i="14"/>
  <c r="DA127" i="13"/>
  <c r="BE127" i="13"/>
  <c r="I127" i="13"/>
  <c r="BE127" i="14"/>
  <c r="DA127" i="14"/>
  <c r="AG127" i="15"/>
  <c r="CC127" i="13"/>
  <c r="AG127" i="13"/>
  <c r="CC127" i="15"/>
  <c r="I127" i="14"/>
  <c r="CC118" i="15"/>
  <c r="AG118" i="15"/>
  <c r="I118" i="14"/>
  <c r="I118" i="15"/>
  <c r="CC118" i="14"/>
  <c r="DA118" i="13"/>
  <c r="DA118" i="15"/>
  <c r="BE118" i="15"/>
  <c r="AG118" i="14"/>
  <c r="BE118" i="13"/>
  <c r="I118" i="13"/>
  <c r="BE118" i="14"/>
  <c r="DA118" i="14"/>
  <c r="CC118" i="13"/>
  <c r="AG118" i="13"/>
  <c r="DA115" i="15"/>
  <c r="BE115" i="15"/>
  <c r="I115" i="15"/>
  <c r="AG115" i="14"/>
  <c r="CC115" i="14"/>
  <c r="DA115" i="13"/>
  <c r="BE115" i="13"/>
  <c r="I115" i="13"/>
  <c r="CC115" i="15"/>
  <c r="AG115" i="15"/>
  <c r="I115" i="14"/>
  <c r="BE115" i="14"/>
  <c r="DA115" i="14"/>
  <c r="CC115" i="13"/>
  <c r="AG115" i="13"/>
  <c r="AG124" i="16"/>
  <c r="DA124" i="15"/>
  <c r="BE124" i="15"/>
  <c r="I124" i="15"/>
  <c r="AG124" i="14"/>
  <c r="DA124" i="13"/>
  <c r="BE124" i="13"/>
  <c r="I124" i="13"/>
  <c r="CC124" i="15"/>
  <c r="AG124" i="15"/>
  <c r="I124" i="14"/>
  <c r="CC124" i="14"/>
  <c r="BE124" i="14"/>
  <c r="DA124" i="14"/>
  <c r="CC124" i="13"/>
  <c r="AG124" i="13"/>
  <c r="CC125" i="15"/>
  <c r="AG125" i="15"/>
  <c r="I125" i="14"/>
  <c r="BE125" i="14"/>
  <c r="DA125" i="14"/>
  <c r="CC125" i="13"/>
  <c r="AG125" i="13"/>
  <c r="DA125" i="15"/>
  <c r="BE125" i="15"/>
  <c r="I125" i="15"/>
  <c r="AG125" i="14"/>
  <c r="CC125" i="14"/>
  <c r="DA125" i="13"/>
  <c r="BE125" i="13"/>
  <c r="I125" i="13"/>
  <c r="DA123" i="15"/>
  <c r="BE123" i="15"/>
  <c r="I123" i="15"/>
  <c r="AG123" i="14"/>
  <c r="CC123" i="14"/>
  <c r="DA123" i="13"/>
  <c r="BE123" i="13"/>
  <c r="I123" i="13"/>
  <c r="CC123" i="15"/>
  <c r="AG123" i="15"/>
  <c r="I123" i="14"/>
  <c r="BE123" i="14"/>
  <c r="DA123" i="14"/>
  <c r="CC123" i="13"/>
  <c r="AG123" i="13"/>
  <c r="CC114" i="15"/>
  <c r="AG114" i="15"/>
  <c r="I114" i="14"/>
  <c r="CC114" i="14"/>
  <c r="DA114" i="13"/>
  <c r="BE114" i="13"/>
  <c r="I114" i="13"/>
  <c r="BE114" i="15"/>
  <c r="AG114" i="14"/>
  <c r="DA114" i="15"/>
  <c r="I114" i="15"/>
  <c r="BE114" i="14"/>
  <c r="DA114" i="14"/>
  <c r="CC114" i="13"/>
  <c r="AG114" i="13"/>
  <c r="BE120" i="16"/>
  <c r="DA120" i="15"/>
  <c r="BE120" i="15"/>
  <c r="I120" i="15"/>
  <c r="BE120" i="14"/>
  <c r="DA120" i="14"/>
  <c r="CC120" i="13"/>
  <c r="AG120" i="13"/>
  <c r="CC120" i="15"/>
  <c r="I120" i="14"/>
  <c r="AG120" i="14"/>
  <c r="CC120" i="14"/>
  <c r="DA120" i="13"/>
  <c r="BE120" i="13"/>
  <c r="I120" i="13"/>
  <c r="AG120" i="15"/>
  <c r="CC117" i="15"/>
  <c r="AG117" i="15"/>
  <c r="I117" i="14"/>
  <c r="BE117" i="14"/>
  <c r="DA117" i="14"/>
  <c r="CC117" i="13"/>
  <c r="AG117" i="13"/>
  <c r="DA117" i="15"/>
  <c r="BE117" i="15"/>
  <c r="I117" i="15"/>
  <c r="AG117" i="14"/>
  <c r="CC117" i="14"/>
  <c r="DA117" i="13"/>
  <c r="BE117" i="13"/>
  <c r="I117" i="13"/>
  <c r="CC121" i="15"/>
  <c r="AG121" i="15"/>
  <c r="I121" i="14"/>
  <c r="BE121" i="14"/>
  <c r="DA121" i="14"/>
  <c r="CC121" i="13"/>
  <c r="AG121" i="13"/>
  <c r="I121" i="15"/>
  <c r="DA121" i="15"/>
  <c r="BE121" i="15"/>
  <c r="AG121" i="14"/>
  <c r="CC121" i="14"/>
  <c r="DA121" i="13"/>
  <c r="BE121" i="13"/>
  <c r="I121" i="13"/>
  <c r="CC122" i="15"/>
  <c r="AG122" i="15"/>
  <c r="I122" i="14"/>
  <c r="AG122" i="14"/>
  <c r="CC122" i="14"/>
  <c r="DA122" i="13"/>
  <c r="BE122" i="13"/>
  <c r="I122" i="13"/>
  <c r="CC122" i="13"/>
  <c r="AG122" i="13"/>
  <c r="DA122" i="15"/>
  <c r="I122" i="15"/>
  <c r="BE122" i="14"/>
  <c r="DA122" i="14"/>
  <c r="BE122" i="15"/>
  <c r="DA119" i="15"/>
  <c r="BE119" i="15"/>
  <c r="I119" i="15"/>
  <c r="AG119" i="14"/>
  <c r="CC119" i="14"/>
  <c r="DA119" i="13"/>
  <c r="BE119" i="13"/>
  <c r="I119" i="13"/>
  <c r="CC119" i="15"/>
  <c r="I119" i="14"/>
  <c r="BE119" i="14"/>
  <c r="DA119" i="14"/>
  <c r="CC119" i="13"/>
  <c r="AG119" i="13"/>
  <c r="AG119" i="15"/>
  <c r="AG128" i="16"/>
  <c r="DA128" i="15"/>
  <c r="BE128" i="15"/>
  <c r="I128" i="15"/>
  <c r="AG128" i="14"/>
  <c r="CC128" i="14"/>
  <c r="DA128" i="13"/>
  <c r="BE128" i="13"/>
  <c r="I128" i="13"/>
  <c r="AG128" i="15"/>
  <c r="BE128" i="14"/>
  <c r="DA128" i="14"/>
  <c r="CC128" i="13"/>
  <c r="AG128" i="13"/>
  <c r="CC128" i="15"/>
  <c r="I128" i="14"/>
  <c r="BE42" i="16"/>
  <c r="I47" i="16"/>
  <c r="DA47" i="16"/>
  <c r="BE47" i="16"/>
  <c r="AG42" i="16"/>
  <c r="BE52" i="16"/>
  <c r="I42" i="16"/>
  <c r="I128" i="16"/>
  <c r="AG47" i="16"/>
  <c r="BE128" i="16"/>
  <c r="CC128" i="16"/>
  <c r="BE53" i="16"/>
  <c r="I53" i="16"/>
  <c r="CC53" i="16"/>
  <c r="I52" i="16"/>
  <c r="CC52" i="16"/>
  <c r="DA52" i="16"/>
  <c r="I41" i="16"/>
  <c r="CC41" i="16"/>
  <c r="AG50" i="16"/>
  <c r="DA50" i="16"/>
  <c r="BE49" i="16"/>
  <c r="CC124" i="16"/>
  <c r="DA124" i="16"/>
  <c r="CC120" i="16"/>
  <c r="CC49" i="16"/>
  <c r="DA120" i="16"/>
  <c r="BE50" i="16"/>
  <c r="I124" i="16"/>
  <c r="I49" i="16"/>
  <c r="I50" i="16"/>
  <c r="BE124" i="16"/>
  <c r="DA41" i="16"/>
  <c r="AG41" i="16"/>
  <c r="DA49" i="16"/>
  <c r="I116" i="16"/>
  <c r="DA116" i="16"/>
  <c r="I120" i="16"/>
  <c r="AG116" i="16"/>
  <c r="BE116" i="16"/>
  <c r="AG120" i="16"/>
  <c r="DA118" i="16"/>
  <c r="CC118" i="16"/>
  <c r="BE118" i="16"/>
  <c r="AG118" i="16"/>
  <c r="I118" i="16"/>
  <c r="DA123" i="16"/>
  <c r="CC123" i="16"/>
  <c r="BE123" i="16"/>
  <c r="AG123" i="16"/>
  <c r="I123" i="16"/>
  <c r="CC43" i="16"/>
  <c r="BE43" i="16"/>
  <c r="AG43" i="16"/>
  <c r="DA43" i="16"/>
  <c r="I43" i="16"/>
  <c r="DA117" i="16"/>
  <c r="CC117" i="16"/>
  <c r="BE117" i="16"/>
  <c r="AG117" i="16"/>
  <c r="I117" i="16"/>
  <c r="DA122" i="16"/>
  <c r="CC122" i="16"/>
  <c r="BE122" i="16"/>
  <c r="AG122" i="16"/>
  <c r="I122" i="16"/>
  <c r="CC48" i="16"/>
  <c r="BE48" i="16"/>
  <c r="AG48" i="16"/>
  <c r="DA48" i="16"/>
  <c r="I48" i="16"/>
  <c r="DA127" i="16"/>
  <c r="CC127" i="16"/>
  <c r="BE127" i="16"/>
  <c r="AG127" i="16"/>
  <c r="I127" i="16"/>
  <c r="CC51" i="16"/>
  <c r="BE51" i="16"/>
  <c r="AG51" i="16"/>
  <c r="DA51" i="16"/>
  <c r="I51" i="16"/>
  <c r="DA121" i="16"/>
  <c r="CC121" i="16"/>
  <c r="BE121" i="16"/>
  <c r="AG121" i="16"/>
  <c r="I121" i="16"/>
  <c r="CC46" i="16"/>
  <c r="BE46" i="16"/>
  <c r="AG46" i="16"/>
  <c r="DA46" i="16"/>
  <c r="I46" i="16"/>
  <c r="DA126" i="16"/>
  <c r="CC126" i="16"/>
  <c r="BE126" i="16"/>
  <c r="AG126" i="16"/>
  <c r="I126" i="16"/>
  <c r="DA115" i="16"/>
  <c r="CC115" i="16"/>
  <c r="BE115" i="16"/>
  <c r="AG115" i="16"/>
  <c r="I115" i="16"/>
  <c r="CC44" i="16"/>
  <c r="BE44" i="16"/>
  <c r="AG44" i="16"/>
  <c r="DA44" i="16"/>
  <c r="I44" i="16"/>
  <c r="DA125" i="16"/>
  <c r="CC125" i="16"/>
  <c r="BE125" i="16"/>
  <c r="AG125" i="16"/>
  <c r="I125" i="16"/>
  <c r="DA27" i="16"/>
  <c r="CC27" i="16"/>
  <c r="BE27" i="16"/>
  <c r="AG27" i="16"/>
  <c r="I27" i="16"/>
  <c r="DA114" i="16"/>
  <c r="CC114" i="16"/>
  <c r="BE114" i="16"/>
  <c r="AG114" i="16"/>
  <c r="I114" i="16"/>
  <c r="DA119" i="16"/>
  <c r="CC119" i="16"/>
  <c r="BE119" i="16"/>
  <c r="AG119" i="16"/>
  <c r="I119" i="16"/>
  <c r="CT126" i="16"/>
  <c r="CT100" i="16"/>
  <c r="DB73" i="16"/>
  <c r="CT127" i="16" l="1"/>
  <c r="CT101" i="16"/>
  <c r="DB74" i="16"/>
  <c r="CT128" i="16" l="1"/>
  <c r="CT102" i="16"/>
  <c r="DB75" i="16"/>
  <c r="CT103" i="16" l="1"/>
  <c r="DB76" i="16"/>
  <c r="DB77" i="16" l="1"/>
  <c r="DB78" i="16" l="1"/>
  <c r="I7" i="23" l="1"/>
  <c r="I8" i="23"/>
  <c r="I9" i="23"/>
  <c r="I10" i="23"/>
  <c r="I11" i="23"/>
  <c r="I12" i="23"/>
  <c r="I13" i="23"/>
  <c r="I14" i="23"/>
  <c r="I15" i="23"/>
  <c r="I16" i="23"/>
  <c r="I17" i="23"/>
  <c r="I18" i="23"/>
  <c r="I19" i="23"/>
  <c r="I20" i="23"/>
  <c r="I21" i="23"/>
  <c r="H7" i="23"/>
  <c r="G8" i="23"/>
  <c r="G9" i="23"/>
  <c r="G10" i="23"/>
  <c r="G11" i="23"/>
  <c r="G12" i="23"/>
  <c r="G13" i="23"/>
  <c r="G14" i="23"/>
  <c r="G15" i="23"/>
  <c r="G16" i="23"/>
  <c r="G17" i="23"/>
  <c r="G18" i="23"/>
  <c r="G19" i="23"/>
  <c r="G20" i="23"/>
  <c r="G21" i="23"/>
  <c r="G22" i="23"/>
  <c r="G15" i="3"/>
  <c r="F9" i="23" l="1"/>
  <c r="F18" i="23"/>
  <c r="E8" i="23"/>
  <c r="E16" i="23"/>
  <c r="E17" i="23"/>
  <c r="D7" i="23"/>
  <c r="D8" i="23"/>
  <c r="D9" i="23"/>
  <c r="D11" i="23"/>
  <c r="D12" i="23"/>
  <c r="D14" i="23"/>
  <c r="D15" i="23"/>
  <c r="D17" i="23"/>
  <c r="D18" i="23"/>
  <c r="D20" i="23"/>
  <c r="D21" i="23"/>
  <c r="D21" i="22"/>
  <c r="D18" i="22"/>
  <c r="D15" i="22"/>
  <c r="D12" i="22"/>
  <c r="D9" i="22"/>
  <c r="E12" i="23"/>
  <c r="F11" i="23"/>
  <c r="D19" i="23" l="1"/>
  <c r="D16" i="23"/>
  <c r="K16" i="23" s="1"/>
  <c r="D10" i="23"/>
  <c r="D22" i="23"/>
  <c r="D13" i="23"/>
  <c r="K8" i="23"/>
  <c r="F17" i="23"/>
  <c r="E18" i="23"/>
  <c r="K18" i="23" s="1"/>
  <c r="L18" i="23" s="1"/>
  <c r="F10" i="23"/>
  <c r="E10" i="23"/>
  <c r="E9" i="23"/>
  <c r="K9" i="23" s="1"/>
  <c r="L9" i="23" s="1"/>
  <c r="F16" i="23"/>
  <c r="F8" i="23"/>
  <c r="K17" i="23"/>
  <c r="E7" i="23"/>
  <c r="K7" i="23" s="1"/>
  <c r="E15" i="23"/>
  <c r="K15" i="23" s="1"/>
  <c r="F7" i="23"/>
  <c r="F15" i="23"/>
  <c r="E22" i="23"/>
  <c r="E14" i="23"/>
  <c r="K14" i="23" s="1"/>
  <c r="F22" i="23"/>
  <c r="F14" i="23"/>
  <c r="E21" i="23"/>
  <c r="K21" i="23" s="1"/>
  <c r="E13" i="23"/>
  <c r="F21" i="23"/>
  <c r="F13" i="23"/>
  <c r="K12" i="23"/>
  <c r="E20" i="23"/>
  <c r="K20" i="23" s="1"/>
  <c r="F20" i="23"/>
  <c r="F12" i="23"/>
  <c r="E19" i="23"/>
  <c r="E11" i="23"/>
  <c r="K11" i="23" s="1"/>
  <c r="L11" i="23" s="1"/>
  <c r="F19" i="23"/>
  <c r="K19" i="23" l="1"/>
  <c r="L19" i="23" s="1"/>
  <c r="K13" i="23"/>
  <c r="L13" i="23" s="1"/>
  <c r="K22" i="23"/>
  <c r="L22" i="23" s="1"/>
  <c r="K10" i="23"/>
  <c r="L10" i="23" s="1"/>
  <c r="L17" i="23"/>
  <c r="L21" i="23"/>
  <c r="L16" i="23"/>
  <c r="L15" i="23"/>
  <c r="L20" i="23"/>
  <c r="L8" i="23"/>
  <c r="L14" i="23"/>
  <c r="L7" i="23"/>
  <c r="L12" i="23"/>
  <c r="P140" i="3"/>
  <c r="Z74" i="3" l="1"/>
  <c r="AB81" i="3" s="1"/>
  <c r="U74" i="3"/>
  <c r="W74" i="3" s="1"/>
  <c r="P74" i="3"/>
  <c r="R74" i="3" s="1"/>
  <c r="K74" i="3"/>
  <c r="M74" i="3" s="1"/>
  <c r="F74" i="3"/>
  <c r="H74" i="3" s="1"/>
  <c r="F40" i="1"/>
  <c r="G40" i="1"/>
  <c r="E40" i="1"/>
  <c r="F63" i="1"/>
  <c r="G63" i="1"/>
  <c r="H63" i="1"/>
  <c r="I63" i="1"/>
  <c r="E63" i="1"/>
  <c r="C4" i="7"/>
  <c r="F17" i="1"/>
  <c r="G17" i="1"/>
  <c r="E17" i="1"/>
  <c r="F16" i="1"/>
  <c r="G16" i="1"/>
  <c r="H16" i="1"/>
  <c r="I16" i="1"/>
  <c r="E16" i="1"/>
  <c r="G14" i="1"/>
  <c r="E14" i="1"/>
  <c r="H13" i="1"/>
  <c r="I13" i="1"/>
  <c r="E13" i="1"/>
  <c r="F70" i="1"/>
  <c r="G70" i="1"/>
  <c r="H70" i="1"/>
  <c r="I70" i="1"/>
  <c r="E70" i="1"/>
  <c r="F69" i="1"/>
  <c r="G69" i="1"/>
  <c r="H69" i="1"/>
  <c r="I69" i="1"/>
  <c r="E69" i="1"/>
  <c r="F18" i="1"/>
  <c r="G18" i="1"/>
  <c r="H18" i="1"/>
  <c r="I18" i="1"/>
  <c r="E18" i="1"/>
  <c r="C6" i="9"/>
  <c r="X33" i="7" l="1"/>
  <c r="S21" i="7"/>
  <c r="I21" i="7"/>
  <c r="S26" i="7"/>
  <c r="N21" i="7"/>
  <c r="X27" i="7"/>
  <c r="X21" i="7"/>
  <c r="I118" i="7"/>
  <c r="I122" i="7" s="1"/>
  <c r="N57" i="7"/>
  <c r="N58" i="7" s="1"/>
  <c r="X50" i="7"/>
  <c r="X54" i="7" s="1"/>
  <c r="S120" i="7"/>
  <c r="S122" i="7" s="1"/>
  <c r="I52" i="7"/>
  <c r="I54" i="7" s="1"/>
  <c r="X121" i="7"/>
  <c r="X122" i="7" s="1"/>
  <c r="X57" i="7"/>
  <c r="X58" i="7" s="1"/>
  <c r="I57" i="7"/>
  <c r="I58" i="7" s="1"/>
  <c r="N119" i="7"/>
  <c r="N122" i="7" s="1"/>
  <c r="S57" i="7"/>
  <c r="N52" i="7"/>
  <c r="N54" i="7" s="1"/>
  <c r="N108" i="7"/>
  <c r="N115" i="7" s="1"/>
  <c r="I108" i="7"/>
  <c r="I115" i="7" s="1"/>
  <c r="S104" i="7"/>
  <c r="S105" i="7" s="1"/>
  <c r="X104" i="7"/>
  <c r="X105" i="7" s="1"/>
  <c r="S65" i="7"/>
  <c r="S72" i="7" s="1"/>
  <c r="X65" i="7"/>
  <c r="X72" i="7" s="1"/>
  <c r="I92" i="7"/>
  <c r="X92" i="7"/>
  <c r="N92" i="7"/>
  <c r="S92" i="7"/>
  <c r="X76" i="7"/>
  <c r="N76" i="7"/>
  <c r="N85" i="7" s="1"/>
  <c r="S76" i="7"/>
  <c r="S85" i="7" s="1"/>
  <c r="I76" i="7"/>
  <c r="I85" i="7" s="1"/>
  <c r="I101" i="7"/>
  <c r="N65" i="7"/>
  <c r="N72" i="7" s="1"/>
  <c r="S61" i="7"/>
  <c r="S62" i="7" s="1"/>
  <c r="S52" i="7"/>
  <c r="I65" i="7"/>
  <c r="I72" i="7" s="1"/>
  <c r="X61" i="7"/>
  <c r="X62" i="7" s="1"/>
  <c r="C6" i="10"/>
  <c r="B4" i="16"/>
  <c r="F14" i="1"/>
  <c r="AB24" i="10" l="1"/>
  <c r="AB15" i="10"/>
  <c r="AB20" i="10"/>
  <c r="AB17" i="10"/>
  <c r="AB21" i="10"/>
  <c r="AB23" i="10"/>
  <c r="AB18" i="10"/>
  <c r="AB14" i="10"/>
  <c r="AB27" i="10"/>
  <c r="AB26" i="10"/>
  <c r="AA71" i="10"/>
  <c r="AA42" i="10"/>
  <c r="AA79" i="10"/>
  <c r="AA75" i="10"/>
  <c r="AA95" i="10"/>
  <c r="AA98" i="10"/>
  <c r="AA13" i="10"/>
  <c r="AA96" i="10"/>
  <c r="AA92" i="10"/>
  <c r="AA47" i="10"/>
  <c r="AA50" i="10"/>
  <c r="AA91" i="10"/>
  <c r="AA53" i="10"/>
  <c r="AA49" i="10"/>
  <c r="AA77" i="10"/>
  <c r="AA80" i="10"/>
  <c r="AA66" i="10"/>
  <c r="AA48" i="10"/>
  <c r="AA14" i="10"/>
  <c r="AA40" i="10"/>
  <c r="AA18" i="10"/>
  <c r="AA51" i="10"/>
  <c r="AA27" i="10"/>
  <c r="AA16" i="10"/>
  <c r="AA20" i="10"/>
  <c r="AA25" i="10"/>
  <c r="AA22" i="10"/>
  <c r="AA24" i="10"/>
  <c r="AA65" i="10"/>
  <c r="AA45" i="10"/>
  <c r="AA41" i="10"/>
  <c r="AA73" i="10"/>
  <c r="AA76" i="10"/>
  <c r="AA23" i="10"/>
  <c r="AA94" i="10"/>
  <c r="AA105" i="10"/>
  <c r="AA101" i="10"/>
  <c r="AA103" i="10"/>
  <c r="AA106" i="10"/>
  <c r="AA52" i="10"/>
  <c r="AA17" i="10"/>
  <c r="AA39" i="10"/>
  <c r="AA78" i="10"/>
  <c r="AA74" i="10"/>
  <c r="AA43" i="10"/>
  <c r="AA46" i="10"/>
  <c r="AA70" i="10"/>
  <c r="AA68" i="10"/>
  <c r="AA97" i="10"/>
  <c r="AA93" i="10"/>
  <c r="AA99" i="10"/>
  <c r="AA102" i="10"/>
  <c r="AA67" i="10"/>
  <c r="AA104" i="10"/>
  <c r="AA54" i="10"/>
  <c r="AA26" i="10"/>
  <c r="AA15" i="10"/>
  <c r="AA19" i="10"/>
  <c r="AA69" i="10"/>
  <c r="AA72" i="10"/>
  <c r="AA28" i="10"/>
  <c r="AA44" i="10"/>
  <c r="AA21" i="10"/>
  <c r="AA100" i="10"/>
  <c r="R138" i="16"/>
  <c r="S54" i="7"/>
  <c r="S58" i="7" s="1"/>
  <c r="X101" i="7"/>
  <c r="N101" i="7"/>
  <c r="S101" i="7"/>
  <c r="X85" i="7"/>
  <c r="DD72" i="16"/>
  <c r="CD72" i="16"/>
  <c r="BD72" i="16"/>
  <c r="AD72" i="16"/>
  <c r="D72" i="16"/>
  <c r="DD72" i="15"/>
  <c r="CD72" i="15"/>
  <c r="BD72" i="15"/>
  <c r="AD72" i="15"/>
  <c r="D72" i="15"/>
  <c r="DD77" i="14"/>
  <c r="CD77" i="14"/>
  <c r="DD72" i="14"/>
  <c r="CD72" i="14"/>
  <c r="BD77" i="14"/>
  <c r="AD77" i="16"/>
  <c r="AD67" i="16"/>
  <c r="BD77" i="15"/>
  <c r="BD67" i="15"/>
  <c r="BD72" i="14"/>
  <c r="AD67" i="14"/>
  <c r="D77" i="14"/>
  <c r="D67" i="14"/>
  <c r="DD67" i="13"/>
  <c r="CD67" i="13"/>
  <c r="BD67" i="13"/>
  <c r="AD67" i="13"/>
  <c r="D67" i="13"/>
  <c r="DD77" i="16"/>
  <c r="DD67" i="16"/>
  <c r="D77" i="16"/>
  <c r="D67" i="16"/>
  <c r="AD77" i="15"/>
  <c r="AD67" i="15"/>
  <c r="BD67" i="14"/>
  <c r="CD77" i="16"/>
  <c r="CD67" i="16"/>
  <c r="DD77" i="15"/>
  <c r="DD67" i="15"/>
  <c r="D77" i="15"/>
  <c r="D67" i="15"/>
  <c r="DD67" i="14"/>
  <c r="CD67" i="14"/>
  <c r="AD77" i="14"/>
  <c r="D72" i="14"/>
  <c r="DD77" i="13"/>
  <c r="CD77" i="13"/>
  <c r="BD77" i="13"/>
  <c r="AD77" i="13"/>
  <c r="D77" i="13"/>
  <c r="BD77" i="16"/>
  <c r="BD67" i="16"/>
  <c r="CD77" i="15"/>
  <c r="CD67" i="15"/>
  <c r="AD72" i="14"/>
  <c r="DD72" i="13"/>
  <c r="D72" i="13"/>
  <c r="BD72" i="13"/>
  <c r="AD72" i="13"/>
  <c r="CD72" i="13"/>
  <c r="DD66" i="14"/>
  <c r="CD66" i="14"/>
  <c r="DD76" i="16"/>
  <c r="DD66" i="16"/>
  <c r="CD76" i="16"/>
  <c r="CD66" i="16"/>
  <c r="BD76" i="16"/>
  <c r="BD66" i="16"/>
  <c r="AD76" i="16"/>
  <c r="AD66" i="16"/>
  <c r="D76" i="16"/>
  <c r="D66" i="16"/>
  <c r="DD76" i="15"/>
  <c r="DD66" i="15"/>
  <c r="CD76" i="15"/>
  <c r="CD66" i="15"/>
  <c r="BD76" i="15"/>
  <c r="BD66" i="15"/>
  <c r="AD76" i="15"/>
  <c r="AD66" i="15"/>
  <c r="D76" i="15"/>
  <c r="D66" i="15"/>
  <c r="DD76" i="14"/>
  <c r="CD76" i="14"/>
  <c r="AD71" i="16"/>
  <c r="BD71" i="15"/>
  <c r="BD76" i="14"/>
  <c r="AD71" i="14"/>
  <c r="D71" i="14"/>
  <c r="DD71" i="13"/>
  <c r="CD71" i="13"/>
  <c r="BD71" i="13"/>
  <c r="AD71" i="13"/>
  <c r="D71" i="13"/>
  <c r="DD71" i="16"/>
  <c r="D71" i="16"/>
  <c r="AD71" i="15"/>
  <c r="BD71" i="14"/>
  <c r="AD66" i="14"/>
  <c r="CD71" i="16"/>
  <c r="DD71" i="15"/>
  <c r="D71" i="15"/>
  <c r="DD71" i="14"/>
  <c r="CD71" i="14"/>
  <c r="BD66" i="14"/>
  <c r="D76" i="14"/>
  <c r="D66" i="14"/>
  <c r="BD71" i="16"/>
  <c r="CD71" i="15"/>
  <c r="AD76" i="14"/>
  <c r="DD76" i="13"/>
  <c r="DD66" i="13"/>
  <c r="D76" i="13"/>
  <c r="D66" i="13"/>
  <c r="CD76" i="13"/>
  <c r="CD66" i="13"/>
  <c r="BD76" i="13"/>
  <c r="BD66" i="13"/>
  <c r="AD76" i="13"/>
  <c r="AD66" i="13"/>
  <c r="F5" i="18"/>
  <c r="G13" i="1"/>
  <c r="E5" i="18"/>
  <c r="F13" i="1"/>
  <c r="D4" i="16"/>
  <c r="C4" i="16"/>
  <c r="B4" i="13"/>
  <c r="D28" i="23"/>
  <c r="D28" i="17"/>
  <c r="AP138" i="16" l="1"/>
  <c r="BN138" i="16"/>
  <c r="R139" i="16"/>
  <c r="R140" i="16" s="1"/>
  <c r="R141" i="16" s="1"/>
  <c r="R142" i="16" s="1"/>
  <c r="R143" i="16" s="1"/>
  <c r="R144" i="16" s="1"/>
  <c r="R145" i="16" s="1"/>
  <c r="R146" i="16" s="1"/>
  <c r="R147" i="16" s="1"/>
  <c r="R148" i="16" s="1"/>
  <c r="R149" i="16" s="1"/>
  <c r="R150" i="16" s="1"/>
  <c r="R151" i="16" s="1"/>
  <c r="R152" i="16" s="1"/>
  <c r="R153" i="16" s="1"/>
  <c r="AG160" i="16" s="1"/>
  <c r="DJ138" i="13"/>
  <c r="AP138" i="13"/>
  <c r="CL138" i="13"/>
  <c r="R138" i="13"/>
  <c r="BN138" i="13"/>
  <c r="BN139" i="13" s="1"/>
  <c r="BN140" i="13" s="1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7" i="17"/>
  <c r="BN139" i="16" l="1"/>
  <c r="BN140" i="16" s="1"/>
  <c r="BN141" i="16" s="1"/>
  <c r="BN142" i="16" s="1"/>
  <c r="BN143" i="16" s="1"/>
  <c r="BN144" i="16" s="1"/>
  <c r="BN145" i="16" s="1"/>
  <c r="BN146" i="16" s="1"/>
  <c r="BN147" i="16" s="1"/>
  <c r="BN148" i="16" s="1"/>
  <c r="BN149" i="16" s="1"/>
  <c r="BN150" i="16" s="1"/>
  <c r="BN151" i="16" s="1"/>
  <c r="BN152" i="16" s="1"/>
  <c r="BN153" i="16" s="1"/>
  <c r="AI160" i="16" s="1"/>
  <c r="CL139" i="13"/>
  <c r="CL140" i="13" s="1"/>
  <c r="CL141" i="13" s="1"/>
  <c r="CL142" i="13" s="1"/>
  <c r="CL143" i="13" s="1"/>
  <c r="CL144" i="13" s="1"/>
  <c r="CL145" i="13" s="1"/>
  <c r="CL146" i="13" s="1"/>
  <c r="CL147" i="13" s="1"/>
  <c r="CL148" i="13" s="1"/>
  <c r="CL149" i="13" s="1"/>
  <c r="CL150" i="13" s="1"/>
  <c r="CL151" i="13" s="1"/>
  <c r="CL152" i="13" s="1"/>
  <c r="CL153" i="13" s="1"/>
  <c r="AJ160" i="13" s="1"/>
  <c r="BN141" i="13"/>
  <c r="BN142" i="13" s="1"/>
  <c r="BN143" i="13" s="1"/>
  <c r="BN144" i="13" s="1"/>
  <c r="BN145" i="13" s="1"/>
  <c r="BN146" i="13" s="1"/>
  <c r="BN147" i="13" s="1"/>
  <c r="BN148" i="13" s="1"/>
  <c r="BN149" i="13" s="1"/>
  <c r="BN150" i="13" s="1"/>
  <c r="BN151" i="13" s="1"/>
  <c r="BN152" i="13" s="1"/>
  <c r="BN153" i="13" s="1"/>
  <c r="AI160" i="13" s="1"/>
  <c r="AP139" i="16"/>
  <c r="AP140" i="16" s="1"/>
  <c r="AP141" i="16" s="1"/>
  <c r="AP142" i="16" s="1"/>
  <c r="AP143" i="16" s="1"/>
  <c r="AP144" i="16" s="1"/>
  <c r="AP145" i="16" s="1"/>
  <c r="AP146" i="16" s="1"/>
  <c r="AP147" i="16" s="1"/>
  <c r="AP148" i="16" s="1"/>
  <c r="AP149" i="16" s="1"/>
  <c r="AP150" i="16" s="1"/>
  <c r="AP151" i="16" s="1"/>
  <c r="AP152" i="16" s="1"/>
  <c r="AP153" i="16" s="1"/>
  <c r="AH160" i="16" s="1"/>
  <c r="R139" i="13"/>
  <c r="R140" i="13" s="1"/>
  <c r="R141" i="13" s="1"/>
  <c r="R142" i="13" s="1"/>
  <c r="R143" i="13" s="1"/>
  <c r="R144" i="13" s="1"/>
  <c r="R145" i="13" s="1"/>
  <c r="R146" i="13" s="1"/>
  <c r="R147" i="13" s="1"/>
  <c r="R148" i="13" s="1"/>
  <c r="R149" i="13" s="1"/>
  <c r="R150" i="13" s="1"/>
  <c r="R151" i="13" s="1"/>
  <c r="R152" i="13" s="1"/>
  <c r="R153" i="13" s="1"/>
  <c r="AG160" i="13" s="1"/>
  <c r="AP139" i="13"/>
  <c r="AP140" i="13" s="1"/>
  <c r="AP141" i="13" s="1"/>
  <c r="AP142" i="13" s="1"/>
  <c r="AP143" i="13" s="1"/>
  <c r="AP144" i="13" s="1"/>
  <c r="AP145" i="13" s="1"/>
  <c r="AP146" i="13" s="1"/>
  <c r="AP147" i="13" s="1"/>
  <c r="AP148" i="13" s="1"/>
  <c r="AP149" i="13" s="1"/>
  <c r="AP150" i="13" s="1"/>
  <c r="AP151" i="13" s="1"/>
  <c r="AP152" i="13" s="1"/>
  <c r="AP153" i="13" s="1"/>
  <c r="AH160" i="13" s="1"/>
  <c r="DJ139" i="13"/>
  <c r="DJ140" i="13" s="1"/>
  <c r="DJ141" i="13" s="1"/>
  <c r="DJ142" i="13" s="1"/>
  <c r="DJ143" i="13" s="1"/>
  <c r="DJ144" i="13" s="1"/>
  <c r="DJ145" i="13" s="1"/>
  <c r="DJ146" i="13" s="1"/>
  <c r="DJ147" i="13" s="1"/>
  <c r="DJ148" i="13" s="1"/>
  <c r="DJ149" i="13" s="1"/>
  <c r="DJ150" i="13" s="1"/>
  <c r="DJ151" i="13" s="1"/>
  <c r="DJ152" i="13" s="1"/>
  <c r="DJ153" i="13" s="1"/>
  <c r="AK160" i="13" s="1"/>
  <c r="H74" i="13"/>
  <c r="H70" i="13"/>
  <c r="F10" i="8"/>
  <c r="I7" i="8"/>
  <c r="H7" i="8"/>
  <c r="G7" i="8"/>
  <c r="F7" i="8"/>
  <c r="E7" i="8"/>
  <c r="Z65" i="2"/>
  <c r="Z44" i="2"/>
  <c r="S65" i="2"/>
  <c r="S59" i="2"/>
  <c r="S44" i="2"/>
  <c r="L65" i="2"/>
  <c r="E65" i="2"/>
  <c r="E59" i="2"/>
  <c r="E23" i="2"/>
  <c r="E41" i="1"/>
  <c r="G9" i="8"/>
  <c r="F9" i="8"/>
  <c r="E11" i="8"/>
  <c r="I10" i="8"/>
  <c r="H10" i="8"/>
  <c r="G8" i="8"/>
  <c r="F8" i="8"/>
  <c r="G41" i="1"/>
  <c r="G10" i="8"/>
  <c r="F41" i="1"/>
  <c r="Q16" i="10" l="1"/>
  <c r="U16" i="10" s="1"/>
  <c r="Q19" i="10"/>
  <c r="U19" i="10" s="1"/>
  <c r="Q22" i="10"/>
  <c r="U22" i="10" s="1"/>
  <c r="Q25" i="10"/>
  <c r="U25" i="10" s="1"/>
  <c r="Q28" i="10"/>
  <c r="U28" i="10" s="1"/>
  <c r="Q69" i="10"/>
  <c r="U69" i="10" s="1"/>
  <c r="Q73" i="10"/>
  <c r="U73" i="10" s="1"/>
  <c r="Q77" i="10"/>
  <c r="U77" i="10" s="1"/>
  <c r="Q65" i="10"/>
  <c r="U65" i="10" s="1"/>
  <c r="Q68" i="10"/>
  <c r="U68" i="10" s="1"/>
  <c r="Q72" i="10"/>
  <c r="U72" i="10" s="1"/>
  <c r="Q76" i="10"/>
  <c r="U76" i="10" s="1"/>
  <c r="Q67" i="10"/>
  <c r="Q71" i="10"/>
  <c r="U71" i="10" s="1"/>
  <c r="Q75" i="10"/>
  <c r="U75" i="10" s="1"/>
  <c r="Q79" i="10"/>
  <c r="U79" i="10" s="1"/>
  <c r="Q70" i="10"/>
  <c r="U70" i="10" s="1"/>
  <c r="Q74" i="10"/>
  <c r="U74" i="10" s="1"/>
  <c r="Q78" i="10"/>
  <c r="U78" i="10" s="1"/>
  <c r="Q66" i="10"/>
  <c r="J92" i="10"/>
  <c r="U92" i="10" s="1"/>
  <c r="J93" i="10"/>
  <c r="U93" i="10" s="1"/>
  <c r="J66" i="10"/>
  <c r="J67" i="10"/>
  <c r="U67" i="10" s="1"/>
  <c r="H75" i="13"/>
  <c r="H69" i="13"/>
  <c r="H65" i="13"/>
  <c r="H64" i="13"/>
  <c r="E10" i="8"/>
  <c r="I8" i="8"/>
  <c r="E9" i="8"/>
  <c r="F11" i="8"/>
  <c r="G11" i="8"/>
  <c r="E8" i="8"/>
  <c r="H8" i="8"/>
  <c r="DA40" i="15" l="1"/>
  <c r="BE40" i="15"/>
  <c r="I40" i="15"/>
  <c r="AG40" i="14"/>
  <c r="CC40" i="14"/>
  <c r="DA40" i="13"/>
  <c r="BE40" i="13"/>
  <c r="I40" i="13"/>
  <c r="I40" i="14"/>
  <c r="BE40" i="14"/>
  <c r="DA40" i="14"/>
  <c r="CC40" i="15"/>
  <c r="AG40" i="15"/>
  <c r="CC40" i="13"/>
  <c r="AG40" i="13"/>
  <c r="CC39" i="15"/>
  <c r="AG39" i="15"/>
  <c r="I39" i="14"/>
  <c r="BE39" i="14"/>
  <c r="DA39" i="14"/>
  <c r="CC39" i="13"/>
  <c r="AG39" i="13"/>
  <c r="DA39" i="15"/>
  <c r="BE39" i="15"/>
  <c r="I39" i="15"/>
  <c r="AG39" i="14"/>
  <c r="CC39" i="14"/>
  <c r="I39" i="13"/>
  <c r="DA39" i="13"/>
  <c r="BE39" i="13"/>
  <c r="CC14" i="15"/>
  <c r="AG14" i="15"/>
  <c r="DA14" i="14"/>
  <c r="BE14" i="14"/>
  <c r="I14" i="14"/>
  <c r="CC14" i="13"/>
  <c r="AG14" i="13"/>
  <c r="DA14" i="15"/>
  <c r="BE14" i="15"/>
  <c r="CC14" i="14"/>
  <c r="AG14" i="14"/>
  <c r="DA14" i="13"/>
  <c r="BE14" i="13"/>
  <c r="I14" i="13"/>
  <c r="I14" i="15"/>
  <c r="CC26" i="15"/>
  <c r="AG26" i="15"/>
  <c r="DA26" i="14"/>
  <c r="CC26" i="14"/>
  <c r="AG26" i="14"/>
  <c r="DA26" i="13"/>
  <c r="BE26" i="13"/>
  <c r="I26" i="13"/>
  <c r="DA26" i="15"/>
  <c r="BE26" i="15"/>
  <c r="I26" i="15"/>
  <c r="BE26" i="14"/>
  <c r="I26" i="14"/>
  <c r="CC26" i="13"/>
  <c r="AG26" i="13"/>
  <c r="DA23" i="15"/>
  <c r="BE23" i="15"/>
  <c r="I23" i="15"/>
  <c r="CC23" i="14"/>
  <c r="AG23" i="14"/>
  <c r="DA23" i="13"/>
  <c r="BE23" i="13"/>
  <c r="I23" i="13"/>
  <c r="CC23" i="15"/>
  <c r="AG23" i="15"/>
  <c r="DA23" i="14"/>
  <c r="BE23" i="14"/>
  <c r="CC23" i="13"/>
  <c r="AG23" i="13"/>
  <c r="I23" i="14"/>
  <c r="CC25" i="15"/>
  <c r="AG25" i="15"/>
  <c r="DA25" i="14"/>
  <c r="BE25" i="14"/>
  <c r="I25" i="14"/>
  <c r="CC25" i="13"/>
  <c r="AG25" i="13"/>
  <c r="DA25" i="15"/>
  <c r="BE25" i="15"/>
  <c r="I25" i="15"/>
  <c r="CC25" i="14"/>
  <c r="AG25" i="14"/>
  <c r="DA25" i="13"/>
  <c r="BE25" i="13"/>
  <c r="I25" i="13"/>
  <c r="DA20" i="15"/>
  <c r="BE20" i="15"/>
  <c r="I20" i="15"/>
  <c r="CC20" i="15"/>
  <c r="AG20" i="15"/>
  <c r="DA20" i="14"/>
  <c r="BE20" i="14"/>
  <c r="I20" i="14"/>
  <c r="CC20" i="13"/>
  <c r="AG20" i="13"/>
  <c r="CC20" i="14"/>
  <c r="AG20" i="14"/>
  <c r="DA20" i="13"/>
  <c r="BE20" i="13"/>
  <c r="I20" i="13"/>
  <c r="CC21" i="15"/>
  <c r="AG21" i="15"/>
  <c r="DA21" i="14"/>
  <c r="BE21" i="14"/>
  <c r="I21" i="14"/>
  <c r="CC21" i="13"/>
  <c r="AG21" i="13"/>
  <c r="DA21" i="15"/>
  <c r="CC21" i="14"/>
  <c r="AG21" i="14"/>
  <c r="DA21" i="13"/>
  <c r="BE21" i="13"/>
  <c r="I21" i="13"/>
  <c r="BE21" i="15"/>
  <c r="I21" i="15"/>
  <c r="CC18" i="15"/>
  <c r="AG18" i="15"/>
  <c r="DA18" i="14"/>
  <c r="DA18" i="15"/>
  <c r="BE18" i="15"/>
  <c r="I18" i="15"/>
  <c r="DA18" i="13"/>
  <c r="BE18" i="13"/>
  <c r="AG18" i="13"/>
  <c r="I18" i="13"/>
  <c r="CC18" i="14"/>
  <c r="BE18" i="14"/>
  <c r="AG18" i="14"/>
  <c r="I18" i="14"/>
  <c r="CC18" i="13"/>
  <c r="DA15" i="15"/>
  <c r="BE15" i="15"/>
  <c r="I15" i="15"/>
  <c r="CC15" i="14"/>
  <c r="AG15" i="14"/>
  <c r="DA15" i="13"/>
  <c r="BE15" i="13"/>
  <c r="I15" i="13"/>
  <c r="CC15" i="15"/>
  <c r="AG15" i="15"/>
  <c r="DA15" i="14"/>
  <c r="BE15" i="14"/>
  <c r="I15" i="14"/>
  <c r="CC15" i="13"/>
  <c r="AG15" i="13"/>
  <c r="DA16" i="15"/>
  <c r="BE16" i="15"/>
  <c r="I16" i="15"/>
  <c r="CC16" i="14"/>
  <c r="AG16" i="14"/>
  <c r="DA16" i="13"/>
  <c r="BE16" i="13"/>
  <c r="I16" i="13"/>
  <c r="CC16" i="15"/>
  <c r="AG16" i="15"/>
  <c r="BE16" i="14"/>
  <c r="I16" i="14"/>
  <c r="CC16" i="13"/>
  <c r="AG16" i="13"/>
  <c r="DA16" i="14"/>
  <c r="DA24" i="15"/>
  <c r="BE24" i="15"/>
  <c r="I24" i="15"/>
  <c r="BE24" i="14"/>
  <c r="I24" i="14"/>
  <c r="CC24" i="13"/>
  <c r="AG24" i="13"/>
  <c r="CC24" i="15"/>
  <c r="AG24" i="15"/>
  <c r="DA24" i="14"/>
  <c r="CC24" i="14"/>
  <c r="BE24" i="13"/>
  <c r="I24" i="13"/>
  <c r="AG24" i="14"/>
  <c r="DA24" i="13"/>
  <c r="CC22" i="15"/>
  <c r="AG22" i="15"/>
  <c r="DA22" i="14"/>
  <c r="CC22" i="14"/>
  <c r="AG22" i="14"/>
  <c r="DA22" i="13"/>
  <c r="BE22" i="13"/>
  <c r="I22" i="13"/>
  <c r="I22" i="15"/>
  <c r="BE22" i="14"/>
  <c r="I22" i="14"/>
  <c r="CC22" i="13"/>
  <c r="AG22" i="13"/>
  <c r="DA22" i="15"/>
  <c r="BE22" i="15"/>
  <c r="DA19" i="15"/>
  <c r="BE19" i="15"/>
  <c r="I19" i="15"/>
  <c r="CC19" i="14"/>
  <c r="AG19" i="14"/>
  <c r="DA19" i="13"/>
  <c r="BE19" i="13"/>
  <c r="I19" i="13"/>
  <c r="BE19" i="14"/>
  <c r="I19" i="14"/>
  <c r="CC19" i="13"/>
  <c r="AG19" i="13"/>
  <c r="CC19" i="15"/>
  <c r="AG19" i="15"/>
  <c r="DA19" i="14"/>
  <c r="CC17" i="15"/>
  <c r="AG17" i="15"/>
  <c r="DA17" i="14"/>
  <c r="BE17" i="14"/>
  <c r="I17" i="14"/>
  <c r="CC17" i="13"/>
  <c r="AG17" i="13"/>
  <c r="DA17" i="15"/>
  <c r="BE17" i="15"/>
  <c r="I17" i="15"/>
  <c r="CC17" i="14"/>
  <c r="AG17" i="14"/>
  <c r="DA17" i="13"/>
  <c r="BE17" i="13"/>
  <c r="I17" i="13"/>
  <c r="DA12" i="15"/>
  <c r="BE12" i="15"/>
  <c r="I12" i="15"/>
  <c r="CC12" i="14"/>
  <c r="CC12" i="15"/>
  <c r="AG12" i="15"/>
  <c r="DA12" i="14"/>
  <c r="AG12" i="14"/>
  <c r="DA12" i="13"/>
  <c r="BE12" i="13"/>
  <c r="I12" i="13"/>
  <c r="I12" i="14"/>
  <c r="CC12" i="13"/>
  <c r="BE12" i="14"/>
  <c r="AG12" i="13"/>
  <c r="DA100" i="15"/>
  <c r="BE100" i="15"/>
  <c r="I100" i="15"/>
  <c r="CC100" i="14"/>
  <c r="AG100" i="14"/>
  <c r="DA100" i="13"/>
  <c r="BE100" i="13"/>
  <c r="I100" i="13"/>
  <c r="CC100" i="15"/>
  <c r="AG100" i="15"/>
  <c r="DA100" i="14"/>
  <c r="BE100" i="14"/>
  <c r="I100" i="14"/>
  <c r="CC100" i="13"/>
  <c r="AG100" i="13"/>
  <c r="DA97" i="15"/>
  <c r="BE97" i="15"/>
  <c r="I97" i="15"/>
  <c r="CC97" i="14"/>
  <c r="AG97" i="14"/>
  <c r="DA97" i="13"/>
  <c r="BE97" i="13"/>
  <c r="I97" i="13"/>
  <c r="CC97" i="15"/>
  <c r="AG97" i="15"/>
  <c r="DA97" i="14"/>
  <c r="BE97" i="14"/>
  <c r="I97" i="14"/>
  <c r="CC97" i="13"/>
  <c r="AG97" i="13"/>
  <c r="CC94" i="15"/>
  <c r="AG94" i="15"/>
  <c r="DA94" i="14"/>
  <c r="BE94" i="14"/>
  <c r="I94" i="14"/>
  <c r="CC94" i="13"/>
  <c r="AG94" i="13"/>
  <c r="DA94" i="15"/>
  <c r="BE94" i="15"/>
  <c r="I94" i="15"/>
  <c r="CC94" i="14"/>
  <c r="AG94" i="14"/>
  <c r="DA94" i="13"/>
  <c r="BE94" i="13"/>
  <c r="I94" i="13"/>
  <c r="CC103" i="15"/>
  <c r="AG103" i="15"/>
  <c r="DA103" i="14"/>
  <c r="BE103" i="14"/>
  <c r="I103" i="14"/>
  <c r="CC103" i="13"/>
  <c r="AG103" i="13"/>
  <c r="CC103" i="14"/>
  <c r="DA103" i="15"/>
  <c r="BE103" i="15"/>
  <c r="I103" i="15"/>
  <c r="AG103" i="14"/>
  <c r="DA103" i="13"/>
  <c r="BE103" i="13"/>
  <c r="I103" i="13"/>
  <c r="CC91" i="15"/>
  <c r="AG91" i="15"/>
  <c r="DA91" i="14"/>
  <c r="BE91" i="14"/>
  <c r="I91" i="14"/>
  <c r="CC91" i="13"/>
  <c r="AG91" i="13"/>
  <c r="DA91" i="15"/>
  <c r="BE91" i="15"/>
  <c r="I91" i="15"/>
  <c r="CC91" i="14"/>
  <c r="AG91" i="14"/>
  <c r="DA91" i="13"/>
  <c r="I91" i="13"/>
  <c r="BE91" i="13"/>
  <c r="U66" i="10"/>
  <c r="AG13" i="16" s="1"/>
  <c r="DA14" i="16"/>
  <c r="CC14" i="16"/>
  <c r="BE14" i="16"/>
  <c r="AG14" i="16"/>
  <c r="I14" i="16"/>
  <c r="DA26" i="16"/>
  <c r="CC26" i="16"/>
  <c r="BE26" i="16"/>
  <c r="AG26" i="16"/>
  <c r="I26" i="16"/>
  <c r="DA23" i="16"/>
  <c r="CC23" i="16"/>
  <c r="BE23" i="16"/>
  <c r="AG23" i="16"/>
  <c r="I23" i="16"/>
  <c r="DA24" i="16"/>
  <c r="CC24" i="16"/>
  <c r="BE24" i="16"/>
  <c r="AG24" i="16"/>
  <c r="I24" i="16"/>
  <c r="DA100" i="16"/>
  <c r="CC100" i="16"/>
  <c r="BE100" i="16"/>
  <c r="AG100" i="16"/>
  <c r="I100" i="16"/>
  <c r="DA25" i="16"/>
  <c r="CC25" i="16"/>
  <c r="BE25" i="16"/>
  <c r="AG25" i="16"/>
  <c r="I25" i="16"/>
  <c r="DA22" i="16"/>
  <c r="CC22" i="16"/>
  <c r="BE22" i="16"/>
  <c r="AG22" i="16"/>
  <c r="I22" i="16"/>
  <c r="DA19" i="16"/>
  <c r="CC19" i="16"/>
  <c r="BE19" i="16"/>
  <c r="AG19" i="16"/>
  <c r="I19" i="16"/>
  <c r="DA20" i="16"/>
  <c r="CC20" i="16"/>
  <c r="BE20" i="16"/>
  <c r="AG20" i="16"/>
  <c r="I20" i="16"/>
  <c r="DA97" i="16"/>
  <c r="CC97" i="16"/>
  <c r="BE97" i="16"/>
  <c r="AG97" i="16"/>
  <c r="I97" i="16"/>
  <c r="CC40" i="16"/>
  <c r="BE40" i="16"/>
  <c r="AG40" i="16"/>
  <c r="DA40" i="16"/>
  <c r="I40" i="16"/>
  <c r="DA21" i="16"/>
  <c r="CC21" i="16"/>
  <c r="BE21" i="16"/>
  <c r="AG21" i="16"/>
  <c r="I21" i="16"/>
  <c r="DA18" i="16"/>
  <c r="CC18" i="16"/>
  <c r="BE18" i="16"/>
  <c r="AG18" i="16"/>
  <c r="I18" i="16"/>
  <c r="DA15" i="16"/>
  <c r="CC15" i="16"/>
  <c r="BE15" i="16"/>
  <c r="AG15" i="16"/>
  <c r="I15" i="16"/>
  <c r="DA16" i="16"/>
  <c r="CC16" i="16"/>
  <c r="BE16" i="16"/>
  <c r="AG16" i="16"/>
  <c r="I16" i="16"/>
  <c r="DA94" i="16"/>
  <c r="CC94" i="16"/>
  <c r="BE94" i="16"/>
  <c r="AG94" i="16"/>
  <c r="I94" i="16"/>
  <c r="CC39" i="16"/>
  <c r="BE39" i="16"/>
  <c r="AG39" i="16"/>
  <c r="DA39" i="16"/>
  <c r="I39" i="16"/>
  <c r="DA17" i="16"/>
  <c r="CC17" i="16"/>
  <c r="BE17" i="16"/>
  <c r="AG17" i="16"/>
  <c r="I17" i="16"/>
  <c r="DA12" i="16"/>
  <c r="CC12" i="16"/>
  <c r="BE12" i="16"/>
  <c r="AG12" i="16"/>
  <c r="I12" i="16"/>
  <c r="DA103" i="16"/>
  <c r="CC103" i="16"/>
  <c r="BE103" i="16"/>
  <c r="AG103" i="16"/>
  <c r="I103" i="16"/>
  <c r="DA91" i="16"/>
  <c r="CC91" i="16"/>
  <c r="BE91" i="16"/>
  <c r="AG91" i="16"/>
  <c r="I91" i="16"/>
  <c r="AY95" i="14"/>
  <c r="BW95" i="14"/>
  <c r="CU95" i="14"/>
  <c r="C95" i="14"/>
  <c r="AA95" i="14"/>
  <c r="BW95" i="16"/>
  <c r="CU95" i="15"/>
  <c r="C95" i="15"/>
  <c r="AA95" i="13"/>
  <c r="CU95" i="16"/>
  <c r="C95" i="16"/>
  <c r="AA95" i="15"/>
  <c r="AY95" i="13"/>
  <c r="C95" i="13"/>
  <c r="AA95" i="16"/>
  <c r="AY95" i="15"/>
  <c r="BW95" i="13"/>
  <c r="AY95" i="16"/>
  <c r="BW95" i="15"/>
  <c r="CU95" i="13"/>
  <c r="CU98" i="14"/>
  <c r="C98" i="14"/>
  <c r="AA98" i="14"/>
  <c r="AY98" i="14"/>
  <c r="BW98" i="14"/>
  <c r="AA98" i="16"/>
  <c r="AY98" i="15"/>
  <c r="BW98" i="13"/>
  <c r="AY98" i="16"/>
  <c r="BW98" i="15"/>
  <c r="CU98" i="13"/>
  <c r="BW98" i="16"/>
  <c r="CU98" i="15"/>
  <c r="C98" i="15"/>
  <c r="AA98" i="13"/>
  <c r="CU98" i="16"/>
  <c r="C98" i="16"/>
  <c r="AA98" i="15"/>
  <c r="AY98" i="13"/>
  <c r="C98" i="13"/>
  <c r="AY101" i="14"/>
  <c r="BW101" i="14"/>
  <c r="CU101" i="14"/>
  <c r="C101" i="14"/>
  <c r="AA101" i="14"/>
  <c r="BW101" i="16"/>
  <c r="CU101" i="15"/>
  <c r="C101" i="15"/>
  <c r="AA101" i="13"/>
  <c r="CU101" i="16"/>
  <c r="C101" i="16"/>
  <c r="AA101" i="15"/>
  <c r="AY101" i="13"/>
  <c r="C101" i="13"/>
  <c r="AA101" i="16"/>
  <c r="AY101" i="15"/>
  <c r="BW101" i="13"/>
  <c r="AY101" i="16"/>
  <c r="BW101" i="15"/>
  <c r="CU101" i="13"/>
  <c r="CU92" i="14"/>
  <c r="C92" i="14"/>
  <c r="AA92" i="14"/>
  <c r="AY92" i="14"/>
  <c r="BW92" i="14"/>
  <c r="AA92" i="16"/>
  <c r="AY92" i="15"/>
  <c r="BW92" i="13"/>
  <c r="AY92" i="16"/>
  <c r="BW92" i="15"/>
  <c r="CU92" i="13"/>
  <c r="BW92" i="16"/>
  <c r="CU92" i="15"/>
  <c r="C92" i="15"/>
  <c r="AA92" i="13"/>
  <c r="CU92" i="16"/>
  <c r="C92" i="16"/>
  <c r="AA92" i="15"/>
  <c r="AY92" i="13"/>
  <c r="C92" i="13"/>
  <c r="CU88" i="14"/>
  <c r="C88" i="14"/>
  <c r="AA88" i="14"/>
  <c r="AY88" i="14"/>
  <c r="AA88" i="13"/>
  <c r="BW88" i="14"/>
  <c r="AY88" i="16"/>
  <c r="BW88" i="15"/>
  <c r="CU88" i="13"/>
  <c r="BW88" i="16"/>
  <c r="CU88" i="15"/>
  <c r="C88" i="15"/>
  <c r="CU88" i="16"/>
  <c r="C88" i="16"/>
  <c r="AA88" i="15"/>
  <c r="AY88" i="13"/>
  <c r="AA88" i="16"/>
  <c r="AY88" i="15"/>
  <c r="BW88" i="13"/>
  <c r="C88" i="13"/>
  <c r="AA90" i="14"/>
  <c r="AY90" i="14"/>
  <c r="BW90" i="14"/>
  <c r="CU90" i="14"/>
  <c r="C90" i="14"/>
  <c r="CU90" i="16"/>
  <c r="C90" i="16"/>
  <c r="AA90" i="15"/>
  <c r="AY90" i="13"/>
  <c r="AA90" i="16"/>
  <c r="AY90" i="15"/>
  <c r="BW90" i="13"/>
  <c r="AY90" i="16"/>
  <c r="BW90" i="15"/>
  <c r="CU90" i="13"/>
  <c r="C90" i="13"/>
  <c r="BW90" i="16"/>
  <c r="CU90" i="15"/>
  <c r="C90" i="15"/>
  <c r="AA90" i="13"/>
  <c r="BW93" i="14"/>
  <c r="CU93" i="14"/>
  <c r="C93" i="14"/>
  <c r="AA93" i="14"/>
  <c r="AY93" i="14"/>
  <c r="AY93" i="16"/>
  <c r="BW93" i="15"/>
  <c r="CU93" i="13"/>
  <c r="C93" i="13"/>
  <c r="BW93" i="16"/>
  <c r="CU93" i="15"/>
  <c r="C93" i="15"/>
  <c r="AA93" i="13"/>
  <c r="CU93" i="16"/>
  <c r="C93" i="16"/>
  <c r="AA93" i="15"/>
  <c r="AY93" i="13"/>
  <c r="AA93" i="16"/>
  <c r="AY93" i="15"/>
  <c r="BW93" i="13"/>
  <c r="BW99" i="14"/>
  <c r="CU99" i="14"/>
  <c r="C99" i="14"/>
  <c r="AA99" i="14"/>
  <c r="AY99" i="14"/>
  <c r="AY99" i="16"/>
  <c r="BW99" i="15"/>
  <c r="CU99" i="13"/>
  <c r="C99" i="13"/>
  <c r="BW99" i="16"/>
  <c r="CU99" i="15"/>
  <c r="C99" i="15"/>
  <c r="AA99" i="13"/>
  <c r="CU99" i="16"/>
  <c r="C99" i="16"/>
  <c r="AA99" i="15"/>
  <c r="AY99" i="13"/>
  <c r="AA99" i="16"/>
  <c r="AY99" i="15"/>
  <c r="BW99" i="13"/>
  <c r="AA102" i="14"/>
  <c r="AY102" i="14"/>
  <c r="BW102" i="14"/>
  <c r="CU102" i="14"/>
  <c r="C102" i="14"/>
  <c r="CU102" i="16"/>
  <c r="C102" i="16"/>
  <c r="AA102" i="15"/>
  <c r="AY102" i="13"/>
  <c r="AA102" i="16"/>
  <c r="AY102" i="15"/>
  <c r="BW102" i="13"/>
  <c r="AY102" i="16"/>
  <c r="BW102" i="15"/>
  <c r="CU102" i="13"/>
  <c r="C102" i="13"/>
  <c r="BW102" i="16"/>
  <c r="CU102" i="15"/>
  <c r="C102" i="15"/>
  <c r="AA102" i="13"/>
  <c r="AA96" i="14"/>
  <c r="AY96" i="14"/>
  <c r="BW96" i="14"/>
  <c r="CU96" i="14"/>
  <c r="C96" i="14"/>
  <c r="CU96" i="16"/>
  <c r="C96" i="16"/>
  <c r="AA96" i="15"/>
  <c r="AY96" i="13"/>
  <c r="AA96" i="16"/>
  <c r="AY96" i="15"/>
  <c r="BW96" i="13"/>
  <c r="AY96" i="16"/>
  <c r="BW96" i="15"/>
  <c r="CU96" i="13"/>
  <c r="C96" i="13"/>
  <c r="BW96" i="16"/>
  <c r="CU96" i="15"/>
  <c r="C96" i="15"/>
  <c r="AA96" i="13"/>
  <c r="AY89" i="14"/>
  <c r="BW89" i="14"/>
  <c r="CU89" i="14"/>
  <c r="C89" i="14"/>
  <c r="AA89" i="14"/>
  <c r="BW89" i="16"/>
  <c r="CU89" i="15"/>
  <c r="C89" i="15"/>
  <c r="AA89" i="13"/>
  <c r="CU89" i="16"/>
  <c r="C89" i="16"/>
  <c r="AA89" i="15"/>
  <c r="AY89" i="13"/>
  <c r="C89" i="13"/>
  <c r="AA89" i="16"/>
  <c r="AY89" i="15"/>
  <c r="BW89" i="13"/>
  <c r="AY89" i="16"/>
  <c r="BW89" i="15"/>
  <c r="CU89" i="13"/>
  <c r="U63" i="15"/>
  <c r="AU63" i="15"/>
  <c r="U63" i="14"/>
  <c r="U63" i="16"/>
  <c r="BU63" i="15"/>
  <c r="DU63" i="14"/>
  <c r="AU63" i="16"/>
  <c r="AU63" i="14"/>
  <c r="BU63" i="16"/>
  <c r="DU63" i="15"/>
  <c r="BU63" i="14"/>
  <c r="CU63" i="14"/>
  <c r="CU63" i="15"/>
  <c r="U63" i="13"/>
  <c r="BU63" i="13"/>
  <c r="DU63" i="13"/>
  <c r="AU63" i="13"/>
  <c r="CU63" i="13"/>
  <c r="I13" i="8"/>
  <c r="H13" i="8"/>
  <c r="G13" i="8"/>
  <c r="F13" i="8"/>
  <c r="E13" i="8"/>
  <c r="BE13" i="16" l="1"/>
  <c r="CC13" i="16"/>
  <c r="I13" i="16"/>
  <c r="DA13" i="16"/>
  <c r="CC13" i="15"/>
  <c r="AG13" i="15"/>
  <c r="DA13" i="14"/>
  <c r="BE13" i="14"/>
  <c r="I13" i="14"/>
  <c r="CC13" i="13"/>
  <c r="AG13" i="13"/>
  <c r="DA13" i="15"/>
  <c r="BE13" i="15"/>
  <c r="I13" i="15"/>
  <c r="AG13" i="14"/>
  <c r="DA13" i="13"/>
  <c r="CC13" i="14"/>
  <c r="BE13" i="13"/>
  <c r="I13" i="13"/>
  <c r="E144" i="9"/>
  <c r="M144" i="9" s="1"/>
  <c r="E148" i="9"/>
  <c r="M148" i="9" s="1"/>
  <c r="E152" i="9"/>
  <c r="M152" i="9" s="1"/>
  <c r="E156" i="9"/>
  <c r="M156" i="9" s="1"/>
  <c r="E150" i="9"/>
  <c r="M150" i="9" s="1"/>
  <c r="E158" i="9"/>
  <c r="M158" i="9" s="1"/>
  <c r="E147" i="9"/>
  <c r="M147" i="9" s="1"/>
  <c r="E155" i="9"/>
  <c r="M155" i="9" s="1"/>
  <c r="E145" i="9"/>
  <c r="M145" i="9" s="1"/>
  <c r="E149" i="9"/>
  <c r="M149" i="9" s="1"/>
  <c r="E153" i="9"/>
  <c r="M153" i="9" s="1"/>
  <c r="E157" i="9"/>
  <c r="M157" i="9" s="1"/>
  <c r="E146" i="9"/>
  <c r="M146" i="9" s="1"/>
  <c r="E154" i="9"/>
  <c r="M154" i="9" s="1"/>
  <c r="E151" i="9"/>
  <c r="M151" i="9" s="1"/>
  <c r="E143" i="9"/>
  <c r="M143" i="9" s="1"/>
  <c r="U64" i="15"/>
  <c r="DU64" i="14"/>
  <c r="BU64" i="16"/>
  <c r="CU64" i="15"/>
  <c r="AU64" i="16"/>
  <c r="U64" i="16"/>
  <c r="DU64" i="15"/>
  <c r="BU64" i="14"/>
  <c r="BU65" i="14" s="1"/>
  <c r="BU66" i="14" s="1"/>
  <c r="BU67" i="14" s="1"/>
  <c r="BU68" i="14" s="1"/>
  <c r="U64" i="14"/>
  <c r="AU64" i="14"/>
  <c r="AU64" i="15"/>
  <c r="CU64" i="14"/>
  <c r="BU64" i="15"/>
  <c r="DU64" i="13"/>
  <c r="CU64" i="13"/>
  <c r="AU64" i="13"/>
  <c r="U64" i="13"/>
  <c r="BU64" i="13"/>
  <c r="U65" i="16" l="1"/>
  <c r="U66" i="16" s="1"/>
  <c r="U67" i="16" s="1"/>
  <c r="U68" i="16" s="1"/>
  <c r="AU65" i="13"/>
  <c r="AU66" i="13" s="1"/>
  <c r="AU67" i="13" s="1"/>
  <c r="AU68" i="13" s="1"/>
  <c r="DI63" i="16"/>
  <c r="CI63" i="16"/>
  <c r="BI63" i="16"/>
  <c r="AI63" i="16"/>
  <c r="DI63" i="15"/>
  <c r="CI63" i="15"/>
  <c r="BI63" i="15"/>
  <c r="AI63" i="15"/>
  <c r="CI63" i="14"/>
  <c r="BI63" i="14"/>
  <c r="DI63" i="13"/>
  <c r="I63" i="16"/>
  <c r="DI63" i="14"/>
  <c r="AI63" i="14"/>
  <c r="CI63" i="13"/>
  <c r="AI63" i="13"/>
  <c r="I63" i="15"/>
  <c r="I63" i="13"/>
  <c r="BI63" i="13"/>
  <c r="I63" i="14"/>
  <c r="DI76" i="16"/>
  <c r="DJ76" i="16" s="1"/>
  <c r="CI76" i="16"/>
  <c r="CJ76" i="16" s="1"/>
  <c r="BI76" i="16"/>
  <c r="BJ76" i="16" s="1"/>
  <c r="AI76" i="16"/>
  <c r="AJ76" i="16" s="1"/>
  <c r="I76" i="13"/>
  <c r="J76" i="13" s="1"/>
  <c r="BI76" i="15"/>
  <c r="BI76" i="13"/>
  <c r="BJ76" i="13" s="1"/>
  <c r="DI76" i="15"/>
  <c r="DJ76" i="15" s="1"/>
  <c r="CI76" i="15"/>
  <c r="CJ76" i="15" s="1"/>
  <c r="AI76" i="15"/>
  <c r="AJ76" i="15" s="1"/>
  <c r="CI76" i="14"/>
  <c r="CJ76" i="14" s="1"/>
  <c r="DI76" i="14"/>
  <c r="DJ76" i="14" s="1"/>
  <c r="BI76" i="14"/>
  <c r="BJ76" i="14" s="1"/>
  <c r="AI76" i="14"/>
  <c r="AJ76" i="14" s="1"/>
  <c r="DI76" i="13"/>
  <c r="DJ76" i="13" s="1"/>
  <c r="CI76" i="13"/>
  <c r="CJ76" i="13" s="1"/>
  <c r="AI76" i="13"/>
  <c r="AJ76" i="13" s="1"/>
  <c r="I76" i="16"/>
  <c r="J76" i="16" s="1"/>
  <c r="I76" i="15"/>
  <c r="J76" i="15" s="1"/>
  <c r="I76" i="14"/>
  <c r="J76" i="14" s="1"/>
  <c r="DI71" i="16"/>
  <c r="DJ71" i="16" s="1"/>
  <c r="CI71" i="16"/>
  <c r="CJ71" i="16" s="1"/>
  <c r="BI71" i="16"/>
  <c r="BJ71" i="16" s="1"/>
  <c r="AI71" i="16"/>
  <c r="AJ71" i="16" s="1"/>
  <c r="BI71" i="14"/>
  <c r="BJ71" i="14" s="1"/>
  <c r="DI71" i="15"/>
  <c r="DJ71" i="15" s="1"/>
  <c r="CI71" i="15"/>
  <c r="CJ71" i="15" s="1"/>
  <c r="BI71" i="15"/>
  <c r="AI71" i="15"/>
  <c r="AJ71" i="15" s="1"/>
  <c r="CI71" i="14"/>
  <c r="CJ71" i="14" s="1"/>
  <c r="DI71" i="14"/>
  <c r="DJ71" i="14" s="1"/>
  <c r="AI71" i="14"/>
  <c r="AJ71" i="14" s="1"/>
  <c r="DI71" i="13"/>
  <c r="DJ71" i="13" s="1"/>
  <c r="CI71" i="13"/>
  <c r="CJ71" i="13" s="1"/>
  <c r="BI71" i="13"/>
  <c r="BJ71" i="13" s="1"/>
  <c r="AI71" i="13"/>
  <c r="AJ71" i="13" s="1"/>
  <c r="I71" i="16"/>
  <c r="J71" i="16" s="1"/>
  <c r="I71" i="15"/>
  <c r="J71" i="15" s="1"/>
  <c r="I71" i="14"/>
  <c r="J71" i="14" s="1"/>
  <c r="I71" i="13"/>
  <c r="J71" i="13" s="1"/>
  <c r="DI72" i="16"/>
  <c r="DJ72" i="16" s="1"/>
  <c r="CI72" i="16"/>
  <c r="CJ72" i="16" s="1"/>
  <c r="BI72" i="16"/>
  <c r="BJ72" i="16" s="1"/>
  <c r="AI72" i="16"/>
  <c r="AJ72" i="16" s="1"/>
  <c r="I72" i="13"/>
  <c r="J72" i="13" s="1"/>
  <c r="DI72" i="14"/>
  <c r="DJ72" i="14" s="1"/>
  <c r="BI72" i="14"/>
  <c r="BJ72" i="14" s="1"/>
  <c r="AI72" i="14"/>
  <c r="AJ72" i="14" s="1"/>
  <c r="DI72" i="13"/>
  <c r="DJ72" i="13" s="1"/>
  <c r="CI72" i="13"/>
  <c r="CJ72" i="13" s="1"/>
  <c r="BI72" i="13"/>
  <c r="BJ72" i="13" s="1"/>
  <c r="AI72" i="13"/>
  <c r="AJ72" i="13" s="1"/>
  <c r="I72" i="16"/>
  <c r="J72" i="16" s="1"/>
  <c r="I72" i="15"/>
  <c r="J72" i="15" s="1"/>
  <c r="I72" i="14"/>
  <c r="J72" i="14" s="1"/>
  <c r="DI72" i="15"/>
  <c r="DJ72" i="15" s="1"/>
  <c r="BI72" i="15"/>
  <c r="AI72" i="15"/>
  <c r="AJ72" i="15" s="1"/>
  <c r="CI72" i="14"/>
  <c r="CJ72" i="14" s="1"/>
  <c r="CI72" i="15"/>
  <c r="CJ72" i="15" s="1"/>
  <c r="DI74" i="16"/>
  <c r="DJ74" i="16" s="1"/>
  <c r="CI74" i="16"/>
  <c r="CJ74" i="16" s="1"/>
  <c r="BI74" i="16"/>
  <c r="BJ74" i="16" s="1"/>
  <c r="AI74" i="16"/>
  <c r="AJ74" i="16" s="1"/>
  <c r="DI74" i="15"/>
  <c r="DJ74" i="15" s="1"/>
  <c r="CI74" i="15"/>
  <c r="CJ74" i="15" s="1"/>
  <c r="BI74" i="15"/>
  <c r="AI74" i="15"/>
  <c r="AJ74" i="15" s="1"/>
  <c r="CI74" i="14"/>
  <c r="CJ74" i="14" s="1"/>
  <c r="DI74" i="14"/>
  <c r="DJ74" i="14" s="1"/>
  <c r="BI74" i="14"/>
  <c r="BJ74" i="14" s="1"/>
  <c r="AI74" i="14"/>
  <c r="AJ74" i="14" s="1"/>
  <c r="DI74" i="13"/>
  <c r="DJ74" i="13" s="1"/>
  <c r="CI74" i="13"/>
  <c r="CJ74" i="13" s="1"/>
  <c r="BI74" i="13"/>
  <c r="BJ74" i="13" s="1"/>
  <c r="AI74" i="13"/>
  <c r="AJ74" i="13" s="1"/>
  <c r="I74" i="16"/>
  <c r="J74" i="16" s="1"/>
  <c r="I74" i="15"/>
  <c r="J74" i="15" s="1"/>
  <c r="I74" i="14"/>
  <c r="J74" i="14" s="1"/>
  <c r="I74" i="13"/>
  <c r="J74" i="13" s="1"/>
  <c r="DI69" i="16"/>
  <c r="DJ69" i="16" s="1"/>
  <c r="CI69" i="16"/>
  <c r="CJ69" i="16" s="1"/>
  <c r="BI69" i="16"/>
  <c r="BJ69" i="16" s="1"/>
  <c r="AI69" i="16"/>
  <c r="AJ69" i="16" s="1"/>
  <c r="DI69" i="15"/>
  <c r="DJ69" i="15" s="1"/>
  <c r="CI69" i="15"/>
  <c r="CJ69" i="15" s="1"/>
  <c r="BI69" i="15"/>
  <c r="AI69" i="15"/>
  <c r="AJ69" i="15" s="1"/>
  <c r="CI69" i="14"/>
  <c r="CJ69" i="14" s="1"/>
  <c r="BI69" i="14"/>
  <c r="BJ69" i="14" s="1"/>
  <c r="DI69" i="13"/>
  <c r="DJ69" i="13" s="1"/>
  <c r="BI69" i="13"/>
  <c r="BJ69" i="13" s="1"/>
  <c r="I69" i="16"/>
  <c r="J69" i="16" s="1"/>
  <c r="I69" i="14"/>
  <c r="J69" i="14" s="1"/>
  <c r="I69" i="15"/>
  <c r="J69" i="15" s="1"/>
  <c r="I69" i="13"/>
  <c r="J69" i="13" s="1"/>
  <c r="DI69" i="14"/>
  <c r="DJ69" i="14" s="1"/>
  <c r="AI69" i="14"/>
  <c r="AJ69" i="14" s="1"/>
  <c r="CI69" i="13"/>
  <c r="CJ69" i="13" s="1"/>
  <c r="AI69" i="13"/>
  <c r="AJ69" i="13" s="1"/>
  <c r="DI78" i="16"/>
  <c r="DJ78" i="16" s="1"/>
  <c r="CI78" i="16"/>
  <c r="CJ78" i="16" s="1"/>
  <c r="BI78" i="16"/>
  <c r="BJ78" i="16" s="1"/>
  <c r="AI78" i="16"/>
  <c r="AJ78" i="16" s="1"/>
  <c r="DI78" i="15"/>
  <c r="DJ78" i="15" s="1"/>
  <c r="CI78" i="15"/>
  <c r="CJ78" i="15" s="1"/>
  <c r="BI78" i="15"/>
  <c r="AI78" i="15"/>
  <c r="AJ78" i="15" s="1"/>
  <c r="CI78" i="14"/>
  <c r="CJ78" i="14" s="1"/>
  <c r="DI78" i="14"/>
  <c r="DJ78" i="14" s="1"/>
  <c r="BI78" i="14"/>
  <c r="BJ78" i="14" s="1"/>
  <c r="AI78" i="14"/>
  <c r="AJ78" i="14" s="1"/>
  <c r="DI78" i="13"/>
  <c r="DJ78" i="13" s="1"/>
  <c r="CI78" i="13"/>
  <c r="CJ78" i="13" s="1"/>
  <c r="BI78" i="13"/>
  <c r="BJ78" i="13" s="1"/>
  <c r="AI78" i="13"/>
  <c r="AJ78" i="13" s="1"/>
  <c r="I78" i="16"/>
  <c r="J78" i="16" s="1"/>
  <c r="I78" i="15"/>
  <c r="J78" i="15" s="1"/>
  <c r="I78" i="14"/>
  <c r="J78" i="14" s="1"/>
  <c r="I78" i="13"/>
  <c r="J78" i="13" s="1"/>
  <c r="DI68" i="16"/>
  <c r="DJ68" i="16" s="1"/>
  <c r="CI68" i="16"/>
  <c r="CJ68" i="16" s="1"/>
  <c r="BI68" i="16"/>
  <c r="BJ68" i="16" s="1"/>
  <c r="AI68" i="16"/>
  <c r="AJ68" i="16" s="1"/>
  <c r="I68" i="13"/>
  <c r="J68" i="13" s="1"/>
  <c r="DI68" i="15"/>
  <c r="DJ68" i="15" s="1"/>
  <c r="CI68" i="15"/>
  <c r="CJ68" i="15" s="1"/>
  <c r="BI68" i="15"/>
  <c r="AI68" i="15"/>
  <c r="AJ68" i="15" s="1"/>
  <c r="CI68" i="14"/>
  <c r="CJ68" i="14" s="1"/>
  <c r="DI68" i="14"/>
  <c r="DJ68" i="14" s="1"/>
  <c r="AI68" i="13"/>
  <c r="AJ68" i="13" s="1"/>
  <c r="BI68" i="14"/>
  <c r="BJ68" i="14" s="1"/>
  <c r="DI68" i="13"/>
  <c r="DJ68" i="13" s="1"/>
  <c r="BI68" i="13"/>
  <c r="BJ68" i="13" s="1"/>
  <c r="I68" i="16"/>
  <c r="J68" i="16" s="1"/>
  <c r="I68" i="14"/>
  <c r="J68" i="14" s="1"/>
  <c r="AI68" i="14"/>
  <c r="AJ68" i="14" s="1"/>
  <c r="CI68" i="13"/>
  <c r="CJ68" i="13" s="1"/>
  <c r="I68" i="15"/>
  <c r="J68" i="15" s="1"/>
  <c r="DI77" i="16"/>
  <c r="DJ77" i="16" s="1"/>
  <c r="CI77" i="16"/>
  <c r="CJ77" i="16" s="1"/>
  <c r="BI77" i="16"/>
  <c r="BJ77" i="16" s="1"/>
  <c r="AI77" i="16"/>
  <c r="AJ77" i="16" s="1"/>
  <c r="DI77" i="15"/>
  <c r="DJ77" i="15" s="1"/>
  <c r="CI77" i="15"/>
  <c r="CJ77" i="15" s="1"/>
  <c r="BI77" i="15"/>
  <c r="AI77" i="15"/>
  <c r="AJ77" i="15" s="1"/>
  <c r="CI77" i="14"/>
  <c r="CJ77" i="14" s="1"/>
  <c r="DI77" i="14"/>
  <c r="DJ77" i="14" s="1"/>
  <c r="BI77" i="14"/>
  <c r="BJ77" i="14" s="1"/>
  <c r="AI77" i="14"/>
  <c r="AJ77" i="14" s="1"/>
  <c r="DI77" i="13"/>
  <c r="DJ77" i="13" s="1"/>
  <c r="CI77" i="13"/>
  <c r="CJ77" i="13" s="1"/>
  <c r="BI77" i="13"/>
  <c r="BJ77" i="13" s="1"/>
  <c r="AI77" i="13"/>
  <c r="AJ77" i="13" s="1"/>
  <c r="I77" i="16"/>
  <c r="J77" i="16" s="1"/>
  <c r="I77" i="15"/>
  <c r="J77" i="15" s="1"/>
  <c r="I77" i="14"/>
  <c r="J77" i="14" s="1"/>
  <c r="I77" i="13"/>
  <c r="J77" i="13" s="1"/>
  <c r="DI75" i="16"/>
  <c r="DJ75" i="16" s="1"/>
  <c r="CI75" i="16"/>
  <c r="CJ75" i="16" s="1"/>
  <c r="BI75" i="16"/>
  <c r="BJ75" i="16" s="1"/>
  <c r="AI75" i="16"/>
  <c r="AJ75" i="16" s="1"/>
  <c r="I75" i="13"/>
  <c r="J75" i="13" s="1"/>
  <c r="DI75" i="15"/>
  <c r="DJ75" i="15" s="1"/>
  <c r="CI75" i="15"/>
  <c r="CJ75" i="15" s="1"/>
  <c r="BI75" i="15"/>
  <c r="AI75" i="15"/>
  <c r="AJ75" i="15" s="1"/>
  <c r="CI75" i="14"/>
  <c r="CJ75" i="14" s="1"/>
  <c r="DI75" i="14"/>
  <c r="DJ75" i="14" s="1"/>
  <c r="AI75" i="14"/>
  <c r="AJ75" i="14" s="1"/>
  <c r="CI75" i="13"/>
  <c r="CJ75" i="13" s="1"/>
  <c r="AI75" i="13"/>
  <c r="AJ75" i="13" s="1"/>
  <c r="I75" i="15"/>
  <c r="J75" i="15" s="1"/>
  <c r="BI75" i="13"/>
  <c r="BJ75" i="13" s="1"/>
  <c r="I75" i="16"/>
  <c r="J75" i="16" s="1"/>
  <c r="BI75" i="14"/>
  <c r="BJ75" i="14" s="1"/>
  <c r="DI75" i="13"/>
  <c r="DJ75" i="13" s="1"/>
  <c r="I75" i="14"/>
  <c r="J75" i="14" s="1"/>
  <c r="DI73" i="16"/>
  <c r="DJ73" i="16" s="1"/>
  <c r="CI73" i="16"/>
  <c r="CJ73" i="16" s="1"/>
  <c r="BI73" i="16"/>
  <c r="BJ73" i="16" s="1"/>
  <c r="AI73" i="16"/>
  <c r="AJ73" i="16" s="1"/>
  <c r="DI73" i="15"/>
  <c r="DJ73" i="15" s="1"/>
  <c r="CI73" i="15"/>
  <c r="CJ73" i="15" s="1"/>
  <c r="BI73" i="15"/>
  <c r="AI73" i="15"/>
  <c r="AJ73" i="15" s="1"/>
  <c r="CI73" i="14"/>
  <c r="CJ73" i="14" s="1"/>
  <c r="BI73" i="13"/>
  <c r="BJ73" i="13" s="1"/>
  <c r="I73" i="14"/>
  <c r="J73" i="14" s="1"/>
  <c r="DI73" i="14"/>
  <c r="DJ73" i="14" s="1"/>
  <c r="AI73" i="14"/>
  <c r="AJ73" i="14" s="1"/>
  <c r="CI73" i="13"/>
  <c r="CJ73" i="13" s="1"/>
  <c r="AI73" i="13"/>
  <c r="AJ73" i="13" s="1"/>
  <c r="I73" i="15"/>
  <c r="J73" i="15" s="1"/>
  <c r="I73" i="13"/>
  <c r="J73" i="13" s="1"/>
  <c r="BI73" i="14"/>
  <c r="BJ73" i="14" s="1"/>
  <c r="DI73" i="13"/>
  <c r="DJ73" i="13" s="1"/>
  <c r="I73" i="16"/>
  <c r="J73" i="16" s="1"/>
  <c r="DI67" i="16"/>
  <c r="DJ67" i="16" s="1"/>
  <c r="CI67" i="16"/>
  <c r="CJ67" i="16" s="1"/>
  <c r="BI67" i="16"/>
  <c r="BJ67" i="16" s="1"/>
  <c r="AI67" i="16"/>
  <c r="AJ67" i="16" s="1"/>
  <c r="DI67" i="14"/>
  <c r="DJ67" i="14" s="1"/>
  <c r="BI67" i="14"/>
  <c r="BJ67" i="14" s="1"/>
  <c r="AI67" i="14"/>
  <c r="AJ67" i="14" s="1"/>
  <c r="DI67" i="13"/>
  <c r="DJ67" i="13" s="1"/>
  <c r="CI67" i="13"/>
  <c r="CJ67" i="13" s="1"/>
  <c r="BI67" i="13"/>
  <c r="BJ67" i="13" s="1"/>
  <c r="AI67" i="13"/>
  <c r="AJ67" i="13" s="1"/>
  <c r="I67" i="16"/>
  <c r="J67" i="16" s="1"/>
  <c r="I67" i="15"/>
  <c r="J67" i="15" s="1"/>
  <c r="I67" i="14"/>
  <c r="J67" i="14" s="1"/>
  <c r="DI67" i="15"/>
  <c r="DJ67" i="15" s="1"/>
  <c r="CI67" i="15"/>
  <c r="CJ67" i="15" s="1"/>
  <c r="I67" i="13"/>
  <c r="J67" i="13" s="1"/>
  <c r="BI67" i="15"/>
  <c r="AI67" i="15"/>
  <c r="AJ67" i="15" s="1"/>
  <c r="CI67" i="14"/>
  <c r="CJ67" i="14" s="1"/>
  <c r="DI66" i="16"/>
  <c r="DJ66" i="16" s="1"/>
  <c r="CI66" i="16"/>
  <c r="CJ66" i="16" s="1"/>
  <c r="BI66" i="16"/>
  <c r="BJ66" i="16" s="1"/>
  <c r="AI66" i="16"/>
  <c r="AJ66" i="16" s="1"/>
  <c r="DI66" i="15"/>
  <c r="DJ66" i="15" s="1"/>
  <c r="CI66" i="15"/>
  <c r="CJ66" i="15" s="1"/>
  <c r="BI66" i="15"/>
  <c r="AI66" i="15"/>
  <c r="AJ66" i="15" s="1"/>
  <c r="CI66" i="14"/>
  <c r="CJ66" i="14" s="1"/>
  <c r="DI66" i="14"/>
  <c r="DJ66" i="14" s="1"/>
  <c r="BI66" i="14"/>
  <c r="BJ66" i="14" s="1"/>
  <c r="AI66" i="14"/>
  <c r="AJ66" i="14" s="1"/>
  <c r="DI66" i="13"/>
  <c r="DJ66" i="13" s="1"/>
  <c r="CI66" i="13"/>
  <c r="CJ66" i="13" s="1"/>
  <c r="BI66" i="13"/>
  <c r="BJ66" i="13" s="1"/>
  <c r="AI66" i="13"/>
  <c r="AJ66" i="13" s="1"/>
  <c r="I66" i="16"/>
  <c r="J66" i="16" s="1"/>
  <c r="I66" i="15"/>
  <c r="J66" i="15" s="1"/>
  <c r="I66" i="14"/>
  <c r="J66" i="14" s="1"/>
  <c r="I66" i="13"/>
  <c r="J66" i="13" s="1"/>
  <c r="DI65" i="16"/>
  <c r="DJ65" i="16" s="1"/>
  <c r="CI65" i="16"/>
  <c r="CJ65" i="16" s="1"/>
  <c r="BI65" i="16"/>
  <c r="BJ65" i="16" s="1"/>
  <c r="AI65" i="16"/>
  <c r="AJ65" i="16" s="1"/>
  <c r="DI65" i="15"/>
  <c r="DJ65" i="15" s="1"/>
  <c r="CI65" i="15"/>
  <c r="CJ65" i="15" s="1"/>
  <c r="BI65" i="15"/>
  <c r="AI65" i="15"/>
  <c r="AJ65" i="15" s="1"/>
  <c r="CI65" i="14"/>
  <c r="CJ65" i="14" s="1"/>
  <c r="I65" i="15"/>
  <c r="J65" i="15" s="1"/>
  <c r="I65" i="13"/>
  <c r="J65" i="13" s="1"/>
  <c r="DI65" i="14"/>
  <c r="DJ65" i="14" s="1"/>
  <c r="BI65" i="14"/>
  <c r="BJ65" i="14" s="1"/>
  <c r="AI65" i="14"/>
  <c r="AJ65" i="14" s="1"/>
  <c r="DI65" i="13"/>
  <c r="DJ65" i="13" s="1"/>
  <c r="CI65" i="13"/>
  <c r="CJ65" i="13" s="1"/>
  <c r="BI65" i="13"/>
  <c r="BJ65" i="13" s="1"/>
  <c r="AI65" i="13"/>
  <c r="AJ65" i="13" s="1"/>
  <c r="I65" i="16"/>
  <c r="J65" i="16" s="1"/>
  <c r="I65" i="14"/>
  <c r="J65" i="14" s="1"/>
  <c r="DI70" i="16"/>
  <c r="DJ70" i="16" s="1"/>
  <c r="CI70" i="16"/>
  <c r="CJ70" i="16" s="1"/>
  <c r="BI70" i="16"/>
  <c r="BJ70" i="16" s="1"/>
  <c r="AI70" i="16"/>
  <c r="AJ70" i="16" s="1"/>
  <c r="DI70" i="15"/>
  <c r="DJ70" i="15" s="1"/>
  <c r="CI70" i="15"/>
  <c r="CJ70" i="15" s="1"/>
  <c r="BI70" i="15"/>
  <c r="AI70" i="15"/>
  <c r="AJ70" i="15" s="1"/>
  <c r="CI70" i="14"/>
  <c r="CJ70" i="14" s="1"/>
  <c r="DI70" i="14"/>
  <c r="DJ70" i="14" s="1"/>
  <c r="BI70" i="14"/>
  <c r="BJ70" i="14" s="1"/>
  <c r="AI70" i="14"/>
  <c r="AJ70" i="14" s="1"/>
  <c r="DI70" i="13"/>
  <c r="DJ70" i="13" s="1"/>
  <c r="CI70" i="13"/>
  <c r="CJ70" i="13" s="1"/>
  <c r="BI70" i="13"/>
  <c r="BJ70" i="13" s="1"/>
  <c r="AI70" i="13"/>
  <c r="AJ70" i="13" s="1"/>
  <c r="I70" i="16"/>
  <c r="J70" i="16" s="1"/>
  <c r="I70" i="15"/>
  <c r="J70" i="15" s="1"/>
  <c r="I70" i="14"/>
  <c r="J70" i="14" s="1"/>
  <c r="I70" i="13"/>
  <c r="J70" i="13" s="1"/>
  <c r="DI64" i="16"/>
  <c r="DJ64" i="16" s="1"/>
  <c r="CI64" i="16"/>
  <c r="CJ64" i="16" s="1"/>
  <c r="BI64" i="16"/>
  <c r="BJ64" i="16" s="1"/>
  <c r="AI64" i="16"/>
  <c r="AJ64" i="16" s="1"/>
  <c r="I64" i="13"/>
  <c r="J64" i="13" s="1"/>
  <c r="DI64" i="14"/>
  <c r="DJ64" i="14" s="1"/>
  <c r="AI64" i="14"/>
  <c r="AJ64" i="14" s="1"/>
  <c r="CI64" i="13"/>
  <c r="CJ64" i="13" s="1"/>
  <c r="AI64" i="13"/>
  <c r="AJ64" i="13" s="1"/>
  <c r="I64" i="15"/>
  <c r="J64" i="15" s="1"/>
  <c r="BI64" i="14"/>
  <c r="BJ64" i="14" s="1"/>
  <c r="DI64" i="13"/>
  <c r="DJ64" i="13" s="1"/>
  <c r="I64" i="14"/>
  <c r="J64" i="14" s="1"/>
  <c r="CI64" i="15"/>
  <c r="CJ64" i="15" s="1"/>
  <c r="AI64" i="15"/>
  <c r="AJ64" i="15" s="1"/>
  <c r="DI64" i="15"/>
  <c r="DJ64" i="15" s="1"/>
  <c r="BI64" i="13"/>
  <c r="BJ64" i="13" s="1"/>
  <c r="I64" i="16"/>
  <c r="J64" i="16" s="1"/>
  <c r="BI64" i="15"/>
  <c r="CI64" i="14"/>
  <c r="CJ64" i="14" s="1"/>
  <c r="U69" i="16"/>
  <c r="U70" i="16" s="1"/>
  <c r="U71" i="16" s="1"/>
  <c r="U72" i="16" s="1"/>
  <c r="U73" i="16" s="1"/>
  <c r="U74" i="16" s="1"/>
  <c r="U75" i="16" s="1"/>
  <c r="U76" i="16" s="1"/>
  <c r="U77" i="16" s="1"/>
  <c r="U78" i="16" s="1"/>
  <c r="R160" i="16" s="1"/>
  <c r="AU65" i="14"/>
  <c r="AU66" i="14" s="1"/>
  <c r="AU67" i="14" s="1"/>
  <c r="AU68" i="14" s="1"/>
  <c r="AU69" i="14" s="1"/>
  <c r="AU70" i="14" s="1"/>
  <c r="AU71" i="14" s="1"/>
  <c r="AU72" i="14" s="1"/>
  <c r="AU73" i="14" s="1"/>
  <c r="AU74" i="14" s="1"/>
  <c r="AU75" i="14" s="1"/>
  <c r="AU76" i="14" s="1"/>
  <c r="AU77" i="14" s="1"/>
  <c r="AU78" i="14" s="1"/>
  <c r="S160" i="14" s="1"/>
  <c r="AU65" i="15"/>
  <c r="AU66" i="15" s="1"/>
  <c r="AU67" i="15" s="1"/>
  <c r="AU68" i="15" s="1"/>
  <c r="AU69" i="15" s="1"/>
  <c r="AU70" i="15" s="1"/>
  <c r="AU71" i="15" s="1"/>
  <c r="AU72" i="15" s="1"/>
  <c r="AU73" i="15" s="1"/>
  <c r="AU74" i="15" s="1"/>
  <c r="AU75" i="15" s="1"/>
  <c r="AU76" i="15" s="1"/>
  <c r="AU77" i="15" s="1"/>
  <c r="AU78" i="15" s="1"/>
  <c r="S160" i="15" s="1"/>
  <c r="DU65" i="15"/>
  <c r="DU66" i="15" s="1"/>
  <c r="DU67" i="15" s="1"/>
  <c r="DU68" i="15" s="1"/>
  <c r="DU69" i="15" s="1"/>
  <c r="DU70" i="15" s="1"/>
  <c r="DU71" i="15" s="1"/>
  <c r="DU72" i="15" s="1"/>
  <c r="DU73" i="15" s="1"/>
  <c r="DU74" i="15" s="1"/>
  <c r="DU75" i="15" s="1"/>
  <c r="DU76" i="15" s="1"/>
  <c r="DU77" i="15" s="1"/>
  <c r="DU78" i="15" s="1"/>
  <c r="V160" i="15" s="1"/>
  <c r="BU65" i="15"/>
  <c r="BU66" i="15" s="1"/>
  <c r="BU67" i="15" s="1"/>
  <c r="BU68" i="15" s="1"/>
  <c r="BU69" i="15" s="1"/>
  <c r="BU70" i="15" s="1"/>
  <c r="BU71" i="15" s="1"/>
  <c r="BU72" i="15" s="1"/>
  <c r="BU73" i="15" s="1"/>
  <c r="BU74" i="15" s="1"/>
  <c r="BU75" i="15" s="1"/>
  <c r="BU76" i="15" s="1"/>
  <c r="BU77" i="15" s="1"/>
  <c r="BU78" i="15" s="1"/>
  <c r="T160" i="15" s="1"/>
  <c r="DU65" i="14"/>
  <c r="DU66" i="14" s="1"/>
  <c r="DU67" i="14" s="1"/>
  <c r="DU68" i="14" s="1"/>
  <c r="DU69" i="14" s="1"/>
  <c r="DU70" i="14" s="1"/>
  <c r="DU71" i="14" s="1"/>
  <c r="DU72" i="14" s="1"/>
  <c r="DU73" i="14" s="1"/>
  <c r="DU74" i="14" s="1"/>
  <c r="DU75" i="14" s="1"/>
  <c r="DU76" i="14" s="1"/>
  <c r="DU77" i="14" s="1"/>
  <c r="DU78" i="14" s="1"/>
  <c r="V160" i="14" s="1"/>
  <c r="CU65" i="14"/>
  <c r="CU66" i="14" s="1"/>
  <c r="CU67" i="14" s="1"/>
  <c r="CU68" i="14" s="1"/>
  <c r="CU69" i="14" s="1"/>
  <c r="CU70" i="14" s="1"/>
  <c r="CU71" i="14" s="1"/>
  <c r="CU72" i="14" s="1"/>
  <c r="CU73" i="14" s="1"/>
  <c r="CU74" i="14" s="1"/>
  <c r="CU75" i="14" s="1"/>
  <c r="CU76" i="14" s="1"/>
  <c r="CU77" i="14" s="1"/>
  <c r="CU78" i="14" s="1"/>
  <c r="U160" i="14" s="1"/>
  <c r="BU65" i="16"/>
  <c r="BU66" i="16" s="1"/>
  <c r="BU67" i="16" s="1"/>
  <c r="BU68" i="16" s="1"/>
  <c r="BU69" i="16" s="1"/>
  <c r="BU70" i="16" s="1"/>
  <c r="BU71" i="16" s="1"/>
  <c r="BU72" i="16" s="1"/>
  <c r="BU73" i="16" s="1"/>
  <c r="BU74" i="16" s="1"/>
  <c r="BU75" i="16" s="1"/>
  <c r="BU76" i="16" s="1"/>
  <c r="BU77" i="16" s="1"/>
  <c r="BU78" i="16" s="1"/>
  <c r="T160" i="16" s="1"/>
  <c r="BU65" i="13"/>
  <c r="BU66" i="13" s="1"/>
  <c r="BU67" i="13" s="1"/>
  <c r="BU68" i="13" s="1"/>
  <c r="BU69" i="13" s="1"/>
  <c r="BU70" i="13" s="1"/>
  <c r="BU71" i="13" s="1"/>
  <c r="BU72" i="13" s="1"/>
  <c r="BU73" i="13" s="1"/>
  <c r="BU74" i="13" s="1"/>
  <c r="BU75" i="13" s="1"/>
  <c r="BU76" i="13" s="1"/>
  <c r="BU77" i="13" s="1"/>
  <c r="BU78" i="13" s="1"/>
  <c r="T160" i="13" s="1"/>
  <c r="AU65" i="16"/>
  <c r="AU66" i="16" s="1"/>
  <c r="AU67" i="16" s="1"/>
  <c r="AU68" i="16" s="1"/>
  <c r="AU69" i="16" s="1"/>
  <c r="AU70" i="16" s="1"/>
  <c r="AU71" i="16" s="1"/>
  <c r="AU72" i="16" s="1"/>
  <c r="AU73" i="16" s="1"/>
  <c r="AU74" i="16" s="1"/>
  <c r="AU75" i="16" s="1"/>
  <c r="AU76" i="16" s="1"/>
  <c r="AU77" i="16" s="1"/>
  <c r="AU78" i="16" s="1"/>
  <c r="S160" i="16" s="1"/>
  <c r="CU65" i="15"/>
  <c r="CU66" i="15" s="1"/>
  <c r="CU67" i="15" s="1"/>
  <c r="CU68" i="15" s="1"/>
  <c r="CU69" i="15" s="1"/>
  <c r="CU70" i="15" s="1"/>
  <c r="CU71" i="15" s="1"/>
  <c r="CU72" i="15" s="1"/>
  <c r="CU73" i="15" s="1"/>
  <c r="CU74" i="15" s="1"/>
  <c r="CU75" i="15" s="1"/>
  <c r="CU76" i="15" s="1"/>
  <c r="CU77" i="15" s="1"/>
  <c r="CU78" i="15" s="1"/>
  <c r="U160" i="15" s="1"/>
  <c r="U65" i="14"/>
  <c r="U66" i="14" s="1"/>
  <c r="U67" i="14" s="1"/>
  <c r="U68" i="14" s="1"/>
  <c r="U69" i="14" s="1"/>
  <c r="U70" i="14" s="1"/>
  <c r="U71" i="14" s="1"/>
  <c r="U72" i="14" s="1"/>
  <c r="U73" i="14" s="1"/>
  <c r="U74" i="14" s="1"/>
  <c r="U75" i="14" s="1"/>
  <c r="U76" i="14" s="1"/>
  <c r="U77" i="14" s="1"/>
  <c r="U78" i="14" s="1"/>
  <c r="R160" i="14" s="1"/>
  <c r="U65" i="15"/>
  <c r="U66" i="15" s="1"/>
  <c r="U67" i="15" s="1"/>
  <c r="U68" i="15" s="1"/>
  <c r="U69" i="15" s="1"/>
  <c r="U70" i="15" s="1"/>
  <c r="U71" i="15" s="1"/>
  <c r="U72" i="15" s="1"/>
  <c r="U73" i="15" s="1"/>
  <c r="U74" i="15" s="1"/>
  <c r="U75" i="15" s="1"/>
  <c r="U76" i="15" s="1"/>
  <c r="U77" i="15" s="1"/>
  <c r="U78" i="15" s="1"/>
  <c r="R160" i="15" s="1"/>
  <c r="BU69" i="14"/>
  <c r="BU70" i="14" s="1"/>
  <c r="BU71" i="14" s="1"/>
  <c r="BU72" i="14" s="1"/>
  <c r="BU73" i="14" s="1"/>
  <c r="BU74" i="14" s="1"/>
  <c r="BU75" i="14" s="1"/>
  <c r="BU76" i="14" s="1"/>
  <c r="BU77" i="14" s="1"/>
  <c r="BU78" i="14" s="1"/>
  <c r="T160" i="14" s="1"/>
  <c r="CU65" i="13"/>
  <c r="CU66" i="13" s="1"/>
  <c r="CU67" i="13" s="1"/>
  <c r="CU68" i="13" s="1"/>
  <c r="CU69" i="13" s="1"/>
  <c r="CU70" i="13" s="1"/>
  <c r="CU71" i="13" s="1"/>
  <c r="CU72" i="13" s="1"/>
  <c r="CU73" i="13" s="1"/>
  <c r="CU74" i="13" s="1"/>
  <c r="CU75" i="13" s="1"/>
  <c r="CU76" i="13" s="1"/>
  <c r="CU77" i="13" s="1"/>
  <c r="CU78" i="13" s="1"/>
  <c r="U160" i="13" s="1"/>
  <c r="AU69" i="13"/>
  <c r="AU70" i="13" s="1"/>
  <c r="AU71" i="13" s="1"/>
  <c r="AU72" i="13" s="1"/>
  <c r="AU73" i="13" s="1"/>
  <c r="AU74" i="13" s="1"/>
  <c r="AU75" i="13" s="1"/>
  <c r="AU76" i="13" s="1"/>
  <c r="AU77" i="13" s="1"/>
  <c r="AU78" i="13" s="1"/>
  <c r="S160" i="13" s="1"/>
  <c r="U65" i="13"/>
  <c r="U66" i="13" s="1"/>
  <c r="U67" i="13" s="1"/>
  <c r="U68" i="13" s="1"/>
  <c r="U69" i="13" s="1"/>
  <c r="U70" i="13" s="1"/>
  <c r="U71" i="13" s="1"/>
  <c r="U72" i="13" s="1"/>
  <c r="U73" i="13" s="1"/>
  <c r="U74" i="13" s="1"/>
  <c r="U75" i="13" s="1"/>
  <c r="U76" i="13" s="1"/>
  <c r="U77" i="13" s="1"/>
  <c r="U78" i="13" s="1"/>
  <c r="R160" i="13" s="1"/>
  <c r="DU65" i="13"/>
  <c r="DU66" i="13" s="1"/>
  <c r="DU67" i="13" s="1"/>
  <c r="DU68" i="13" s="1"/>
  <c r="DU69" i="13" s="1"/>
  <c r="DU70" i="13" s="1"/>
  <c r="DU71" i="13" s="1"/>
  <c r="DU72" i="13" s="1"/>
  <c r="DU73" i="13" s="1"/>
  <c r="DU74" i="13" s="1"/>
  <c r="DU75" i="13" s="1"/>
  <c r="DU76" i="13" s="1"/>
  <c r="DU77" i="13" s="1"/>
  <c r="DU78" i="13" s="1"/>
  <c r="V160" i="13" s="1"/>
  <c r="CT39" i="16"/>
  <c r="CT40" i="16" s="1"/>
  <c r="CT41" i="16" s="1"/>
  <c r="CT42" i="16" s="1"/>
  <c r="CT43" i="16" s="1"/>
  <c r="CT44" i="16" s="1"/>
  <c r="CT45" i="16" s="1"/>
  <c r="CT46" i="16" s="1"/>
  <c r="CT47" i="16" s="1"/>
  <c r="CT48" i="16" s="1"/>
  <c r="CT49" i="16" s="1"/>
  <c r="CT50" i="16" s="1"/>
  <c r="CT51" i="16" s="1"/>
  <c r="CT52" i="16" s="1"/>
  <c r="CT53" i="16" s="1"/>
  <c r="F4" i="16"/>
  <c r="CT13" i="16"/>
  <c r="CT14" i="16" s="1"/>
  <c r="CT15" i="16" s="1"/>
  <c r="CT16" i="16" s="1"/>
  <c r="CT17" i="16" s="1"/>
  <c r="CT18" i="16" s="1"/>
  <c r="CT19" i="16" s="1"/>
  <c r="CT20" i="16" s="1"/>
  <c r="CT21" i="16" s="1"/>
  <c r="CT22" i="16" s="1"/>
  <c r="CT23" i="16" s="1"/>
  <c r="CT24" i="16" s="1"/>
  <c r="CT25" i="16" s="1"/>
  <c r="CT26" i="16" s="1"/>
  <c r="CT27" i="16" s="1"/>
  <c r="E4" i="16"/>
  <c r="B39" i="13"/>
  <c r="B40" i="13" s="1"/>
  <c r="B41" i="13" s="1"/>
  <c r="B42" i="13" s="1"/>
  <c r="B13" i="13"/>
  <c r="B14" i="13" s="1"/>
  <c r="AJ63" i="16" l="1"/>
  <c r="BJ63" i="13"/>
  <c r="CJ63" i="13"/>
  <c r="DJ63" i="13"/>
  <c r="BJ63" i="16"/>
  <c r="J63" i="14"/>
  <c r="AJ63" i="15"/>
  <c r="J63" i="13"/>
  <c r="AJ63" i="14"/>
  <c r="BJ63" i="14"/>
  <c r="CJ63" i="15"/>
  <c r="CJ63" i="16"/>
  <c r="AJ63" i="13"/>
  <c r="J63" i="16"/>
  <c r="J63" i="15"/>
  <c r="DJ63" i="14"/>
  <c r="CJ63" i="14"/>
  <c r="DJ63" i="15"/>
  <c r="DJ63" i="16"/>
  <c r="CL138" i="16"/>
  <c r="DJ138" i="16"/>
  <c r="CU63" i="16"/>
  <c r="DU63" i="16"/>
  <c r="B43" i="13"/>
  <c r="B44" i="13" s="1"/>
  <c r="B15" i="13"/>
  <c r="DJ139" i="16" l="1"/>
  <c r="DJ140" i="16" s="1"/>
  <c r="DJ141" i="16" s="1"/>
  <c r="DJ142" i="16" s="1"/>
  <c r="DJ143" i="16" s="1"/>
  <c r="DJ144" i="16" s="1"/>
  <c r="DJ145" i="16" s="1"/>
  <c r="DJ146" i="16" s="1"/>
  <c r="DJ147" i="16" s="1"/>
  <c r="DJ148" i="16" s="1"/>
  <c r="DJ149" i="16" s="1"/>
  <c r="DJ150" i="16" s="1"/>
  <c r="DJ151" i="16" s="1"/>
  <c r="DJ152" i="16" s="1"/>
  <c r="DJ153" i="16" s="1"/>
  <c r="AK160" i="16" s="1"/>
  <c r="CL139" i="16"/>
  <c r="CL140" i="16" s="1"/>
  <c r="CL141" i="16" s="1"/>
  <c r="CL142" i="16" s="1"/>
  <c r="CL143" i="16" s="1"/>
  <c r="CL144" i="16" s="1"/>
  <c r="CL145" i="16" s="1"/>
  <c r="CL146" i="16" s="1"/>
  <c r="CL147" i="16" s="1"/>
  <c r="CL148" i="16" s="1"/>
  <c r="CL149" i="16" s="1"/>
  <c r="CL150" i="16" s="1"/>
  <c r="CL151" i="16" s="1"/>
  <c r="CL152" i="16" s="1"/>
  <c r="CL153" i="16" s="1"/>
  <c r="AJ160" i="16" s="1"/>
  <c r="DU64" i="16"/>
  <c r="DU65" i="16" s="1"/>
  <c r="DU66" i="16" s="1"/>
  <c r="DU67" i="16" s="1"/>
  <c r="DU68" i="16" s="1"/>
  <c r="DU69" i="16" s="1"/>
  <c r="DU70" i="16" s="1"/>
  <c r="DU71" i="16" s="1"/>
  <c r="DU72" i="16" s="1"/>
  <c r="DU73" i="16" s="1"/>
  <c r="DU74" i="16" s="1"/>
  <c r="DU75" i="16" s="1"/>
  <c r="DU76" i="16" s="1"/>
  <c r="DU77" i="16" s="1"/>
  <c r="DU78" i="16" s="1"/>
  <c r="V160" i="16" s="1"/>
  <c r="CU64" i="16"/>
  <c r="CU65" i="16" s="1"/>
  <c r="CU66" i="16" s="1"/>
  <c r="CU67" i="16" s="1"/>
  <c r="CU68" i="16" s="1"/>
  <c r="CU69" i="16" s="1"/>
  <c r="CU70" i="16" s="1"/>
  <c r="CU71" i="16" s="1"/>
  <c r="CU72" i="16" s="1"/>
  <c r="CU73" i="16" s="1"/>
  <c r="CU74" i="16" s="1"/>
  <c r="CU75" i="16" s="1"/>
  <c r="CU76" i="16" s="1"/>
  <c r="CU77" i="16" s="1"/>
  <c r="CU78" i="16" s="1"/>
  <c r="U160" i="16" s="1"/>
  <c r="B45" i="13"/>
  <c r="B16" i="13"/>
  <c r="B17" i="13" l="1"/>
  <c r="B46" i="13"/>
  <c r="B18" i="13" l="1"/>
  <c r="B47" i="13"/>
  <c r="B19" i="13" l="1"/>
  <c r="B48" i="13"/>
  <c r="B20" i="13" l="1"/>
  <c r="B49" i="13"/>
  <c r="B21" i="13" l="1"/>
  <c r="B50" i="13"/>
  <c r="B22" i="13" l="1"/>
  <c r="B51" i="13"/>
  <c r="B23" i="13" l="1"/>
  <c r="B52" i="13"/>
  <c r="B24" i="13" l="1"/>
  <c r="B53" i="13"/>
  <c r="B25" i="13" l="1"/>
  <c r="B26" i="13" l="1"/>
  <c r="B27" i="13" l="1"/>
  <c r="M23" i="8" l="1"/>
  <c r="M21" i="8"/>
  <c r="M19" i="8"/>
  <c r="V7" i="8"/>
  <c r="T7" i="8"/>
  <c r="R7" i="8"/>
  <c r="P7" i="8"/>
  <c r="M14" i="8"/>
  <c r="M13" i="8"/>
  <c r="C42" i="8"/>
  <c r="C43" i="8"/>
  <c r="C44" i="8"/>
  <c r="C45" i="8"/>
  <c r="C41" i="8"/>
  <c r="C31" i="8"/>
  <c r="C32" i="8"/>
  <c r="C33" i="8"/>
  <c r="C34" i="8"/>
  <c r="C30" i="8"/>
  <c r="B30" i="8"/>
  <c r="C26" i="8"/>
  <c r="C27" i="8"/>
  <c r="C28" i="8"/>
  <c r="C29" i="8"/>
  <c r="C25" i="8"/>
  <c r="C21" i="8"/>
  <c r="C22" i="8"/>
  <c r="C23" i="8"/>
  <c r="C24" i="8"/>
  <c r="C20" i="8"/>
  <c r="B13" i="8"/>
  <c r="I136" i="7" l="1"/>
  <c r="M33" i="7"/>
  <c r="H33" i="7"/>
  <c r="H36" i="7" s="1"/>
  <c r="F136" i="7" s="1"/>
  <c r="AD65" i="2"/>
  <c r="W65" i="2"/>
  <c r="P65" i="2"/>
  <c r="I65" i="2"/>
  <c r="AD44" i="2"/>
  <c r="W59" i="2"/>
  <c r="W44" i="2"/>
  <c r="I59" i="2"/>
  <c r="AD29" i="2"/>
  <c r="AD26" i="2"/>
  <c r="AD28" i="2"/>
  <c r="AD25" i="2"/>
  <c r="AD24" i="2"/>
  <c r="AD23" i="2"/>
  <c r="W29" i="2"/>
  <c r="W26" i="2"/>
  <c r="W28" i="2"/>
  <c r="W25" i="2"/>
  <c r="W24" i="2"/>
  <c r="W23" i="2"/>
  <c r="P24" i="2"/>
  <c r="P25" i="2"/>
  <c r="P26" i="2"/>
  <c r="P29" i="2"/>
  <c r="P23" i="2"/>
  <c r="I29" i="2"/>
  <c r="I26" i="2"/>
  <c r="I25" i="2"/>
  <c r="I24" i="2"/>
  <c r="I23" i="2"/>
  <c r="H8" i="7" l="1"/>
  <c r="W8" i="7"/>
  <c r="E12" i="2"/>
  <c r="S12" i="2"/>
  <c r="E65" i="10" s="1"/>
  <c r="F65" i="10" s="1"/>
  <c r="Z65" i="10" s="1"/>
  <c r="L12" i="2"/>
  <c r="E39" i="10" s="1"/>
  <c r="F39" i="10" s="1"/>
  <c r="Z39" i="10" s="1"/>
  <c r="N33" i="7"/>
  <c r="S33" i="7"/>
  <c r="R36" i="7"/>
  <c r="H136" i="7" s="1"/>
  <c r="N16" i="7"/>
  <c r="S16" i="7"/>
  <c r="N26" i="7"/>
  <c r="I16" i="7"/>
  <c r="X16" i="7"/>
  <c r="I33" i="7"/>
  <c r="M36" i="7"/>
  <c r="G136" i="7" s="1"/>
  <c r="I26" i="7"/>
  <c r="E14" i="10" l="1"/>
  <c r="F14" i="10" s="1"/>
  <c r="E18" i="10"/>
  <c r="F18" i="10" s="1"/>
  <c r="E22" i="10"/>
  <c r="F22" i="10" s="1"/>
  <c r="Z22" i="10" s="1"/>
  <c r="E26" i="10"/>
  <c r="F26" i="10" s="1"/>
  <c r="E17" i="10"/>
  <c r="F17" i="10" s="1"/>
  <c r="E21" i="10"/>
  <c r="F21" i="10" s="1"/>
  <c r="E25" i="10"/>
  <c r="F25" i="10" s="1"/>
  <c r="Z25" i="10" s="1"/>
  <c r="E13" i="10"/>
  <c r="F13" i="10" s="1"/>
  <c r="Z13" i="10" s="1"/>
  <c r="E19" i="10"/>
  <c r="F19" i="10" s="1"/>
  <c r="Z19" i="10" s="1"/>
  <c r="E27" i="10"/>
  <c r="F27" i="10" s="1"/>
  <c r="E20" i="10"/>
  <c r="F20" i="10" s="1"/>
  <c r="E28" i="10"/>
  <c r="F28" i="10" s="1"/>
  <c r="Z28" i="10" s="1"/>
  <c r="E15" i="10"/>
  <c r="F15" i="10" s="1"/>
  <c r="E23" i="10"/>
  <c r="F23" i="10" s="1"/>
  <c r="E16" i="10"/>
  <c r="F16" i="10" s="1"/>
  <c r="Z16" i="10" s="1"/>
  <c r="E24" i="10"/>
  <c r="F24" i="10" s="1"/>
  <c r="R8" i="7"/>
  <c r="M8" i="7"/>
  <c r="R10" i="7"/>
  <c r="H128" i="7"/>
  <c r="H134" i="7" s="1"/>
  <c r="M10" i="7"/>
  <c r="G128" i="7"/>
  <c r="G134" i="7" s="1"/>
  <c r="W10" i="7"/>
  <c r="I128" i="7"/>
  <c r="I134" i="7" s="1"/>
  <c r="H10" i="7"/>
  <c r="F128" i="7"/>
  <c r="F134" i="7" s="1"/>
  <c r="CW114" i="13"/>
  <c r="CW118" i="13"/>
  <c r="CW122" i="13"/>
  <c r="CW126" i="13"/>
  <c r="BY114" i="13"/>
  <c r="BY118" i="13"/>
  <c r="BY122" i="13"/>
  <c r="BY126" i="13"/>
  <c r="BA114" i="13"/>
  <c r="BA118" i="13"/>
  <c r="BA122" i="13"/>
  <c r="BA126" i="13"/>
  <c r="AC114" i="13"/>
  <c r="AC118" i="13"/>
  <c r="CW115" i="13"/>
  <c r="CW119" i="13"/>
  <c r="CW123" i="13"/>
  <c r="BY115" i="13"/>
  <c r="BY119" i="13"/>
  <c r="BY123" i="13"/>
  <c r="BY127" i="13"/>
  <c r="BA115" i="13"/>
  <c r="BA119" i="13"/>
  <c r="BA123" i="13"/>
  <c r="BA127" i="13"/>
  <c r="AC115" i="13"/>
  <c r="CW116" i="13"/>
  <c r="CW120" i="13"/>
  <c r="CW124" i="13"/>
  <c r="CW128" i="13"/>
  <c r="BY116" i="13"/>
  <c r="BY120" i="13"/>
  <c r="BY124" i="13"/>
  <c r="BY128" i="13"/>
  <c r="BA116" i="13"/>
  <c r="BA120" i="13"/>
  <c r="BA124" i="13"/>
  <c r="BA128" i="13"/>
  <c r="AC116" i="13"/>
  <c r="CW117" i="13"/>
  <c r="BY117" i="13"/>
  <c r="BA117" i="13"/>
  <c r="AC117" i="13"/>
  <c r="AC122" i="13"/>
  <c r="AC126" i="13"/>
  <c r="CW113" i="13"/>
  <c r="AC113" i="13"/>
  <c r="CW121" i="13"/>
  <c r="BY121" i="13"/>
  <c r="BA121" i="13"/>
  <c r="AC119" i="13"/>
  <c r="AC123" i="13"/>
  <c r="AC127" i="13"/>
  <c r="BY113" i="13"/>
  <c r="AC125" i="13"/>
  <c r="CW125" i="13"/>
  <c r="BY125" i="13"/>
  <c r="BA125" i="13"/>
  <c r="AC120" i="13"/>
  <c r="AC124" i="13"/>
  <c r="AC128" i="13"/>
  <c r="BA113" i="13"/>
  <c r="AC121" i="13"/>
  <c r="S11" i="8"/>
  <c r="CV128" i="16"/>
  <c r="CW128" i="16" s="1"/>
  <c r="CV124" i="16"/>
  <c r="CW124" i="16" s="1"/>
  <c r="CV120" i="16"/>
  <c r="CW120" i="16" s="1"/>
  <c r="CV116" i="16"/>
  <c r="CW116" i="16" s="1"/>
  <c r="BX128" i="16"/>
  <c r="BY128" i="16" s="1"/>
  <c r="BX124" i="16"/>
  <c r="BY124" i="16" s="1"/>
  <c r="BX120" i="16"/>
  <c r="BY120" i="16" s="1"/>
  <c r="BX116" i="16"/>
  <c r="BY116" i="16" s="1"/>
  <c r="AZ128" i="16"/>
  <c r="BA128" i="16" s="1"/>
  <c r="AZ124" i="16"/>
  <c r="BA124" i="16" s="1"/>
  <c r="AZ120" i="16"/>
  <c r="BA120" i="16" s="1"/>
  <c r="AZ116" i="16"/>
  <c r="BA116" i="16" s="1"/>
  <c r="AB128" i="16"/>
  <c r="AC128" i="16" s="1"/>
  <c r="AB124" i="16"/>
  <c r="AC124" i="16" s="1"/>
  <c r="AB120" i="16"/>
  <c r="AC120" i="16" s="1"/>
  <c r="AB116" i="16"/>
  <c r="AC116" i="16" s="1"/>
  <c r="D128" i="16"/>
  <c r="E128" i="16" s="1"/>
  <c r="D124" i="16"/>
  <c r="E124" i="16" s="1"/>
  <c r="D120" i="16"/>
  <c r="E120" i="16" s="1"/>
  <c r="D116" i="16"/>
  <c r="E116" i="16" s="1"/>
  <c r="CV128" i="15"/>
  <c r="CW128" i="15" s="1"/>
  <c r="CV124" i="15"/>
  <c r="CW124" i="15" s="1"/>
  <c r="CV120" i="15"/>
  <c r="CW120" i="15" s="1"/>
  <c r="CV116" i="15"/>
  <c r="CW116" i="15" s="1"/>
  <c r="BX128" i="15"/>
  <c r="BY128" i="15" s="1"/>
  <c r="BX124" i="15"/>
  <c r="BY124" i="15" s="1"/>
  <c r="BX120" i="15"/>
  <c r="BY120" i="15" s="1"/>
  <c r="BX116" i="15"/>
  <c r="BY116" i="15" s="1"/>
  <c r="AZ128" i="15"/>
  <c r="BA128" i="15" s="1"/>
  <c r="AZ124" i="15"/>
  <c r="BA124" i="15" s="1"/>
  <c r="AZ120" i="15"/>
  <c r="BA120" i="15" s="1"/>
  <c r="AZ116" i="15"/>
  <c r="BA116" i="15" s="1"/>
  <c r="AB128" i="15"/>
  <c r="AC128" i="15" s="1"/>
  <c r="AB124" i="15"/>
  <c r="AC124" i="15" s="1"/>
  <c r="AB120" i="15"/>
  <c r="AC120" i="15" s="1"/>
  <c r="AB116" i="15"/>
  <c r="AC116" i="15" s="1"/>
  <c r="D128" i="15"/>
  <c r="E128" i="15" s="1"/>
  <c r="D124" i="15"/>
  <c r="E124" i="15" s="1"/>
  <c r="D120" i="15"/>
  <c r="E120" i="15" s="1"/>
  <c r="D116" i="15"/>
  <c r="E116" i="15" s="1"/>
  <c r="CV128" i="14"/>
  <c r="CW128" i="14" s="1"/>
  <c r="CV124" i="14"/>
  <c r="CW124" i="14" s="1"/>
  <c r="CV120" i="14"/>
  <c r="CW120" i="14" s="1"/>
  <c r="CV116" i="14"/>
  <c r="CW116" i="14" s="1"/>
  <c r="CV126" i="16"/>
  <c r="CW126" i="16" s="1"/>
  <c r="CV122" i="16"/>
  <c r="CW122" i="16" s="1"/>
  <c r="CV118" i="16"/>
  <c r="CW118" i="16" s="1"/>
  <c r="CV114" i="16"/>
  <c r="CW114" i="16" s="1"/>
  <c r="BX126" i="16"/>
  <c r="BY126" i="16" s="1"/>
  <c r="BX122" i="16"/>
  <c r="BY122" i="16" s="1"/>
  <c r="BX118" i="16"/>
  <c r="BY118" i="16" s="1"/>
  <c r="BX114" i="16"/>
  <c r="BY114" i="16" s="1"/>
  <c r="AZ126" i="16"/>
  <c r="BA126" i="16" s="1"/>
  <c r="AZ122" i="16"/>
  <c r="BA122" i="16" s="1"/>
  <c r="AZ118" i="16"/>
  <c r="BA118" i="16" s="1"/>
  <c r="AZ114" i="16"/>
  <c r="BA114" i="16" s="1"/>
  <c r="AB126" i="16"/>
  <c r="AC126" i="16" s="1"/>
  <c r="AB122" i="16"/>
  <c r="AC122" i="16" s="1"/>
  <c r="AB118" i="16"/>
  <c r="AC118" i="16" s="1"/>
  <c r="AB114" i="16"/>
  <c r="AC114" i="16" s="1"/>
  <c r="D126" i="16"/>
  <c r="E126" i="16" s="1"/>
  <c r="D122" i="16"/>
  <c r="E122" i="16" s="1"/>
  <c r="D118" i="16"/>
  <c r="E118" i="16" s="1"/>
  <c r="D114" i="16"/>
  <c r="E114" i="16" s="1"/>
  <c r="CV126" i="15"/>
  <c r="CW126" i="15" s="1"/>
  <c r="CV122" i="15"/>
  <c r="CW122" i="15" s="1"/>
  <c r="CV118" i="15"/>
  <c r="CW118" i="15" s="1"/>
  <c r="CV114" i="15"/>
  <c r="CW114" i="15" s="1"/>
  <c r="BX126" i="15"/>
  <c r="BY126" i="15" s="1"/>
  <c r="BX122" i="15"/>
  <c r="BY122" i="15" s="1"/>
  <c r="BX118" i="15"/>
  <c r="BY118" i="15" s="1"/>
  <c r="BX114" i="15"/>
  <c r="BY114" i="15" s="1"/>
  <c r="AZ126" i="15"/>
  <c r="BA126" i="15" s="1"/>
  <c r="AZ122" i="15"/>
  <c r="BA122" i="15" s="1"/>
  <c r="AZ118" i="15"/>
  <c r="BA118" i="15" s="1"/>
  <c r="AZ114" i="15"/>
  <c r="BA114" i="15" s="1"/>
  <c r="AB126" i="15"/>
  <c r="AC126" i="15" s="1"/>
  <c r="AB122" i="15"/>
  <c r="AC122" i="15" s="1"/>
  <c r="AB118" i="15"/>
  <c r="AC118" i="15" s="1"/>
  <c r="AB114" i="15"/>
  <c r="AC114" i="15" s="1"/>
  <c r="D126" i="15"/>
  <c r="E126" i="15" s="1"/>
  <c r="D122" i="15"/>
  <c r="E122" i="15" s="1"/>
  <c r="D118" i="15"/>
  <c r="E118" i="15" s="1"/>
  <c r="D114" i="15"/>
  <c r="E114" i="15" s="1"/>
  <c r="CV126" i="14"/>
  <c r="CW126" i="14" s="1"/>
  <c r="CV122" i="14"/>
  <c r="CW122" i="14" s="1"/>
  <c r="CV118" i="14"/>
  <c r="CW118" i="14" s="1"/>
  <c r="CV127" i="16"/>
  <c r="CW127" i="16" s="1"/>
  <c r="CV119" i="16"/>
  <c r="CW119" i="16" s="1"/>
  <c r="BX127" i="16"/>
  <c r="BY127" i="16" s="1"/>
  <c r="BX119" i="16"/>
  <c r="BY119" i="16" s="1"/>
  <c r="AZ127" i="16"/>
  <c r="BA127" i="16" s="1"/>
  <c r="AZ119" i="16"/>
  <c r="BA119" i="16" s="1"/>
  <c r="AB127" i="16"/>
  <c r="AC127" i="16" s="1"/>
  <c r="AB119" i="16"/>
  <c r="AC119" i="16" s="1"/>
  <c r="D127" i="16"/>
  <c r="E127" i="16" s="1"/>
  <c r="D119" i="16"/>
  <c r="E119" i="16" s="1"/>
  <c r="CV127" i="15"/>
  <c r="CW127" i="15" s="1"/>
  <c r="CV119" i="15"/>
  <c r="CW119" i="15" s="1"/>
  <c r="BX127" i="15"/>
  <c r="BY127" i="15" s="1"/>
  <c r="BX119" i="15"/>
  <c r="BY119" i="15" s="1"/>
  <c r="AZ127" i="15"/>
  <c r="BA127" i="15" s="1"/>
  <c r="AZ119" i="15"/>
  <c r="BA119" i="15" s="1"/>
  <c r="AB127" i="15"/>
  <c r="AC127" i="15" s="1"/>
  <c r="AB119" i="15"/>
  <c r="AC119" i="15" s="1"/>
  <c r="D127" i="15"/>
  <c r="E127" i="15" s="1"/>
  <c r="D119" i="15"/>
  <c r="E119" i="15" s="1"/>
  <c r="CV127" i="14"/>
  <c r="CW127" i="14" s="1"/>
  <c r="CV119" i="14"/>
  <c r="CW119" i="14" s="1"/>
  <c r="CV113" i="14"/>
  <c r="CW113" i="14" s="1"/>
  <c r="BX125" i="14"/>
  <c r="BY125" i="14" s="1"/>
  <c r="BX121" i="14"/>
  <c r="BY121" i="14" s="1"/>
  <c r="BX117" i="14"/>
  <c r="BY117" i="14" s="1"/>
  <c r="BX113" i="14"/>
  <c r="BY113" i="14" s="1"/>
  <c r="AZ125" i="14"/>
  <c r="BA125" i="14" s="1"/>
  <c r="AZ121" i="14"/>
  <c r="BA121" i="14" s="1"/>
  <c r="AZ117" i="14"/>
  <c r="BA117" i="14" s="1"/>
  <c r="AZ113" i="14"/>
  <c r="BA113" i="14" s="1"/>
  <c r="AB125" i="14"/>
  <c r="AC125" i="14" s="1"/>
  <c r="AB121" i="14"/>
  <c r="AC121" i="14" s="1"/>
  <c r="AB117" i="14"/>
  <c r="AC117" i="14" s="1"/>
  <c r="AB113" i="14"/>
  <c r="AC113" i="14" s="1"/>
  <c r="D125" i="14"/>
  <c r="E125" i="14" s="1"/>
  <c r="D121" i="14"/>
  <c r="E121" i="14" s="1"/>
  <c r="D117" i="14"/>
  <c r="E117" i="14" s="1"/>
  <c r="D113" i="14"/>
  <c r="E113" i="14" s="1"/>
  <c r="E117" i="13"/>
  <c r="E121" i="13"/>
  <c r="E125" i="13"/>
  <c r="E113" i="13"/>
  <c r="CV123" i="16"/>
  <c r="CW123" i="16" s="1"/>
  <c r="CV115" i="16"/>
  <c r="CW115" i="16" s="1"/>
  <c r="BX123" i="16"/>
  <c r="BY123" i="16" s="1"/>
  <c r="BX115" i="16"/>
  <c r="BY115" i="16" s="1"/>
  <c r="AZ123" i="16"/>
  <c r="BA123" i="16" s="1"/>
  <c r="AZ115" i="16"/>
  <c r="BA115" i="16" s="1"/>
  <c r="AB123" i="16"/>
  <c r="AC123" i="16" s="1"/>
  <c r="AB115" i="16"/>
  <c r="AC115" i="16" s="1"/>
  <c r="D123" i="16"/>
  <c r="E123" i="16" s="1"/>
  <c r="D115" i="16"/>
  <c r="E115" i="16" s="1"/>
  <c r="CV123" i="15"/>
  <c r="CW123" i="15" s="1"/>
  <c r="CV115" i="15"/>
  <c r="CW115" i="15" s="1"/>
  <c r="BX123" i="15"/>
  <c r="BY123" i="15" s="1"/>
  <c r="BX115" i="15"/>
  <c r="BY115" i="15" s="1"/>
  <c r="AZ123" i="15"/>
  <c r="BA123" i="15" s="1"/>
  <c r="AZ115" i="15"/>
  <c r="BA115" i="15" s="1"/>
  <c r="AB123" i="15"/>
  <c r="AC123" i="15" s="1"/>
  <c r="AB115" i="15"/>
  <c r="AC115" i="15" s="1"/>
  <c r="D123" i="15"/>
  <c r="E123" i="15" s="1"/>
  <c r="D115" i="15"/>
  <c r="E115" i="15" s="1"/>
  <c r="CV123" i="14"/>
  <c r="CW123" i="14" s="1"/>
  <c r="CV115" i="14"/>
  <c r="CW115" i="14" s="1"/>
  <c r="BX127" i="14"/>
  <c r="BY127" i="14" s="1"/>
  <c r="BX123" i="14"/>
  <c r="BY123" i="14" s="1"/>
  <c r="BX119" i="14"/>
  <c r="BY119" i="14" s="1"/>
  <c r="BX115" i="14"/>
  <c r="BY115" i="14" s="1"/>
  <c r="AZ127" i="14"/>
  <c r="BA127" i="14" s="1"/>
  <c r="AZ123" i="14"/>
  <c r="BA123" i="14" s="1"/>
  <c r="AZ119" i="14"/>
  <c r="BA119" i="14" s="1"/>
  <c r="AZ115" i="14"/>
  <c r="BA115" i="14" s="1"/>
  <c r="AB127" i="14"/>
  <c r="AC127" i="14" s="1"/>
  <c r="AB123" i="14"/>
  <c r="AC123" i="14" s="1"/>
  <c r="AB119" i="14"/>
  <c r="AC119" i="14" s="1"/>
  <c r="AB115" i="14"/>
  <c r="AC115" i="14" s="1"/>
  <c r="D127" i="14"/>
  <c r="E127" i="14" s="1"/>
  <c r="D123" i="14"/>
  <c r="E123" i="14" s="1"/>
  <c r="D119" i="14"/>
  <c r="E119" i="14" s="1"/>
  <c r="D115" i="14"/>
  <c r="E115" i="14" s="1"/>
  <c r="CW127" i="13"/>
  <c r="E115" i="13"/>
  <c r="E119" i="13"/>
  <c r="E123" i="13"/>
  <c r="E127" i="13"/>
  <c r="CV125" i="16"/>
  <c r="CW125" i="16" s="1"/>
  <c r="BX125" i="16"/>
  <c r="BY125" i="16" s="1"/>
  <c r="AZ125" i="16"/>
  <c r="BA125" i="16" s="1"/>
  <c r="AB125" i="16"/>
  <c r="AC125" i="16" s="1"/>
  <c r="D125" i="16"/>
  <c r="E125" i="16" s="1"/>
  <c r="CV125" i="15"/>
  <c r="CW125" i="15" s="1"/>
  <c r="BX125" i="15"/>
  <c r="BY125" i="15" s="1"/>
  <c r="AZ125" i="15"/>
  <c r="BA125" i="15" s="1"/>
  <c r="AB125" i="15"/>
  <c r="AC125" i="15" s="1"/>
  <c r="D125" i="15"/>
  <c r="E125" i="15" s="1"/>
  <c r="CV125" i="14"/>
  <c r="CW125" i="14" s="1"/>
  <c r="BX128" i="14"/>
  <c r="BY128" i="14" s="1"/>
  <c r="BX120" i="14"/>
  <c r="BY120" i="14" s="1"/>
  <c r="AZ128" i="14"/>
  <c r="BA128" i="14" s="1"/>
  <c r="AZ120" i="14"/>
  <c r="BA120" i="14" s="1"/>
  <c r="AB128" i="14"/>
  <c r="AC128" i="14" s="1"/>
  <c r="AB120" i="14"/>
  <c r="AC120" i="14" s="1"/>
  <c r="D128" i="14"/>
  <c r="E128" i="14" s="1"/>
  <c r="D120" i="14"/>
  <c r="E120" i="14" s="1"/>
  <c r="E114" i="13"/>
  <c r="E122" i="13"/>
  <c r="CV121" i="16"/>
  <c r="CW121" i="16" s="1"/>
  <c r="BX121" i="16"/>
  <c r="BY121" i="16" s="1"/>
  <c r="AZ121" i="16"/>
  <c r="BA121" i="16" s="1"/>
  <c r="AB121" i="16"/>
  <c r="AC121" i="16" s="1"/>
  <c r="D121" i="16"/>
  <c r="E121" i="16" s="1"/>
  <c r="CV121" i="15"/>
  <c r="CW121" i="15" s="1"/>
  <c r="BX121" i="15"/>
  <c r="BY121" i="15" s="1"/>
  <c r="AZ121" i="15"/>
  <c r="BA121" i="15" s="1"/>
  <c r="AB121" i="15"/>
  <c r="AC121" i="15" s="1"/>
  <c r="D121" i="15"/>
  <c r="E121" i="15" s="1"/>
  <c r="CV121" i="14"/>
  <c r="CW121" i="14" s="1"/>
  <c r="BX126" i="14"/>
  <c r="BY126" i="14" s="1"/>
  <c r="BX118" i="14"/>
  <c r="BY118" i="14" s="1"/>
  <c r="AZ126" i="14"/>
  <c r="BA126" i="14" s="1"/>
  <c r="AZ118" i="14"/>
  <c r="BA118" i="14" s="1"/>
  <c r="AB126" i="14"/>
  <c r="AC126" i="14" s="1"/>
  <c r="AB118" i="14"/>
  <c r="AC118" i="14" s="1"/>
  <c r="D126" i="14"/>
  <c r="E126" i="14" s="1"/>
  <c r="D118" i="14"/>
  <c r="E118" i="14" s="1"/>
  <c r="E116" i="13"/>
  <c r="E124" i="13"/>
  <c r="BX122" i="14"/>
  <c r="BY122" i="14" s="1"/>
  <c r="AB122" i="14"/>
  <c r="AC122" i="14" s="1"/>
  <c r="D122" i="14"/>
  <c r="E122" i="14" s="1"/>
  <c r="E120" i="13"/>
  <c r="CV117" i="16"/>
  <c r="CW117" i="16" s="1"/>
  <c r="BX117" i="16"/>
  <c r="BY117" i="16" s="1"/>
  <c r="AZ117" i="16"/>
  <c r="BA117" i="16" s="1"/>
  <c r="AB117" i="16"/>
  <c r="AC117" i="16" s="1"/>
  <c r="D117" i="16"/>
  <c r="E117" i="16" s="1"/>
  <c r="CV117" i="15"/>
  <c r="CW117" i="15" s="1"/>
  <c r="BX117" i="15"/>
  <c r="BY117" i="15" s="1"/>
  <c r="AZ117" i="15"/>
  <c r="BA117" i="15" s="1"/>
  <c r="AB117" i="15"/>
  <c r="AC117" i="15" s="1"/>
  <c r="D117" i="15"/>
  <c r="E117" i="15" s="1"/>
  <c r="CV117" i="14"/>
  <c r="CW117" i="14" s="1"/>
  <c r="BX124" i="14"/>
  <c r="BY124" i="14" s="1"/>
  <c r="BX116" i="14"/>
  <c r="BY116" i="14" s="1"/>
  <c r="AZ124" i="14"/>
  <c r="BA124" i="14" s="1"/>
  <c r="AZ116" i="14"/>
  <c r="BA116" i="14" s="1"/>
  <c r="AB124" i="14"/>
  <c r="AC124" i="14" s="1"/>
  <c r="AB116" i="14"/>
  <c r="AC116" i="14" s="1"/>
  <c r="D124" i="14"/>
  <c r="E124" i="14" s="1"/>
  <c r="D116" i="14"/>
  <c r="E116" i="14" s="1"/>
  <c r="E118" i="13"/>
  <c r="E126" i="13"/>
  <c r="CV113" i="16"/>
  <c r="CW113" i="16" s="1"/>
  <c r="BX113" i="16"/>
  <c r="BY113" i="16" s="1"/>
  <c r="AZ113" i="16"/>
  <c r="BA113" i="16" s="1"/>
  <c r="AB113" i="16"/>
  <c r="AC113" i="16" s="1"/>
  <c r="D113" i="16"/>
  <c r="E113" i="16" s="1"/>
  <c r="CV113" i="15"/>
  <c r="CW113" i="15" s="1"/>
  <c r="BX113" i="15"/>
  <c r="BY113" i="15" s="1"/>
  <c r="AZ113" i="15"/>
  <c r="BA113" i="15" s="1"/>
  <c r="AB113" i="15"/>
  <c r="AC113" i="15" s="1"/>
  <c r="D113" i="15"/>
  <c r="E113" i="15" s="1"/>
  <c r="CV114" i="14"/>
  <c r="CW114" i="14" s="1"/>
  <c r="BX114" i="14"/>
  <c r="BY114" i="14" s="1"/>
  <c r="AZ122" i="14"/>
  <c r="BA122" i="14" s="1"/>
  <c r="AZ114" i="14"/>
  <c r="BA114" i="14" s="1"/>
  <c r="AB114" i="14"/>
  <c r="AC114" i="14" s="1"/>
  <c r="D114" i="14"/>
  <c r="E114" i="14" s="1"/>
  <c r="E128" i="13"/>
  <c r="AE65" i="10"/>
  <c r="Q11" i="8"/>
  <c r="CW89" i="13"/>
  <c r="CW93" i="13"/>
  <c r="CW101" i="13"/>
  <c r="BY89" i="13"/>
  <c r="BY93" i="13"/>
  <c r="BY101" i="13"/>
  <c r="BA89" i="13"/>
  <c r="BA93" i="13"/>
  <c r="BA101" i="13"/>
  <c r="AC89" i="13"/>
  <c r="AC93" i="13"/>
  <c r="AC101" i="13"/>
  <c r="CW95" i="13"/>
  <c r="CW99" i="13"/>
  <c r="BY95" i="13"/>
  <c r="BY99" i="13"/>
  <c r="BA95" i="13"/>
  <c r="BA99" i="13"/>
  <c r="AC95" i="13"/>
  <c r="AC99" i="13"/>
  <c r="CW90" i="13"/>
  <c r="CW98" i="13"/>
  <c r="BY90" i="13"/>
  <c r="BY98" i="13"/>
  <c r="BA90" i="13"/>
  <c r="BA98" i="13"/>
  <c r="AC90" i="13"/>
  <c r="AC98" i="13"/>
  <c r="CW92" i="13"/>
  <c r="BY92" i="13"/>
  <c r="BA92" i="13"/>
  <c r="AC92" i="13"/>
  <c r="CW88" i="13"/>
  <c r="BY96" i="13"/>
  <c r="BA96" i="13"/>
  <c r="BA88" i="13"/>
  <c r="AC88" i="13"/>
  <c r="CW102" i="13"/>
  <c r="BY102" i="13"/>
  <c r="BA102" i="13"/>
  <c r="AC102" i="13"/>
  <c r="CW96" i="13"/>
  <c r="BY88" i="13"/>
  <c r="AC96" i="13"/>
  <c r="CV103" i="16"/>
  <c r="CV99" i="16"/>
  <c r="CW99" i="16" s="1"/>
  <c r="CV95" i="16"/>
  <c r="CW95" i="16" s="1"/>
  <c r="CV91" i="16"/>
  <c r="BX103" i="16"/>
  <c r="BX99" i="16"/>
  <c r="BY99" i="16" s="1"/>
  <c r="BX95" i="16"/>
  <c r="BY95" i="16" s="1"/>
  <c r="BX91" i="16"/>
  <c r="AZ103" i="16"/>
  <c r="AZ99" i="16"/>
  <c r="BA99" i="16" s="1"/>
  <c r="AZ95" i="16"/>
  <c r="BA95" i="16" s="1"/>
  <c r="AZ91" i="16"/>
  <c r="AB103" i="16"/>
  <c r="AB99" i="16"/>
  <c r="AC99" i="16" s="1"/>
  <c r="AB95" i="16"/>
  <c r="AC95" i="16" s="1"/>
  <c r="AB91" i="16"/>
  <c r="D103" i="16"/>
  <c r="D99" i="16"/>
  <c r="E99" i="16" s="1"/>
  <c r="D95" i="16"/>
  <c r="E95" i="16" s="1"/>
  <c r="D91" i="16"/>
  <c r="CV103" i="15"/>
  <c r="CV99" i="15"/>
  <c r="CW99" i="15" s="1"/>
  <c r="CV95" i="15"/>
  <c r="CW95" i="15" s="1"/>
  <c r="CV91" i="15"/>
  <c r="BX103" i="15"/>
  <c r="BX99" i="15"/>
  <c r="BY99" i="15" s="1"/>
  <c r="BX95" i="15"/>
  <c r="BY95" i="15" s="1"/>
  <c r="BX91" i="15"/>
  <c r="AZ103" i="15"/>
  <c r="AZ99" i="15"/>
  <c r="BA99" i="15" s="1"/>
  <c r="AZ95" i="15"/>
  <c r="BA95" i="15" s="1"/>
  <c r="AZ91" i="15"/>
  <c r="AB103" i="15"/>
  <c r="AB99" i="15"/>
  <c r="AC99" i="15" s="1"/>
  <c r="AB95" i="15"/>
  <c r="AC95" i="15" s="1"/>
  <c r="AB91" i="15"/>
  <c r="D103" i="15"/>
  <c r="D99" i="15"/>
  <c r="E99" i="15" s="1"/>
  <c r="D95" i="15"/>
  <c r="E95" i="15" s="1"/>
  <c r="D91" i="15"/>
  <c r="CV103" i="14"/>
  <c r="CV99" i="14"/>
  <c r="CW99" i="14" s="1"/>
  <c r="CV95" i="14"/>
  <c r="CW95" i="14" s="1"/>
  <c r="CV91" i="14"/>
  <c r="BX103" i="14"/>
  <c r="BX99" i="14"/>
  <c r="BY99" i="14" s="1"/>
  <c r="BX95" i="14"/>
  <c r="BY95" i="14" s="1"/>
  <c r="BX91" i="14"/>
  <c r="AZ103" i="14"/>
  <c r="AZ99" i="14"/>
  <c r="BA99" i="14" s="1"/>
  <c r="AZ95" i="14"/>
  <c r="BA95" i="14" s="1"/>
  <c r="AZ91" i="14"/>
  <c r="AB103" i="14"/>
  <c r="AB99" i="14"/>
  <c r="AC99" i="14" s="1"/>
  <c r="AB95" i="14"/>
  <c r="AC95" i="14" s="1"/>
  <c r="AB91" i="14"/>
  <c r="D103" i="14"/>
  <c r="D99" i="14"/>
  <c r="E99" i="14" s="1"/>
  <c r="D95" i="14"/>
  <c r="E95" i="14" s="1"/>
  <c r="D91" i="14"/>
  <c r="E89" i="13"/>
  <c r="E93" i="13"/>
  <c r="E101" i="13"/>
  <c r="CV101" i="16"/>
  <c r="CW101" i="16" s="1"/>
  <c r="CV97" i="16"/>
  <c r="CV93" i="16"/>
  <c r="CW93" i="16" s="1"/>
  <c r="CV89" i="16"/>
  <c r="CW89" i="16" s="1"/>
  <c r="BX101" i="16"/>
  <c r="BY101" i="16" s="1"/>
  <c r="BX97" i="16"/>
  <c r="BX93" i="16"/>
  <c r="BY93" i="16" s="1"/>
  <c r="BX89" i="16"/>
  <c r="BY89" i="16" s="1"/>
  <c r="AZ101" i="16"/>
  <c r="BA101" i="16" s="1"/>
  <c r="AZ97" i="16"/>
  <c r="AZ93" i="16"/>
  <c r="BA93" i="16" s="1"/>
  <c r="AZ89" i="16"/>
  <c r="BA89" i="16" s="1"/>
  <c r="AB101" i="16"/>
  <c r="AC101" i="16" s="1"/>
  <c r="AB97" i="16"/>
  <c r="AB93" i="16"/>
  <c r="AC93" i="16" s="1"/>
  <c r="AB89" i="16"/>
  <c r="AC89" i="16" s="1"/>
  <c r="D101" i="16"/>
  <c r="E101" i="16" s="1"/>
  <c r="D97" i="16"/>
  <c r="D93" i="16"/>
  <c r="E93" i="16" s="1"/>
  <c r="D89" i="16"/>
  <c r="E89" i="16" s="1"/>
  <c r="CV101" i="15"/>
  <c r="CW101" i="15" s="1"/>
  <c r="CV97" i="15"/>
  <c r="CV93" i="15"/>
  <c r="CW93" i="15" s="1"/>
  <c r="CV89" i="15"/>
  <c r="CW89" i="15" s="1"/>
  <c r="BX101" i="15"/>
  <c r="BY101" i="15" s="1"/>
  <c r="BX97" i="15"/>
  <c r="BX93" i="15"/>
  <c r="BY93" i="15" s="1"/>
  <c r="BX89" i="15"/>
  <c r="BY89" i="15" s="1"/>
  <c r="AZ101" i="15"/>
  <c r="BA101" i="15" s="1"/>
  <c r="AZ97" i="15"/>
  <c r="AZ93" i="15"/>
  <c r="BA93" i="15" s="1"/>
  <c r="AZ89" i="15"/>
  <c r="BA89" i="15" s="1"/>
  <c r="AB101" i="15"/>
  <c r="AC101" i="15" s="1"/>
  <c r="AB97" i="15"/>
  <c r="AB93" i="15"/>
  <c r="AC93" i="15" s="1"/>
  <c r="AB89" i="15"/>
  <c r="AC89" i="15" s="1"/>
  <c r="D101" i="15"/>
  <c r="E101" i="15" s="1"/>
  <c r="D97" i="15"/>
  <c r="D93" i="15"/>
  <c r="E93" i="15" s="1"/>
  <c r="D89" i="15"/>
  <c r="E89" i="15" s="1"/>
  <c r="CV101" i="14"/>
  <c r="CW101" i="14" s="1"/>
  <c r="CV97" i="14"/>
  <c r="CV93" i="14"/>
  <c r="CW93" i="14" s="1"/>
  <c r="CV89" i="14"/>
  <c r="CW89" i="14" s="1"/>
  <c r="BX101" i="14"/>
  <c r="BY101" i="14" s="1"/>
  <c r="BX97" i="14"/>
  <c r="BX93" i="14"/>
  <c r="BY93" i="14" s="1"/>
  <c r="BX89" i="14"/>
  <c r="BY89" i="14" s="1"/>
  <c r="AZ101" i="14"/>
  <c r="BA101" i="14" s="1"/>
  <c r="AZ97" i="14"/>
  <c r="AZ93" i="14"/>
  <c r="BA93" i="14" s="1"/>
  <c r="AZ89" i="14"/>
  <c r="BA89" i="14" s="1"/>
  <c r="AB101" i="14"/>
  <c r="AC101" i="14" s="1"/>
  <c r="AB97" i="14"/>
  <c r="AB93" i="14"/>
  <c r="AC93" i="14" s="1"/>
  <c r="AB89" i="14"/>
  <c r="AC89" i="14" s="1"/>
  <c r="D101" i="14"/>
  <c r="E101" i="14" s="1"/>
  <c r="D97" i="14"/>
  <c r="D93" i="14"/>
  <c r="E93" i="14" s="1"/>
  <c r="D89" i="14"/>
  <c r="E89" i="14" s="1"/>
  <c r="E95" i="13"/>
  <c r="E99" i="13"/>
  <c r="CV98" i="16"/>
  <c r="CW98" i="16" s="1"/>
  <c r="CV90" i="16"/>
  <c r="CW90" i="16" s="1"/>
  <c r="BX98" i="16"/>
  <c r="BY98" i="16" s="1"/>
  <c r="BX90" i="16"/>
  <c r="BY90" i="16" s="1"/>
  <c r="AZ98" i="16"/>
  <c r="BA98" i="16" s="1"/>
  <c r="AZ90" i="16"/>
  <c r="BA90" i="16" s="1"/>
  <c r="AB98" i="16"/>
  <c r="AC98" i="16" s="1"/>
  <c r="AB90" i="16"/>
  <c r="AC90" i="16" s="1"/>
  <c r="D98" i="16"/>
  <c r="E98" i="16" s="1"/>
  <c r="D90" i="16"/>
  <c r="E90" i="16" s="1"/>
  <c r="CV98" i="15"/>
  <c r="CW98" i="15" s="1"/>
  <c r="CV90" i="15"/>
  <c r="CW90" i="15" s="1"/>
  <c r="BX98" i="15"/>
  <c r="BY98" i="15" s="1"/>
  <c r="BX90" i="15"/>
  <c r="BY90" i="15" s="1"/>
  <c r="AZ98" i="15"/>
  <c r="BA98" i="15" s="1"/>
  <c r="AZ90" i="15"/>
  <c r="BA90" i="15" s="1"/>
  <c r="AB98" i="15"/>
  <c r="AC98" i="15" s="1"/>
  <c r="AB90" i="15"/>
  <c r="AC90" i="15" s="1"/>
  <c r="D98" i="15"/>
  <c r="E98" i="15" s="1"/>
  <c r="D90" i="15"/>
  <c r="E90" i="15" s="1"/>
  <c r="CV98" i="14"/>
  <c r="CW98" i="14" s="1"/>
  <c r="CV90" i="14"/>
  <c r="CW90" i="14" s="1"/>
  <c r="BX98" i="14"/>
  <c r="BY98" i="14" s="1"/>
  <c r="BX90" i="14"/>
  <c r="BY90" i="14" s="1"/>
  <c r="AZ98" i="14"/>
  <c r="BA98" i="14" s="1"/>
  <c r="AZ90" i="14"/>
  <c r="BA90" i="14" s="1"/>
  <c r="AB98" i="14"/>
  <c r="AC98" i="14" s="1"/>
  <c r="AB90" i="14"/>
  <c r="AC90" i="14" s="1"/>
  <c r="D98" i="14"/>
  <c r="E98" i="14" s="1"/>
  <c r="D90" i="14"/>
  <c r="E90" i="14" s="1"/>
  <c r="E96" i="13"/>
  <c r="E88" i="13"/>
  <c r="CV102" i="16"/>
  <c r="CW102" i="16" s="1"/>
  <c r="CV94" i="16"/>
  <c r="BX102" i="16"/>
  <c r="BY102" i="16" s="1"/>
  <c r="BX94" i="16"/>
  <c r="AZ102" i="16"/>
  <c r="BA102" i="16" s="1"/>
  <c r="AZ94" i="16"/>
  <c r="AB102" i="16"/>
  <c r="AC102" i="16" s="1"/>
  <c r="AB94" i="16"/>
  <c r="D102" i="16"/>
  <c r="E102" i="16" s="1"/>
  <c r="D94" i="16"/>
  <c r="CV102" i="15"/>
  <c r="CW102" i="15" s="1"/>
  <c r="CV94" i="15"/>
  <c r="BX102" i="15"/>
  <c r="BY102" i="15" s="1"/>
  <c r="BX94" i="15"/>
  <c r="AZ102" i="15"/>
  <c r="BA102" i="15" s="1"/>
  <c r="AZ94" i="15"/>
  <c r="AB102" i="15"/>
  <c r="AC102" i="15" s="1"/>
  <c r="AB94" i="15"/>
  <c r="D102" i="15"/>
  <c r="E102" i="15" s="1"/>
  <c r="D94" i="15"/>
  <c r="CV102" i="14"/>
  <c r="CW102" i="14" s="1"/>
  <c r="CV94" i="14"/>
  <c r="BX102" i="14"/>
  <c r="BY102" i="14" s="1"/>
  <c r="BX94" i="14"/>
  <c r="AZ102" i="14"/>
  <c r="BA102" i="14" s="1"/>
  <c r="AZ94" i="14"/>
  <c r="AB102" i="14"/>
  <c r="AC102" i="14" s="1"/>
  <c r="AB94" i="14"/>
  <c r="D102" i="14"/>
  <c r="E102" i="14" s="1"/>
  <c r="D94" i="14"/>
  <c r="E92" i="13"/>
  <c r="CV88" i="16"/>
  <c r="CW88" i="16" s="1"/>
  <c r="BX88" i="16"/>
  <c r="BY88" i="16" s="1"/>
  <c r="AZ88" i="16"/>
  <c r="BA88" i="16" s="1"/>
  <c r="AB88" i="16"/>
  <c r="AC88" i="16" s="1"/>
  <c r="D88" i="16"/>
  <c r="E88" i="16" s="1"/>
  <c r="CV88" i="15"/>
  <c r="CW88" i="15" s="1"/>
  <c r="BX88" i="15"/>
  <c r="BY88" i="15" s="1"/>
  <c r="AZ88" i="15"/>
  <c r="BA88" i="15" s="1"/>
  <c r="AB88" i="15"/>
  <c r="AC88" i="15" s="1"/>
  <c r="D88" i="15"/>
  <c r="E88" i="15" s="1"/>
  <c r="CV88" i="14"/>
  <c r="CW88" i="14" s="1"/>
  <c r="BX88" i="14"/>
  <c r="BY88" i="14" s="1"/>
  <c r="AZ88" i="14"/>
  <c r="BA88" i="14" s="1"/>
  <c r="AB88" i="14"/>
  <c r="AC88" i="14" s="1"/>
  <c r="D88" i="14"/>
  <c r="E88" i="14" s="1"/>
  <c r="E90" i="13"/>
  <c r="CV96" i="16"/>
  <c r="CW96" i="16" s="1"/>
  <c r="BX96" i="16"/>
  <c r="BY96" i="16" s="1"/>
  <c r="AZ96" i="16"/>
  <c r="BA96" i="16" s="1"/>
  <c r="AB96" i="16"/>
  <c r="AC96" i="16" s="1"/>
  <c r="D96" i="16"/>
  <c r="E96" i="16" s="1"/>
  <c r="CV96" i="15"/>
  <c r="CW96" i="15" s="1"/>
  <c r="BX96" i="15"/>
  <c r="BY96" i="15" s="1"/>
  <c r="AZ96" i="15"/>
  <c r="BA96" i="15" s="1"/>
  <c r="AB96" i="15"/>
  <c r="AC96" i="15" s="1"/>
  <c r="D96" i="15"/>
  <c r="E96" i="15" s="1"/>
  <c r="CV96" i="14"/>
  <c r="CW96" i="14" s="1"/>
  <c r="BX96" i="14"/>
  <c r="BY96" i="14" s="1"/>
  <c r="AZ96" i="14"/>
  <c r="BA96" i="14" s="1"/>
  <c r="AB96" i="14"/>
  <c r="AC96" i="14" s="1"/>
  <c r="D96" i="14"/>
  <c r="E96" i="14" s="1"/>
  <c r="E98" i="13"/>
  <c r="CV92" i="16"/>
  <c r="CW92" i="16" s="1"/>
  <c r="BX92" i="16"/>
  <c r="BY92" i="16" s="1"/>
  <c r="AZ92" i="16"/>
  <c r="BA92" i="16" s="1"/>
  <c r="AB92" i="16"/>
  <c r="AC92" i="16" s="1"/>
  <c r="D92" i="16"/>
  <c r="E92" i="16" s="1"/>
  <c r="CV92" i="15"/>
  <c r="CW92" i="15" s="1"/>
  <c r="BX92" i="15"/>
  <c r="BY92" i="15" s="1"/>
  <c r="AZ92" i="15"/>
  <c r="BA92" i="15" s="1"/>
  <c r="AB92" i="15"/>
  <c r="AC92" i="15" s="1"/>
  <c r="D92" i="15"/>
  <c r="E92" i="15" s="1"/>
  <c r="CV92" i="14"/>
  <c r="CW92" i="14" s="1"/>
  <c r="BX92" i="14"/>
  <c r="BY92" i="14" s="1"/>
  <c r="AZ92" i="14"/>
  <c r="BA92" i="14" s="1"/>
  <c r="AB92" i="14"/>
  <c r="AC92" i="14" s="1"/>
  <c r="D92" i="14"/>
  <c r="E92" i="14" s="1"/>
  <c r="E102" i="13"/>
  <c r="CV100" i="16"/>
  <c r="D100" i="16"/>
  <c r="AB100" i="15"/>
  <c r="AZ100" i="14"/>
  <c r="BX100" i="16"/>
  <c r="CV100" i="15"/>
  <c r="D100" i="15"/>
  <c r="AB100" i="14"/>
  <c r="AZ100" i="16"/>
  <c r="BX100" i="15"/>
  <c r="CV100" i="14"/>
  <c r="D100" i="14"/>
  <c r="AB100" i="16"/>
  <c r="AZ100" i="15"/>
  <c r="BX100" i="14"/>
  <c r="U11" i="8"/>
  <c r="CV12" i="15"/>
  <c r="CW12" i="15" s="1"/>
  <c r="BX24" i="15"/>
  <c r="BY24" i="15" s="1"/>
  <c r="BX20" i="15"/>
  <c r="BY20" i="15" s="1"/>
  <c r="BX16" i="15"/>
  <c r="BY16" i="15" s="1"/>
  <c r="CV26" i="15"/>
  <c r="CW26" i="15" s="1"/>
  <c r="BX26" i="15"/>
  <c r="BY26" i="15" s="1"/>
  <c r="BX14" i="15"/>
  <c r="BY14" i="15" s="1"/>
  <c r="BX17" i="15"/>
  <c r="BY17" i="15" s="1"/>
  <c r="CV24" i="15"/>
  <c r="CW24" i="15" s="1"/>
  <c r="CV27" i="15"/>
  <c r="CW27" i="15" s="1"/>
  <c r="CV23" i="15"/>
  <c r="CW23" i="15" s="1"/>
  <c r="CV19" i="15"/>
  <c r="CW19" i="15" s="1"/>
  <c r="CV15" i="15"/>
  <c r="CW15" i="15" s="1"/>
  <c r="BX12" i="15"/>
  <c r="BY12" i="15" s="1"/>
  <c r="CV18" i="15"/>
  <c r="CW18" i="15" s="1"/>
  <c r="BX22" i="15"/>
  <c r="BY22" i="15" s="1"/>
  <c r="BX25" i="15"/>
  <c r="BY25" i="15" s="1"/>
  <c r="CV16" i="15"/>
  <c r="CW16" i="15" s="1"/>
  <c r="BX27" i="15"/>
  <c r="BY27" i="15" s="1"/>
  <c r="BX23" i="15"/>
  <c r="BY23" i="15" s="1"/>
  <c r="BX19" i="15"/>
  <c r="BY19" i="15" s="1"/>
  <c r="BX15" i="15"/>
  <c r="BY15" i="15" s="1"/>
  <c r="CV22" i="15"/>
  <c r="CW22" i="15" s="1"/>
  <c r="CV14" i="15"/>
  <c r="CW14" i="15" s="1"/>
  <c r="BX18" i="15"/>
  <c r="BY18" i="15" s="1"/>
  <c r="BX13" i="15"/>
  <c r="BY13" i="15" s="1"/>
  <c r="CV25" i="15"/>
  <c r="CW25" i="15" s="1"/>
  <c r="CV21" i="15"/>
  <c r="CW21" i="15" s="1"/>
  <c r="CV17" i="15"/>
  <c r="CW17" i="15" s="1"/>
  <c r="CV13" i="15"/>
  <c r="CW13" i="15" s="1"/>
  <c r="BX21" i="15"/>
  <c r="BY21" i="15" s="1"/>
  <c r="CV20" i="15"/>
  <c r="CW20" i="15" s="1"/>
  <c r="CV26" i="16"/>
  <c r="CW26" i="16" s="1"/>
  <c r="CV22" i="16"/>
  <c r="CW22" i="16" s="1"/>
  <c r="CV18" i="16"/>
  <c r="CW18" i="16" s="1"/>
  <c r="CV14" i="16"/>
  <c r="CW14" i="16" s="1"/>
  <c r="BX27" i="16"/>
  <c r="BY27" i="16" s="1"/>
  <c r="BX23" i="16"/>
  <c r="BY23" i="16" s="1"/>
  <c r="BX19" i="16"/>
  <c r="BY19" i="16" s="1"/>
  <c r="BX15" i="16"/>
  <c r="BY15" i="16" s="1"/>
  <c r="AZ20" i="16"/>
  <c r="BA20" i="16" s="1"/>
  <c r="AZ12" i="16"/>
  <c r="BA12" i="16" s="1"/>
  <c r="AB20" i="16"/>
  <c r="AC20" i="16" s="1"/>
  <c r="AB12" i="16"/>
  <c r="AC12" i="16" s="1"/>
  <c r="AB20" i="15"/>
  <c r="AC20" i="15" s="1"/>
  <c r="AB12" i="15"/>
  <c r="AC12" i="15" s="1"/>
  <c r="AZ20" i="15"/>
  <c r="BA20" i="15" s="1"/>
  <c r="AZ12" i="15"/>
  <c r="BA12" i="15" s="1"/>
  <c r="CV22" i="14"/>
  <c r="CV14" i="14"/>
  <c r="CW14" i="14" s="1"/>
  <c r="BX17" i="14"/>
  <c r="BX25" i="14"/>
  <c r="AZ23" i="14"/>
  <c r="AZ15" i="14"/>
  <c r="BA15" i="14" s="1"/>
  <c r="AB15" i="14"/>
  <c r="AC15" i="14" s="1"/>
  <c r="AL15" i="14" s="1"/>
  <c r="AB23" i="14"/>
  <c r="CW19" i="13"/>
  <c r="CW27" i="13"/>
  <c r="BY17" i="13"/>
  <c r="BY25" i="13"/>
  <c r="D25" i="16"/>
  <c r="E25" i="16" s="1"/>
  <c r="D23" i="16"/>
  <c r="E23" i="16" s="1"/>
  <c r="D21" i="16"/>
  <c r="E21" i="16" s="1"/>
  <c r="D19" i="16"/>
  <c r="E19" i="16" s="1"/>
  <c r="D27" i="15"/>
  <c r="E27" i="15" s="1"/>
  <c r="D25" i="15"/>
  <c r="E25" i="15" s="1"/>
  <c r="D23" i="15"/>
  <c r="E23" i="15" s="1"/>
  <c r="D21" i="15"/>
  <c r="E21" i="15" s="1"/>
  <c r="D19" i="15"/>
  <c r="E19" i="15" s="1"/>
  <c r="D17" i="15"/>
  <c r="E17" i="15" s="1"/>
  <c r="D15" i="15"/>
  <c r="E15" i="15" s="1"/>
  <c r="D26" i="14"/>
  <c r="AZ13" i="16"/>
  <c r="BA13" i="16" s="1"/>
  <c r="AZ21" i="16"/>
  <c r="BA21" i="16" s="1"/>
  <c r="AB13" i="16"/>
  <c r="AC13" i="16" s="1"/>
  <c r="AB21" i="16"/>
  <c r="AC21" i="16" s="1"/>
  <c r="AB13" i="15"/>
  <c r="AC13" i="15" s="1"/>
  <c r="AB21" i="15"/>
  <c r="AC21" i="15" s="1"/>
  <c r="AZ13" i="15"/>
  <c r="BA13" i="15" s="1"/>
  <c r="AZ21" i="15"/>
  <c r="BA21" i="15" s="1"/>
  <c r="CV21" i="14"/>
  <c r="CV13" i="14"/>
  <c r="CW13" i="14" s="1"/>
  <c r="BX18" i="14"/>
  <c r="BX26" i="14"/>
  <c r="AZ22" i="14"/>
  <c r="AZ14" i="14"/>
  <c r="BA14" i="14" s="1"/>
  <c r="AB16" i="14"/>
  <c r="AC16" i="14" s="1"/>
  <c r="AL16" i="14" s="1"/>
  <c r="AB24" i="14"/>
  <c r="CW20" i="13"/>
  <c r="CW12" i="13"/>
  <c r="BY18" i="13"/>
  <c r="BY26" i="13"/>
  <c r="D17" i="16"/>
  <c r="E17" i="16" s="1"/>
  <c r="D15" i="16"/>
  <c r="E15" i="16" s="1"/>
  <c r="D12" i="16"/>
  <c r="E12" i="16" s="1"/>
  <c r="D12" i="15"/>
  <c r="E12" i="15" s="1"/>
  <c r="CV25" i="16"/>
  <c r="CW25" i="16" s="1"/>
  <c r="CV21" i="16"/>
  <c r="CW21" i="16" s="1"/>
  <c r="CV17" i="16"/>
  <c r="CW17" i="16" s="1"/>
  <c r="CV13" i="16"/>
  <c r="CW13" i="16" s="1"/>
  <c r="BX26" i="16"/>
  <c r="BY26" i="16" s="1"/>
  <c r="BX22" i="16"/>
  <c r="BY22" i="16" s="1"/>
  <c r="BX18" i="16"/>
  <c r="BY18" i="16" s="1"/>
  <c r="BX14" i="16"/>
  <c r="BY14" i="16" s="1"/>
  <c r="AZ14" i="16"/>
  <c r="BA14" i="16" s="1"/>
  <c r="AZ22" i="16"/>
  <c r="BA22" i="16" s="1"/>
  <c r="AB14" i="16"/>
  <c r="AC14" i="16" s="1"/>
  <c r="AB22" i="16"/>
  <c r="AC22" i="16" s="1"/>
  <c r="AB14" i="15"/>
  <c r="AC14" i="15" s="1"/>
  <c r="AB22" i="15"/>
  <c r="AC22" i="15" s="1"/>
  <c r="AZ14" i="15"/>
  <c r="BA14" i="15" s="1"/>
  <c r="AZ22" i="15"/>
  <c r="BA22" i="15" s="1"/>
  <c r="CV27" i="14"/>
  <c r="CV20" i="14"/>
  <c r="BX19" i="14"/>
  <c r="BX27" i="14"/>
  <c r="AZ21" i="14"/>
  <c r="AZ13" i="14"/>
  <c r="BA13" i="14" s="1"/>
  <c r="AB17" i="14"/>
  <c r="AB25" i="14"/>
  <c r="CW13" i="13"/>
  <c r="CW21" i="13"/>
  <c r="BY19" i="13"/>
  <c r="BY27" i="13"/>
  <c r="D25" i="14"/>
  <c r="CV24" i="16"/>
  <c r="CW24" i="16" s="1"/>
  <c r="CV20" i="16"/>
  <c r="CW20" i="16" s="1"/>
  <c r="CV16" i="16"/>
  <c r="CW16" i="16" s="1"/>
  <c r="BX25" i="16"/>
  <c r="BY25" i="16" s="1"/>
  <c r="BX21" i="16"/>
  <c r="BY21" i="16" s="1"/>
  <c r="BX17" i="16"/>
  <c r="BY17" i="16" s="1"/>
  <c r="BX13" i="16"/>
  <c r="BY13" i="16" s="1"/>
  <c r="AZ16" i="16"/>
  <c r="BA16" i="16" s="1"/>
  <c r="AZ24" i="16"/>
  <c r="BA24" i="16" s="1"/>
  <c r="AB16" i="16"/>
  <c r="AC16" i="16" s="1"/>
  <c r="AB24" i="16"/>
  <c r="AC24" i="16" s="1"/>
  <c r="AB16" i="15"/>
  <c r="AC16" i="15" s="1"/>
  <c r="AB24" i="15"/>
  <c r="AC24" i="15" s="1"/>
  <c r="AZ16" i="15"/>
  <c r="BA16" i="15" s="1"/>
  <c r="AZ24" i="15"/>
  <c r="BA24" i="15" s="1"/>
  <c r="CV25" i="14"/>
  <c r="CV18" i="14"/>
  <c r="BX13" i="14"/>
  <c r="BY13" i="14" s="1"/>
  <c r="CH13" i="14" s="1"/>
  <c r="BX21" i="14"/>
  <c r="AZ27" i="14"/>
  <c r="AZ19" i="14"/>
  <c r="AZ12" i="14"/>
  <c r="BA12" i="14" s="1"/>
  <c r="AB19" i="14"/>
  <c r="AB12" i="14"/>
  <c r="AC12" i="14" s="1"/>
  <c r="AL12" i="14" s="1"/>
  <c r="CW15" i="13"/>
  <c r="CW23" i="13"/>
  <c r="BY13" i="13"/>
  <c r="BY21" i="13"/>
  <c r="D24" i="16"/>
  <c r="E24" i="16" s="1"/>
  <c r="D22" i="16"/>
  <c r="E22" i="16" s="1"/>
  <c r="D20" i="16"/>
  <c r="E20" i="16" s="1"/>
  <c r="D13" i="16"/>
  <c r="E13" i="16" s="1"/>
  <c r="D26" i="15"/>
  <c r="E26" i="15" s="1"/>
  <c r="D24" i="15"/>
  <c r="E24" i="15" s="1"/>
  <c r="D22" i="15"/>
  <c r="E22" i="15" s="1"/>
  <c r="D20" i="15"/>
  <c r="E20" i="15" s="1"/>
  <c r="D18" i="15"/>
  <c r="E18" i="15" s="1"/>
  <c r="D16" i="15"/>
  <c r="E16" i="15" s="1"/>
  <c r="D24" i="14"/>
  <c r="D20" i="14"/>
  <c r="AZ25" i="16"/>
  <c r="BA25" i="16" s="1"/>
  <c r="AB25" i="16"/>
  <c r="AC25" i="16" s="1"/>
  <c r="AB23" i="15"/>
  <c r="AC23" i="15" s="1"/>
  <c r="AZ23" i="15"/>
  <c r="BA23" i="15" s="1"/>
  <c r="CV17" i="14"/>
  <c r="BX20" i="14"/>
  <c r="AZ20" i="14"/>
  <c r="AB18" i="14"/>
  <c r="CW26" i="13"/>
  <c r="BY23" i="13"/>
  <c r="D13" i="15"/>
  <c r="E13" i="15" s="1"/>
  <c r="BA14" i="13"/>
  <c r="BA22" i="13"/>
  <c r="AC18" i="13"/>
  <c r="AC26" i="13"/>
  <c r="CV12" i="16"/>
  <c r="CW12" i="16" s="1"/>
  <c r="AB15" i="16"/>
  <c r="AC15" i="16" s="1"/>
  <c r="AZ27" i="15"/>
  <c r="BA27" i="15" s="1"/>
  <c r="CV26" i="14"/>
  <c r="AZ16" i="14"/>
  <c r="BA16" i="14" s="1"/>
  <c r="CW17" i="13"/>
  <c r="D14" i="16"/>
  <c r="E14" i="16" s="1"/>
  <c r="D19" i="14"/>
  <c r="E23" i="13"/>
  <c r="CV19" i="16"/>
  <c r="CW19" i="16" s="1"/>
  <c r="BX24" i="16"/>
  <c r="BY24" i="16" s="1"/>
  <c r="BX12" i="16"/>
  <c r="BY12" i="16" s="1"/>
  <c r="AZ26" i="16"/>
  <c r="BA26" i="16" s="1"/>
  <c r="AB26" i="16"/>
  <c r="AC26" i="16" s="1"/>
  <c r="AB25" i="15"/>
  <c r="AC25" i="15" s="1"/>
  <c r="AZ25" i="15"/>
  <c r="BA25" i="15" s="1"/>
  <c r="CV16" i="14"/>
  <c r="CW16" i="14" s="1"/>
  <c r="BX22" i="14"/>
  <c r="AZ18" i="14"/>
  <c r="AB20" i="14"/>
  <c r="CW14" i="13"/>
  <c r="BY24" i="13"/>
  <c r="D26" i="16"/>
  <c r="E26" i="16" s="1"/>
  <c r="D16" i="14"/>
  <c r="E16" i="14" s="1"/>
  <c r="BA15" i="13"/>
  <c r="BA23" i="13"/>
  <c r="AC19" i="13"/>
  <c r="AC12" i="13"/>
  <c r="E24" i="13"/>
  <c r="E20" i="13"/>
  <c r="E16" i="13"/>
  <c r="AZ15" i="16"/>
  <c r="BA15" i="16" s="1"/>
  <c r="AB27" i="15"/>
  <c r="AC27" i="15" s="1"/>
  <c r="AB22" i="14"/>
  <c r="BY14" i="13"/>
  <c r="D16" i="16"/>
  <c r="E16" i="16" s="1"/>
  <c r="D23" i="14"/>
  <c r="BA17" i="13"/>
  <c r="AC13" i="13"/>
  <c r="E19" i="13"/>
  <c r="AZ27" i="16"/>
  <c r="BA27" i="16" s="1"/>
  <c r="AB27" i="16"/>
  <c r="AC27" i="16" s="1"/>
  <c r="AB26" i="15"/>
  <c r="AC26" i="15" s="1"/>
  <c r="AZ26" i="15"/>
  <c r="BA26" i="15" s="1"/>
  <c r="CV15" i="14"/>
  <c r="CW15" i="14" s="1"/>
  <c r="BX23" i="14"/>
  <c r="AZ17" i="14"/>
  <c r="AB21" i="14"/>
  <c r="CW16" i="13"/>
  <c r="BY12" i="13"/>
  <c r="D14" i="15"/>
  <c r="E14" i="15" s="1"/>
  <c r="D13" i="14"/>
  <c r="E13" i="14" s="1"/>
  <c r="BA16" i="13"/>
  <c r="BA24" i="13"/>
  <c r="AC27" i="13"/>
  <c r="AC20" i="13"/>
  <c r="E12" i="13"/>
  <c r="BX16" i="16"/>
  <c r="BY16" i="16" s="1"/>
  <c r="BX24" i="14"/>
  <c r="BA25" i="13"/>
  <c r="AC21" i="13"/>
  <c r="E27" i="13"/>
  <c r="E15" i="13"/>
  <c r="AZ18" i="16"/>
  <c r="BA18" i="16" s="1"/>
  <c r="AB18" i="16"/>
  <c r="AC18" i="16" s="1"/>
  <c r="AB17" i="15"/>
  <c r="AC17" i="15" s="1"/>
  <c r="AZ17" i="15"/>
  <c r="BA17" i="15" s="1"/>
  <c r="BX14" i="14"/>
  <c r="BY14" i="14" s="1"/>
  <c r="CH14" i="14" s="1"/>
  <c r="AZ26" i="14"/>
  <c r="AB27" i="14"/>
  <c r="CW22" i="13"/>
  <c r="BY16" i="13"/>
  <c r="D27" i="16"/>
  <c r="E27" i="16" s="1"/>
  <c r="D22" i="14"/>
  <c r="D18" i="14"/>
  <c r="D12" i="14"/>
  <c r="E12" i="14" s="1"/>
  <c r="BA19" i="13"/>
  <c r="BA27" i="13"/>
  <c r="AC15" i="13"/>
  <c r="AC23" i="13"/>
  <c r="E26" i="13"/>
  <c r="E22" i="13"/>
  <c r="E18" i="13"/>
  <c r="E14" i="13"/>
  <c r="CV15" i="16"/>
  <c r="CW15" i="16" s="1"/>
  <c r="BX20" i="16"/>
  <c r="BY20" i="16" s="1"/>
  <c r="AZ19" i="16"/>
  <c r="BA19" i="16" s="1"/>
  <c r="AB19" i="16"/>
  <c r="AC19" i="16" s="1"/>
  <c r="AB18" i="15"/>
  <c r="AC18" i="15" s="1"/>
  <c r="AZ18" i="15"/>
  <c r="BA18" i="15" s="1"/>
  <c r="CV23" i="14"/>
  <c r="BX15" i="14"/>
  <c r="BY15" i="14" s="1"/>
  <c r="CH15" i="14" s="1"/>
  <c r="AZ25" i="14"/>
  <c r="AB13" i="14"/>
  <c r="AC13" i="14" s="1"/>
  <c r="AL13" i="14" s="1"/>
  <c r="CW24" i="13"/>
  <c r="BY20" i="13"/>
  <c r="CV12" i="14"/>
  <c r="CW12" i="14" s="1"/>
  <c r="CW18" i="13"/>
  <c r="D17" i="14"/>
  <c r="BA21" i="13"/>
  <c r="AC22" i="13"/>
  <c r="AZ24" i="14"/>
  <c r="AC14" i="13"/>
  <c r="CV19" i="14"/>
  <c r="BA18" i="13"/>
  <c r="BA20" i="13"/>
  <c r="BX16" i="14"/>
  <c r="BY16" i="14" s="1"/>
  <c r="CH16" i="14" s="1"/>
  <c r="CW25" i="13"/>
  <c r="BA26" i="13"/>
  <c r="AC24" i="13"/>
  <c r="E21" i="13"/>
  <c r="AB19" i="15"/>
  <c r="AC19" i="15" s="1"/>
  <c r="E13" i="13"/>
  <c r="BA13" i="13"/>
  <c r="CV27" i="16"/>
  <c r="CW27" i="16" s="1"/>
  <c r="AB15" i="15"/>
  <c r="AC15" i="15" s="1"/>
  <c r="BX12" i="14"/>
  <c r="BY12" i="14" s="1"/>
  <c r="CH12" i="14" s="1"/>
  <c r="D21" i="14"/>
  <c r="BA12" i="13"/>
  <c r="AC25" i="13"/>
  <c r="CV23" i="16"/>
  <c r="CW23" i="16" s="1"/>
  <c r="AZ17" i="16"/>
  <c r="BA17" i="16" s="1"/>
  <c r="BY15" i="13"/>
  <c r="D27" i="14"/>
  <c r="E17" i="13"/>
  <c r="AC17" i="13"/>
  <c r="AZ23" i="16"/>
  <c r="BA23" i="16" s="1"/>
  <c r="AZ15" i="15"/>
  <c r="BA15" i="15" s="1"/>
  <c r="BY22" i="13"/>
  <c r="D15" i="14"/>
  <c r="E15" i="14" s="1"/>
  <c r="E25" i="13"/>
  <c r="AB17" i="16"/>
  <c r="AC17" i="16" s="1"/>
  <c r="AZ19" i="15"/>
  <c r="BA19" i="15" s="1"/>
  <c r="CV24" i="14"/>
  <c r="AB14" i="14"/>
  <c r="AC14" i="14" s="1"/>
  <c r="AL14" i="14" s="1"/>
  <c r="D18" i="16"/>
  <c r="E18" i="16" s="1"/>
  <c r="AB23" i="16"/>
  <c r="AC23" i="16" s="1"/>
  <c r="AB26" i="14"/>
  <c r="D14" i="14"/>
  <c r="E14" i="14" s="1"/>
  <c r="AC16" i="13"/>
  <c r="E67" i="10"/>
  <c r="F67" i="10" s="1"/>
  <c r="Z67" i="10" s="1"/>
  <c r="E75" i="10"/>
  <c r="F75" i="10" s="1"/>
  <c r="Z75" i="10" s="1"/>
  <c r="E70" i="10"/>
  <c r="F70" i="10" s="1"/>
  <c r="Z70" i="10" s="1"/>
  <c r="E71" i="10"/>
  <c r="F71" i="10" s="1"/>
  <c r="Z71" i="10" s="1"/>
  <c r="E66" i="10"/>
  <c r="F66" i="10" s="1"/>
  <c r="Z66" i="10" s="1"/>
  <c r="E68" i="10"/>
  <c r="F68" i="10" s="1"/>
  <c r="Z68" i="10" s="1"/>
  <c r="E76" i="10"/>
  <c r="F76" i="10" s="1"/>
  <c r="Z76" i="10" s="1"/>
  <c r="E79" i="10"/>
  <c r="F79" i="10" s="1"/>
  <c r="Z79" i="10" s="1"/>
  <c r="E69" i="10"/>
  <c r="F69" i="10" s="1"/>
  <c r="Z69" i="10" s="1"/>
  <c r="E77" i="10"/>
  <c r="F77" i="10" s="1"/>
  <c r="Z77" i="10" s="1"/>
  <c r="E78" i="10"/>
  <c r="F78" i="10" s="1"/>
  <c r="Z78" i="10" s="1"/>
  <c r="E72" i="10"/>
  <c r="F72" i="10" s="1"/>
  <c r="Z72" i="10" s="1"/>
  <c r="E80" i="10"/>
  <c r="F80" i="10" s="1"/>
  <c r="Z80" i="10" s="1"/>
  <c r="E73" i="10"/>
  <c r="F73" i="10" s="1"/>
  <c r="Z73" i="10" s="1"/>
  <c r="E74" i="10"/>
  <c r="F74" i="10" s="1"/>
  <c r="Z74" i="10" s="1"/>
  <c r="N36" i="7"/>
  <c r="M9" i="7" s="1"/>
  <c r="S36" i="7"/>
  <c r="R9" i="7" s="1"/>
  <c r="R11" i="7" s="1"/>
  <c r="I36" i="7"/>
  <c r="H9" i="7" s="1"/>
  <c r="H11" i="7" s="1"/>
  <c r="X36" i="7"/>
  <c r="W9" i="7" s="1"/>
  <c r="W11" i="7" s="1"/>
  <c r="Z20" i="10" l="1"/>
  <c r="X20" i="10"/>
  <c r="Z23" i="10"/>
  <c r="X23" i="10"/>
  <c r="Z27" i="10"/>
  <c r="X27" i="10"/>
  <c r="Z21" i="10"/>
  <c r="X21" i="10"/>
  <c r="Z18" i="10"/>
  <c r="X18" i="10"/>
  <c r="Z15" i="10"/>
  <c r="X15" i="10"/>
  <c r="Z17" i="10"/>
  <c r="X17" i="10"/>
  <c r="Z14" i="10"/>
  <c r="X14" i="10"/>
  <c r="Z24" i="10"/>
  <c r="X24" i="10"/>
  <c r="AE13" i="10"/>
  <c r="AE14" i="10" s="1"/>
  <c r="AE15" i="10" s="1"/>
  <c r="Z26" i="10"/>
  <c r="X26" i="10"/>
  <c r="CM12" i="13"/>
  <c r="CM13" i="13" s="1"/>
  <c r="CM14" i="13" s="1"/>
  <c r="CM15" i="13" s="1"/>
  <c r="CM16" i="13" s="1"/>
  <c r="CM17" i="13" s="1"/>
  <c r="CM18" i="13" s="1"/>
  <c r="CM19" i="13" s="1"/>
  <c r="CM20" i="13" s="1"/>
  <c r="CM21" i="13" s="1"/>
  <c r="CM22" i="13" s="1"/>
  <c r="CM23" i="13" s="1"/>
  <c r="CM24" i="13" s="1"/>
  <c r="CM25" i="13" s="1"/>
  <c r="CM26" i="13" s="1"/>
  <c r="CM27" i="13" s="1"/>
  <c r="K160" i="13" s="1"/>
  <c r="DK12" i="13"/>
  <c r="DK13" i="13" s="1"/>
  <c r="DK14" i="13" s="1"/>
  <c r="DK15" i="13" s="1"/>
  <c r="DK16" i="13" s="1"/>
  <c r="DK17" i="13" s="1"/>
  <c r="DK18" i="13" s="1"/>
  <c r="DK19" i="13" s="1"/>
  <c r="DK20" i="13" s="1"/>
  <c r="DK21" i="13" s="1"/>
  <c r="DK22" i="13" s="1"/>
  <c r="DK23" i="13" s="1"/>
  <c r="DK24" i="13" s="1"/>
  <c r="DK25" i="13" s="1"/>
  <c r="DK26" i="13" s="1"/>
  <c r="DK27" i="13" s="1"/>
  <c r="L160" i="13" s="1"/>
  <c r="AQ12" i="15"/>
  <c r="AQ13" i="15" s="1"/>
  <c r="AQ14" i="15" s="1"/>
  <c r="AQ15" i="15" s="1"/>
  <c r="AQ16" i="15" s="1"/>
  <c r="AQ17" i="15" s="1"/>
  <c r="AQ18" i="15" s="1"/>
  <c r="AQ19" i="15" s="1"/>
  <c r="AQ20" i="15" s="1"/>
  <c r="AQ21" i="15" s="1"/>
  <c r="AQ22" i="15" s="1"/>
  <c r="AQ23" i="15" s="1"/>
  <c r="AQ24" i="15" s="1"/>
  <c r="AQ25" i="15" s="1"/>
  <c r="AQ26" i="15" s="1"/>
  <c r="AQ27" i="15" s="1"/>
  <c r="I160" i="15" s="1"/>
  <c r="BO12" i="16"/>
  <c r="BO13" i="16" s="1"/>
  <c r="BO14" i="16" s="1"/>
  <c r="BO15" i="16" s="1"/>
  <c r="BO16" i="16" s="1"/>
  <c r="BO17" i="16" s="1"/>
  <c r="BO18" i="16" s="1"/>
  <c r="BO19" i="16" s="1"/>
  <c r="BO20" i="16" s="1"/>
  <c r="BO21" i="16" s="1"/>
  <c r="BO22" i="16" s="1"/>
  <c r="BO23" i="16" s="1"/>
  <c r="BO24" i="16" s="1"/>
  <c r="BO25" i="16" s="1"/>
  <c r="BO26" i="16" s="1"/>
  <c r="BO27" i="16" s="1"/>
  <c r="J160" i="16" s="1"/>
  <c r="CM12" i="15"/>
  <c r="CM13" i="15" s="1"/>
  <c r="CM14" i="15" s="1"/>
  <c r="CM15" i="15" s="1"/>
  <c r="CM16" i="15" s="1"/>
  <c r="CM17" i="15" s="1"/>
  <c r="CM18" i="15" s="1"/>
  <c r="CM19" i="15" s="1"/>
  <c r="CM20" i="15" s="1"/>
  <c r="CM21" i="15" s="1"/>
  <c r="CM22" i="15" s="1"/>
  <c r="CM23" i="15" s="1"/>
  <c r="CM24" i="15" s="1"/>
  <c r="CM25" i="15" s="1"/>
  <c r="CM26" i="15" s="1"/>
  <c r="CM27" i="15" s="1"/>
  <c r="K160" i="15" s="1"/>
  <c r="BO12" i="13"/>
  <c r="BO13" i="13" s="1"/>
  <c r="BO14" i="13" s="1"/>
  <c r="BO15" i="13" s="1"/>
  <c r="BO16" i="13" s="1"/>
  <c r="BO17" i="13" s="1"/>
  <c r="BO18" i="13" s="1"/>
  <c r="BO19" i="13" s="1"/>
  <c r="BO20" i="13" s="1"/>
  <c r="BO21" i="13" s="1"/>
  <c r="BO22" i="13" s="1"/>
  <c r="BO23" i="13" s="1"/>
  <c r="BO24" i="13" s="1"/>
  <c r="BO25" i="13" s="1"/>
  <c r="BO26" i="13" s="1"/>
  <c r="BO27" i="13" s="1"/>
  <c r="J160" i="13" s="1"/>
  <c r="S12" i="16"/>
  <c r="S13" i="16" s="1"/>
  <c r="S14" i="16" s="1"/>
  <c r="S15" i="16" s="1"/>
  <c r="S16" i="16" s="1"/>
  <c r="S17" i="16" s="1"/>
  <c r="S18" i="16" s="1"/>
  <c r="S19" i="16" s="1"/>
  <c r="S20" i="16" s="1"/>
  <c r="S21" i="16" s="1"/>
  <c r="S22" i="16" s="1"/>
  <c r="S23" i="16" s="1"/>
  <c r="S24" i="16" s="1"/>
  <c r="S25" i="16" s="1"/>
  <c r="S26" i="16" s="1"/>
  <c r="S27" i="16" s="1"/>
  <c r="H160" i="16" s="1"/>
  <c r="CM12" i="14"/>
  <c r="CM13" i="14" s="1"/>
  <c r="CM14" i="14" s="1"/>
  <c r="CM15" i="14" s="1"/>
  <c r="CM16" i="14" s="1"/>
  <c r="DK12" i="14"/>
  <c r="DK13" i="14" s="1"/>
  <c r="DK14" i="14" s="1"/>
  <c r="DK15" i="14" s="1"/>
  <c r="DK16" i="14" s="1"/>
  <c r="S12" i="13"/>
  <c r="S13" i="13" s="1"/>
  <c r="S14" i="13" s="1"/>
  <c r="S15" i="13" s="1"/>
  <c r="S16" i="13" s="1"/>
  <c r="S17" i="13" s="1"/>
  <c r="S18" i="13" s="1"/>
  <c r="S19" i="13" s="1"/>
  <c r="S20" i="13" s="1"/>
  <c r="S21" i="13" s="1"/>
  <c r="S22" i="13" s="1"/>
  <c r="S23" i="13" s="1"/>
  <c r="S24" i="13" s="1"/>
  <c r="S25" i="13" s="1"/>
  <c r="S26" i="13" s="1"/>
  <c r="S27" i="13" s="1"/>
  <c r="H160" i="13" s="1"/>
  <c r="DK12" i="16"/>
  <c r="DK13" i="16" s="1"/>
  <c r="DK14" i="16" s="1"/>
  <c r="DK15" i="16" s="1"/>
  <c r="DK16" i="16" s="1"/>
  <c r="DK17" i="16" s="1"/>
  <c r="DK18" i="16" s="1"/>
  <c r="DK19" i="16" s="1"/>
  <c r="DK20" i="16" s="1"/>
  <c r="DK21" i="16" s="1"/>
  <c r="DK22" i="16" s="1"/>
  <c r="DK23" i="16" s="1"/>
  <c r="DK24" i="16" s="1"/>
  <c r="DK25" i="16" s="1"/>
  <c r="DK26" i="16" s="1"/>
  <c r="DK27" i="16" s="1"/>
  <c r="L160" i="16" s="1"/>
  <c r="AQ12" i="14"/>
  <c r="AQ13" i="14" s="1"/>
  <c r="AQ14" i="14" s="1"/>
  <c r="AQ15" i="14" s="1"/>
  <c r="AQ16" i="14" s="1"/>
  <c r="DK12" i="15"/>
  <c r="DK13" i="15" s="1"/>
  <c r="DK14" i="15" s="1"/>
  <c r="DK15" i="15" s="1"/>
  <c r="DK16" i="15" s="1"/>
  <c r="DK17" i="15" s="1"/>
  <c r="DK18" i="15" s="1"/>
  <c r="DK19" i="15" s="1"/>
  <c r="DK20" i="15" s="1"/>
  <c r="DK21" i="15" s="1"/>
  <c r="DK22" i="15" s="1"/>
  <c r="DK23" i="15" s="1"/>
  <c r="DK24" i="15" s="1"/>
  <c r="DK25" i="15" s="1"/>
  <c r="DK26" i="15" s="1"/>
  <c r="DK27" i="15" s="1"/>
  <c r="L160" i="15" s="1"/>
  <c r="BO12" i="14"/>
  <c r="BO13" i="14" s="1"/>
  <c r="BO14" i="14" s="1"/>
  <c r="BO15" i="14" s="1"/>
  <c r="BO16" i="14" s="1"/>
  <c r="S12" i="14"/>
  <c r="AQ12" i="13"/>
  <c r="AQ13" i="13" s="1"/>
  <c r="AQ14" i="13" s="1"/>
  <c r="AQ15" i="13" s="1"/>
  <c r="AQ16" i="13" s="1"/>
  <c r="AQ17" i="13" s="1"/>
  <c r="AQ18" i="13" s="1"/>
  <c r="AQ19" i="13" s="1"/>
  <c r="AQ20" i="13" s="1"/>
  <c r="AQ21" i="13" s="1"/>
  <c r="AQ22" i="13" s="1"/>
  <c r="AQ23" i="13" s="1"/>
  <c r="AQ24" i="13" s="1"/>
  <c r="AQ25" i="13" s="1"/>
  <c r="AQ26" i="13" s="1"/>
  <c r="AQ27" i="13" s="1"/>
  <c r="I160" i="13" s="1"/>
  <c r="CM12" i="16"/>
  <c r="CM13" i="16" s="1"/>
  <c r="CM14" i="16" s="1"/>
  <c r="CM15" i="16" s="1"/>
  <c r="CM16" i="16" s="1"/>
  <c r="CM17" i="16" s="1"/>
  <c r="CM18" i="16" s="1"/>
  <c r="CM19" i="16" s="1"/>
  <c r="CM20" i="16" s="1"/>
  <c r="CM21" i="16" s="1"/>
  <c r="CM22" i="16" s="1"/>
  <c r="CM23" i="16" s="1"/>
  <c r="CM24" i="16" s="1"/>
  <c r="CM25" i="16" s="1"/>
  <c r="CM26" i="16" s="1"/>
  <c r="CM27" i="16" s="1"/>
  <c r="K160" i="16" s="1"/>
  <c r="S12" i="15"/>
  <c r="S13" i="15" s="1"/>
  <c r="S14" i="15" s="1"/>
  <c r="S15" i="15" s="1"/>
  <c r="S16" i="15" s="1"/>
  <c r="S17" i="15" s="1"/>
  <c r="S18" i="15" s="1"/>
  <c r="S19" i="15" s="1"/>
  <c r="S20" i="15" s="1"/>
  <c r="S21" i="15" s="1"/>
  <c r="S22" i="15" s="1"/>
  <c r="S23" i="15" s="1"/>
  <c r="S24" i="15" s="1"/>
  <c r="S25" i="15" s="1"/>
  <c r="S26" i="15" s="1"/>
  <c r="S27" i="15" s="1"/>
  <c r="H160" i="15" s="1"/>
  <c r="BO12" i="15"/>
  <c r="BO13" i="15" s="1"/>
  <c r="BO14" i="15" s="1"/>
  <c r="BO15" i="15" s="1"/>
  <c r="BO16" i="15" s="1"/>
  <c r="BO17" i="15" s="1"/>
  <c r="BO18" i="15" s="1"/>
  <c r="BO19" i="15" s="1"/>
  <c r="BO20" i="15" s="1"/>
  <c r="BO21" i="15" s="1"/>
  <c r="BO22" i="15" s="1"/>
  <c r="BO23" i="15" s="1"/>
  <c r="BO24" i="15" s="1"/>
  <c r="BO25" i="15" s="1"/>
  <c r="BO26" i="15" s="1"/>
  <c r="BO27" i="15" s="1"/>
  <c r="J160" i="15" s="1"/>
  <c r="AQ12" i="16"/>
  <c r="AQ13" i="16" s="1"/>
  <c r="AQ14" i="16" s="1"/>
  <c r="AQ15" i="16" s="1"/>
  <c r="AQ16" i="16" s="1"/>
  <c r="AQ17" i="16" s="1"/>
  <c r="AQ18" i="16" s="1"/>
  <c r="AQ19" i="16" s="1"/>
  <c r="AQ20" i="16" s="1"/>
  <c r="AQ21" i="16" s="1"/>
  <c r="AQ22" i="16" s="1"/>
  <c r="AQ23" i="16" s="1"/>
  <c r="AQ24" i="16" s="1"/>
  <c r="AQ25" i="16" s="1"/>
  <c r="AQ26" i="16" s="1"/>
  <c r="AQ27" i="16" s="1"/>
  <c r="I160" i="16" s="1"/>
  <c r="E18" i="14"/>
  <c r="E17" i="14"/>
  <c r="E20" i="14"/>
  <c r="E19" i="14"/>
  <c r="M11" i="7"/>
  <c r="DK88" i="14"/>
  <c r="S113" i="15"/>
  <c r="CM113" i="16"/>
  <c r="CM114" i="16" s="1"/>
  <c r="AQ88" i="14"/>
  <c r="S88" i="15"/>
  <c r="DK88" i="15"/>
  <c r="CM88" i="16"/>
  <c r="AQ113" i="15"/>
  <c r="S113" i="16"/>
  <c r="DK113" i="16"/>
  <c r="S113" i="13"/>
  <c r="AQ113" i="13"/>
  <c r="BO113" i="13"/>
  <c r="CM113" i="13"/>
  <c r="DK113" i="13"/>
  <c r="S113" i="14"/>
  <c r="AQ113" i="14"/>
  <c r="BO113" i="14"/>
  <c r="CM113" i="14"/>
  <c r="DK113" i="14"/>
  <c r="CM88" i="15"/>
  <c r="BO88" i="14"/>
  <c r="AQ88" i="15"/>
  <c r="S88" i="16"/>
  <c r="DK88" i="16"/>
  <c r="AQ88" i="13"/>
  <c r="DK88" i="13"/>
  <c r="BO113" i="15"/>
  <c r="AQ113" i="16"/>
  <c r="AQ114" i="16" s="1"/>
  <c r="AQ115" i="16" s="1"/>
  <c r="AQ116" i="16" s="1"/>
  <c r="S88" i="14"/>
  <c r="BO88" i="16"/>
  <c r="CM88" i="13"/>
  <c r="DK113" i="15"/>
  <c r="AC53" i="13"/>
  <c r="AC49" i="13"/>
  <c r="AC45" i="13"/>
  <c r="AC41" i="13"/>
  <c r="AC51" i="13"/>
  <c r="AC47" i="13"/>
  <c r="AC43" i="13"/>
  <c r="AC39" i="13"/>
  <c r="AC48" i="13"/>
  <c r="AC40" i="13"/>
  <c r="AC52" i="13"/>
  <c r="AC44" i="13"/>
  <c r="AC38" i="13"/>
  <c r="AC42" i="13"/>
  <c r="AC50" i="13"/>
  <c r="CM88" i="14"/>
  <c r="BO88" i="15"/>
  <c r="AQ88" i="16"/>
  <c r="S88" i="13"/>
  <c r="BO88" i="13"/>
  <c r="CM113" i="15"/>
  <c r="BO113" i="16"/>
  <c r="AC46" i="13"/>
  <c r="AE66" i="10"/>
  <c r="AE67" i="10" s="1"/>
  <c r="AE68" i="10" s="1"/>
  <c r="AE69" i="10" s="1"/>
  <c r="AE70" i="10" s="1"/>
  <c r="AE71" i="10" s="1"/>
  <c r="AE72" i="10" s="1"/>
  <c r="AE73" i="10" s="1"/>
  <c r="AE74" i="10" s="1"/>
  <c r="AE75" i="10" s="1"/>
  <c r="AE76" i="10" s="1"/>
  <c r="AE77" i="10" s="1"/>
  <c r="AE78" i="10" s="1"/>
  <c r="AE79" i="10" s="1"/>
  <c r="AE80" i="10" s="1"/>
  <c r="W11" i="8"/>
  <c r="AB42" i="16"/>
  <c r="AC42" i="16" s="1"/>
  <c r="AB50" i="16"/>
  <c r="AC50" i="16" s="1"/>
  <c r="CV38" i="15"/>
  <c r="CW38" i="15" s="1"/>
  <c r="BX38" i="15"/>
  <c r="BY38" i="15" s="1"/>
  <c r="AZ38" i="15"/>
  <c r="BA38" i="15" s="1"/>
  <c r="AB46" i="15"/>
  <c r="AC46" i="15" s="1"/>
  <c r="AB38" i="15"/>
  <c r="AC38" i="15" s="1"/>
  <c r="CV53" i="14"/>
  <c r="CW53" i="14" s="1"/>
  <c r="CV47" i="14"/>
  <c r="CW47" i="14" s="1"/>
  <c r="CV40" i="14"/>
  <c r="CW40" i="14" s="1"/>
  <c r="AZ44" i="14"/>
  <c r="BA44" i="14" s="1"/>
  <c r="BJ44" i="14" s="1"/>
  <c r="AZ52" i="14"/>
  <c r="BA52" i="14" s="1"/>
  <c r="BJ52" i="14" s="1"/>
  <c r="AB46" i="14"/>
  <c r="AC46" i="14" s="1"/>
  <c r="AL46" i="14" s="1"/>
  <c r="AB38" i="14"/>
  <c r="AC38" i="14" s="1"/>
  <c r="AL38" i="14" s="1"/>
  <c r="BX46" i="14"/>
  <c r="BY46" i="14" s="1"/>
  <c r="CW39" i="13"/>
  <c r="CW47" i="13"/>
  <c r="BY39" i="13"/>
  <c r="BY47" i="13"/>
  <c r="BA46" i="13"/>
  <c r="BA38" i="13"/>
  <c r="D47" i="16"/>
  <c r="E47" i="16" s="1"/>
  <c r="D49" i="15"/>
  <c r="E49" i="15" s="1"/>
  <c r="D51" i="14"/>
  <c r="E51" i="14" s="1"/>
  <c r="D47" i="14"/>
  <c r="E47" i="14" s="1"/>
  <c r="D43" i="14"/>
  <c r="E43" i="14" s="1"/>
  <c r="CV51" i="16"/>
  <c r="CW51" i="16" s="1"/>
  <c r="CV47" i="16"/>
  <c r="CW47" i="16" s="1"/>
  <c r="CV43" i="16"/>
  <c r="CW43" i="16" s="1"/>
  <c r="CV39" i="16"/>
  <c r="CW39" i="16" s="1"/>
  <c r="BX51" i="16"/>
  <c r="BY51" i="16" s="1"/>
  <c r="BX47" i="16"/>
  <c r="BY47" i="16" s="1"/>
  <c r="BX43" i="16"/>
  <c r="BY43" i="16" s="1"/>
  <c r="BX39" i="16"/>
  <c r="BY39" i="16" s="1"/>
  <c r="AZ51" i="16"/>
  <c r="BA51" i="16" s="1"/>
  <c r="AZ47" i="16"/>
  <c r="BA47" i="16" s="1"/>
  <c r="AZ43" i="16"/>
  <c r="BA43" i="16" s="1"/>
  <c r="AZ39" i="16"/>
  <c r="BA39" i="16" s="1"/>
  <c r="AB43" i="16"/>
  <c r="AC43" i="16" s="1"/>
  <c r="AB51" i="16"/>
  <c r="AC51" i="16" s="1"/>
  <c r="CV53" i="15"/>
  <c r="CW53" i="15" s="1"/>
  <c r="CV49" i="15"/>
  <c r="CW49" i="15" s="1"/>
  <c r="CV45" i="15"/>
  <c r="CW45" i="15" s="1"/>
  <c r="CV41" i="15"/>
  <c r="CW41" i="15" s="1"/>
  <c r="BX53" i="15"/>
  <c r="BY53" i="15" s="1"/>
  <c r="BX49" i="15"/>
  <c r="BY49" i="15" s="1"/>
  <c r="BX45" i="15"/>
  <c r="BY45" i="15" s="1"/>
  <c r="BX41" i="15"/>
  <c r="BY41" i="15" s="1"/>
  <c r="AZ53" i="15"/>
  <c r="BA53" i="15" s="1"/>
  <c r="AZ49" i="15"/>
  <c r="BA49" i="15" s="1"/>
  <c r="AZ45" i="15"/>
  <c r="BA45" i="15" s="1"/>
  <c r="AZ41" i="15"/>
  <c r="BA41" i="15" s="1"/>
  <c r="AB39" i="15"/>
  <c r="AC39" i="15" s="1"/>
  <c r="AB47" i="15"/>
  <c r="AC47" i="15" s="1"/>
  <c r="CV52" i="14"/>
  <c r="CW52" i="14" s="1"/>
  <c r="CV46" i="14"/>
  <c r="CW46" i="14" s="1"/>
  <c r="CV39" i="14"/>
  <c r="CW39" i="14" s="1"/>
  <c r="AZ45" i="14"/>
  <c r="BA45" i="14" s="1"/>
  <c r="BJ45" i="14" s="1"/>
  <c r="AZ38" i="14"/>
  <c r="BA38" i="14" s="1"/>
  <c r="BJ38" i="14" s="1"/>
  <c r="AB39" i="14"/>
  <c r="AC39" i="14" s="1"/>
  <c r="AL39" i="14" s="1"/>
  <c r="AB47" i="14"/>
  <c r="AC47" i="14" s="1"/>
  <c r="AL47" i="14" s="1"/>
  <c r="BX53" i="14"/>
  <c r="BY53" i="14" s="1"/>
  <c r="BX45" i="14"/>
  <c r="BY45" i="14" s="1"/>
  <c r="BX38" i="14"/>
  <c r="BY38" i="14" s="1"/>
  <c r="CW40" i="13"/>
  <c r="CW48" i="13"/>
  <c r="BY40" i="13"/>
  <c r="BY48" i="13"/>
  <c r="BA39" i="13"/>
  <c r="BA47" i="13"/>
  <c r="D52" i="16"/>
  <c r="E52" i="16" s="1"/>
  <c r="D44" i="16"/>
  <c r="E44" i="16" s="1"/>
  <c r="D39" i="16"/>
  <c r="E39" i="16" s="1"/>
  <c r="D46" i="15"/>
  <c r="E46" i="15" s="1"/>
  <c r="D41" i="15"/>
  <c r="E41" i="15" s="1"/>
  <c r="D39" i="15"/>
  <c r="E39" i="15" s="1"/>
  <c r="D39" i="14"/>
  <c r="E39" i="14" s="1"/>
  <c r="AB44" i="16"/>
  <c r="AC44" i="16" s="1"/>
  <c r="AB52" i="16"/>
  <c r="AC52" i="16" s="1"/>
  <c r="AB40" i="15"/>
  <c r="AC40" i="15" s="1"/>
  <c r="AB48" i="15"/>
  <c r="AC48" i="15" s="1"/>
  <c r="CV51" i="14"/>
  <c r="CW51" i="14" s="1"/>
  <c r="CV45" i="14"/>
  <c r="CW45" i="14" s="1"/>
  <c r="AZ53" i="14"/>
  <c r="BA53" i="14" s="1"/>
  <c r="BJ53" i="14" s="1"/>
  <c r="AZ46" i="14"/>
  <c r="BA46" i="14" s="1"/>
  <c r="BJ46" i="14" s="1"/>
  <c r="AB40" i="14"/>
  <c r="AC40" i="14" s="1"/>
  <c r="AL40" i="14" s="1"/>
  <c r="AB48" i="14"/>
  <c r="AC48" i="14" s="1"/>
  <c r="AL48" i="14" s="1"/>
  <c r="BX52" i="14"/>
  <c r="BY52" i="14" s="1"/>
  <c r="BX44" i="14"/>
  <c r="BY44" i="14" s="1"/>
  <c r="CW41" i="13"/>
  <c r="CW49" i="13"/>
  <c r="BY41" i="13"/>
  <c r="BY49" i="13"/>
  <c r="BA40" i="13"/>
  <c r="BA48" i="13"/>
  <c r="D49" i="16"/>
  <c r="E49" i="16" s="1"/>
  <c r="D41" i="16"/>
  <c r="E41" i="16" s="1"/>
  <c r="D51" i="15"/>
  <c r="E51" i="15" s="1"/>
  <c r="D50" i="14"/>
  <c r="E50" i="14" s="1"/>
  <c r="D46" i="14"/>
  <c r="E46" i="14" s="1"/>
  <c r="D42" i="14"/>
  <c r="E42" i="14" s="1"/>
  <c r="CV38" i="16"/>
  <c r="CW38" i="16" s="1"/>
  <c r="BX38" i="16"/>
  <c r="BY38" i="16" s="1"/>
  <c r="AZ38" i="16"/>
  <c r="BA38" i="16" s="1"/>
  <c r="AB46" i="16"/>
  <c r="AC46" i="16" s="1"/>
  <c r="AB38" i="16"/>
  <c r="AC38" i="16" s="1"/>
  <c r="AB42" i="15"/>
  <c r="AC42" i="15" s="1"/>
  <c r="AB50" i="15"/>
  <c r="AC50" i="15" s="1"/>
  <c r="CV50" i="14"/>
  <c r="CW50" i="14" s="1"/>
  <c r="CV43" i="14"/>
  <c r="CW43" i="14" s="1"/>
  <c r="AZ40" i="14"/>
  <c r="BA40" i="14" s="1"/>
  <c r="BJ40" i="14" s="1"/>
  <c r="AZ48" i="14"/>
  <c r="BA48" i="14" s="1"/>
  <c r="BJ48" i="14" s="1"/>
  <c r="AB42" i="14"/>
  <c r="AC42" i="14" s="1"/>
  <c r="AL42" i="14" s="1"/>
  <c r="AB50" i="14"/>
  <c r="AC50" i="14" s="1"/>
  <c r="AL50" i="14" s="1"/>
  <c r="BX50" i="14"/>
  <c r="BY50" i="14" s="1"/>
  <c r="BX42" i="14"/>
  <c r="BY42" i="14" s="1"/>
  <c r="CW43" i="13"/>
  <c r="CW51" i="13"/>
  <c r="BY43" i="13"/>
  <c r="BY51" i="13"/>
  <c r="BA42" i="13"/>
  <c r="BA50" i="13"/>
  <c r="D51" i="16"/>
  <c r="E51" i="16" s="1"/>
  <c r="D43" i="16"/>
  <c r="E43" i="16" s="1"/>
  <c r="D38" i="16"/>
  <c r="E38" i="16" s="1"/>
  <c r="D53" i="15"/>
  <c r="E53" i="15" s="1"/>
  <c r="D45" i="15"/>
  <c r="E45" i="15" s="1"/>
  <c r="D40" i="15"/>
  <c r="E40" i="15" s="1"/>
  <c r="D53" i="14"/>
  <c r="E53" i="14" s="1"/>
  <c r="D49" i="14"/>
  <c r="E49" i="14" s="1"/>
  <c r="D45" i="14"/>
  <c r="E45" i="14" s="1"/>
  <c r="D41" i="14"/>
  <c r="E41" i="14" s="1"/>
  <c r="CV42" i="16"/>
  <c r="CW42" i="16" s="1"/>
  <c r="BX53" i="16"/>
  <c r="BY53" i="16" s="1"/>
  <c r="BX44" i="16"/>
  <c r="BY44" i="16" s="1"/>
  <c r="AZ50" i="16"/>
  <c r="BA50" i="16" s="1"/>
  <c r="AZ41" i="16"/>
  <c r="BA41" i="16" s="1"/>
  <c r="AB41" i="16"/>
  <c r="AC41" i="16" s="1"/>
  <c r="CV50" i="15"/>
  <c r="CW50" i="15" s="1"/>
  <c r="BX47" i="15"/>
  <c r="BY47" i="15" s="1"/>
  <c r="AZ44" i="15"/>
  <c r="BA44" i="15" s="1"/>
  <c r="AB49" i="15"/>
  <c r="AC49" i="15" s="1"/>
  <c r="AZ49" i="14"/>
  <c r="BA49" i="14" s="1"/>
  <c r="BJ49" i="14" s="1"/>
  <c r="AB52" i="14"/>
  <c r="AC52" i="14" s="1"/>
  <c r="AL52" i="14" s="1"/>
  <c r="BX40" i="14"/>
  <c r="BY40" i="14" s="1"/>
  <c r="CW42" i="13"/>
  <c r="BY42" i="13"/>
  <c r="BA53" i="13"/>
  <c r="D42" i="16"/>
  <c r="E42" i="16" s="1"/>
  <c r="D40" i="14"/>
  <c r="E40" i="14" s="1"/>
  <c r="E50" i="13"/>
  <c r="E46" i="13"/>
  <c r="E42" i="13"/>
  <c r="CV39" i="15"/>
  <c r="CW39" i="15" s="1"/>
  <c r="AB43" i="14"/>
  <c r="AC43" i="14" s="1"/>
  <c r="AL43" i="14" s="1"/>
  <c r="BY46" i="13"/>
  <c r="BA44" i="13"/>
  <c r="CV46" i="16"/>
  <c r="CW46" i="16" s="1"/>
  <c r="BX48" i="16"/>
  <c r="BY48" i="16" s="1"/>
  <c r="AZ45" i="16"/>
  <c r="BA45" i="16" s="1"/>
  <c r="AB45" i="16"/>
  <c r="AC45" i="16" s="1"/>
  <c r="CV40" i="15"/>
  <c r="CW40" i="15" s="1"/>
  <c r="BX51" i="15"/>
  <c r="BY51" i="15" s="1"/>
  <c r="BX42" i="15"/>
  <c r="BY42" i="15" s="1"/>
  <c r="AZ48" i="15"/>
  <c r="BA48" i="15" s="1"/>
  <c r="AZ39" i="15"/>
  <c r="BA39" i="15" s="1"/>
  <c r="AB51" i="15"/>
  <c r="AC51" i="15" s="1"/>
  <c r="CV42" i="14"/>
  <c r="CW42" i="14" s="1"/>
  <c r="AZ50" i="14"/>
  <c r="BA50" i="14" s="1"/>
  <c r="BJ50" i="14" s="1"/>
  <c r="AB53" i="14"/>
  <c r="AC53" i="14" s="1"/>
  <c r="AL53" i="14" s="1"/>
  <c r="BX39" i="14"/>
  <c r="BY39" i="14" s="1"/>
  <c r="CW44" i="13"/>
  <c r="BY44" i="13"/>
  <c r="BA41" i="13"/>
  <c r="D48" i="16"/>
  <c r="E48" i="16" s="1"/>
  <c r="D45" i="16"/>
  <c r="E45" i="16" s="1"/>
  <c r="D52" i="15"/>
  <c r="E52" i="15" s="1"/>
  <c r="D43" i="15"/>
  <c r="E43" i="15" s="1"/>
  <c r="D52" i="14"/>
  <c r="E52" i="14" s="1"/>
  <c r="AZ53" i="16"/>
  <c r="BA53" i="16" s="1"/>
  <c r="AB48" i="16"/>
  <c r="AC48" i="16" s="1"/>
  <c r="BX50" i="15"/>
  <c r="BY50" i="15" s="1"/>
  <c r="BX49" i="14"/>
  <c r="BY49" i="14" s="1"/>
  <c r="CW46" i="13"/>
  <c r="D48" i="15"/>
  <c r="E48" i="15" s="1"/>
  <c r="CV50" i="16"/>
  <c r="CW50" i="16" s="1"/>
  <c r="CV41" i="16"/>
  <c r="CW41" i="16" s="1"/>
  <c r="BX52" i="16"/>
  <c r="BY52" i="16" s="1"/>
  <c r="AZ49" i="16"/>
  <c r="BA49" i="16" s="1"/>
  <c r="AZ40" i="16"/>
  <c r="BA40" i="16" s="1"/>
  <c r="AB47" i="16"/>
  <c r="AC47" i="16" s="1"/>
  <c r="CV44" i="15"/>
  <c r="CW44" i="15" s="1"/>
  <c r="BX46" i="15"/>
  <c r="BY46" i="15" s="1"/>
  <c r="AZ52" i="15"/>
  <c r="BA52" i="15" s="1"/>
  <c r="AZ43" i="15"/>
  <c r="BA43" i="15" s="1"/>
  <c r="AB52" i="15"/>
  <c r="AC52" i="15" s="1"/>
  <c r="CV41" i="14"/>
  <c r="CW41" i="14" s="1"/>
  <c r="AZ51" i="14"/>
  <c r="BA51" i="14" s="1"/>
  <c r="BJ51" i="14" s="1"/>
  <c r="AB41" i="14"/>
  <c r="AC41" i="14" s="1"/>
  <c r="AL41" i="14" s="1"/>
  <c r="BX51" i="14"/>
  <c r="BY51" i="14" s="1"/>
  <c r="CW45" i="13"/>
  <c r="BY45" i="13"/>
  <c r="BA43" i="13"/>
  <c r="E53" i="13"/>
  <c r="E49" i="13"/>
  <c r="E45" i="13"/>
  <c r="E41" i="13"/>
  <c r="E38" i="13"/>
  <c r="CV45" i="16"/>
  <c r="CW45" i="16" s="1"/>
  <c r="BX42" i="16"/>
  <c r="BY42" i="16" s="1"/>
  <c r="AZ44" i="16"/>
  <c r="BA44" i="16" s="1"/>
  <c r="CV48" i="15"/>
  <c r="CW48" i="15" s="1"/>
  <c r="AZ47" i="15"/>
  <c r="BA47" i="15" s="1"/>
  <c r="AB53" i="15"/>
  <c r="AC53" i="15" s="1"/>
  <c r="AZ39" i="14"/>
  <c r="BA39" i="14" s="1"/>
  <c r="BJ39" i="14" s="1"/>
  <c r="D44" i="14"/>
  <c r="E44" i="14" s="1"/>
  <c r="CV53" i="16"/>
  <c r="CW53" i="16" s="1"/>
  <c r="CV44" i="16"/>
  <c r="CW44" i="16" s="1"/>
  <c r="BX50" i="16"/>
  <c r="BY50" i="16" s="1"/>
  <c r="BX41" i="16"/>
  <c r="BY41" i="16" s="1"/>
  <c r="AZ52" i="16"/>
  <c r="BA52" i="16" s="1"/>
  <c r="AB53" i="16"/>
  <c r="AC53" i="16" s="1"/>
  <c r="CV47" i="15"/>
  <c r="CW47" i="15" s="1"/>
  <c r="BX44" i="15"/>
  <c r="BY44" i="15" s="1"/>
  <c r="AZ46" i="15"/>
  <c r="BA46" i="15" s="1"/>
  <c r="AB43" i="15"/>
  <c r="AC43" i="15" s="1"/>
  <c r="AZ42" i="14"/>
  <c r="BA42" i="14" s="1"/>
  <c r="BJ42" i="14" s="1"/>
  <c r="AB45" i="14"/>
  <c r="AC45" i="14" s="1"/>
  <c r="AL45" i="14" s="1"/>
  <c r="BX47" i="14"/>
  <c r="BY47" i="14" s="1"/>
  <c r="CW52" i="13"/>
  <c r="BY52" i="13"/>
  <c r="BA49" i="13"/>
  <c r="D53" i="16"/>
  <c r="E53" i="16" s="1"/>
  <c r="D40" i="16"/>
  <c r="E40" i="16" s="1"/>
  <c r="D44" i="15"/>
  <c r="E44" i="15" s="1"/>
  <c r="D38" i="14"/>
  <c r="E38" i="14" s="1"/>
  <c r="CV48" i="16"/>
  <c r="CW48" i="16" s="1"/>
  <c r="BX45" i="16"/>
  <c r="BY45" i="16" s="1"/>
  <c r="AZ42" i="16"/>
  <c r="BA42" i="16" s="1"/>
  <c r="AB39" i="16"/>
  <c r="AC39" i="16" s="1"/>
  <c r="CV51" i="15"/>
  <c r="CW51" i="15" s="1"/>
  <c r="CV42" i="15"/>
  <c r="CW42" i="15" s="1"/>
  <c r="BX48" i="15"/>
  <c r="BY48" i="15" s="1"/>
  <c r="BX39" i="15"/>
  <c r="BY39" i="15" s="1"/>
  <c r="AZ50" i="15"/>
  <c r="BA50" i="15" s="1"/>
  <c r="AB44" i="15"/>
  <c r="AC44" i="15" s="1"/>
  <c r="CV48" i="14"/>
  <c r="CW48" i="14" s="1"/>
  <c r="AZ43" i="14"/>
  <c r="BA43" i="14" s="1"/>
  <c r="BJ43" i="14" s="1"/>
  <c r="AB49" i="14"/>
  <c r="AC49" i="14" s="1"/>
  <c r="AL49" i="14" s="1"/>
  <c r="BX43" i="14"/>
  <c r="BY43" i="14" s="1"/>
  <c r="CW53" i="13"/>
  <c r="BY53" i="13"/>
  <c r="BA51" i="13"/>
  <c r="D46" i="16"/>
  <c r="E46" i="16" s="1"/>
  <c r="CV49" i="16"/>
  <c r="CW49" i="16" s="1"/>
  <c r="CV52" i="15"/>
  <c r="CW52" i="15" s="1"/>
  <c r="AB41" i="15"/>
  <c r="AC41" i="15" s="1"/>
  <c r="CV38" i="14"/>
  <c r="CW38" i="14" s="1"/>
  <c r="AZ47" i="14"/>
  <c r="BA47" i="14" s="1"/>
  <c r="BJ47" i="14" s="1"/>
  <c r="AB44" i="14"/>
  <c r="AC44" i="14" s="1"/>
  <c r="AL44" i="14" s="1"/>
  <c r="E48" i="13"/>
  <c r="E43" i="13"/>
  <c r="CV43" i="15"/>
  <c r="CW43" i="15" s="1"/>
  <c r="D47" i="15"/>
  <c r="E47" i="15" s="1"/>
  <c r="AZ48" i="16"/>
  <c r="BA48" i="16" s="1"/>
  <c r="BA45" i="13"/>
  <c r="D48" i="14"/>
  <c r="E48" i="14" s="1"/>
  <c r="E44" i="13"/>
  <c r="AZ41" i="14"/>
  <c r="BA41" i="14" s="1"/>
  <c r="BJ41" i="14" s="1"/>
  <c r="AZ46" i="16"/>
  <c r="BA46" i="16" s="1"/>
  <c r="BX40" i="15"/>
  <c r="BY40" i="15" s="1"/>
  <c r="AZ42" i="15"/>
  <c r="BA42" i="15" s="1"/>
  <c r="AB45" i="15"/>
  <c r="AC45" i="15" s="1"/>
  <c r="AB51" i="14"/>
  <c r="AC51" i="14" s="1"/>
  <c r="AL51" i="14" s="1"/>
  <c r="CW50" i="13"/>
  <c r="AB40" i="16"/>
  <c r="AC40" i="16" s="1"/>
  <c r="BX52" i="15"/>
  <c r="BY52" i="15" s="1"/>
  <c r="BX41" i="14"/>
  <c r="BY41" i="14" s="1"/>
  <c r="BY50" i="13"/>
  <c r="CV44" i="14"/>
  <c r="CW44" i="14" s="1"/>
  <c r="CV46" i="15"/>
  <c r="CW46" i="15" s="1"/>
  <c r="BA52" i="13"/>
  <c r="CV40" i="16"/>
  <c r="CW40" i="16" s="1"/>
  <c r="BX49" i="16"/>
  <c r="BY49" i="16" s="1"/>
  <c r="BX48" i="14"/>
  <c r="BY48" i="14" s="1"/>
  <c r="CW38" i="13"/>
  <c r="D38" i="15"/>
  <c r="E38" i="15" s="1"/>
  <c r="E52" i="13"/>
  <c r="E47" i="13"/>
  <c r="CV52" i="16"/>
  <c r="CW52" i="16" s="1"/>
  <c r="AB49" i="16"/>
  <c r="AC49" i="16" s="1"/>
  <c r="AZ40" i="15"/>
  <c r="BA40" i="15" s="1"/>
  <c r="BY38" i="13"/>
  <c r="D50" i="15"/>
  <c r="E50" i="15" s="1"/>
  <c r="E51" i="13"/>
  <c r="E40" i="13"/>
  <c r="BX40" i="16"/>
  <c r="BY40" i="16" s="1"/>
  <c r="BX43" i="15"/>
  <c r="BY43" i="15" s="1"/>
  <c r="CV49" i="14"/>
  <c r="CW49" i="14" s="1"/>
  <c r="D50" i="16"/>
  <c r="E50" i="16" s="1"/>
  <c r="BX46" i="16"/>
  <c r="BY46" i="16" s="1"/>
  <c r="AZ51" i="15"/>
  <c r="BA51" i="15" s="1"/>
  <c r="D42" i="15"/>
  <c r="E42" i="15" s="1"/>
  <c r="E39" i="13"/>
  <c r="E94" i="10"/>
  <c r="F94" i="10" s="1"/>
  <c r="Z94" i="10" s="1"/>
  <c r="E102" i="10"/>
  <c r="F102" i="10" s="1"/>
  <c r="Z102" i="10" s="1"/>
  <c r="E105" i="10"/>
  <c r="F105" i="10" s="1"/>
  <c r="Z105" i="10" s="1"/>
  <c r="E106" i="10"/>
  <c r="F106" i="10" s="1"/>
  <c r="Z106" i="10" s="1"/>
  <c r="E95" i="10"/>
  <c r="F95" i="10" s="1"/>
  <c r="Z95" i="10" s="1"/>
  <c r="E103" i="10"/>
  <c r="F103" i="10" s="1"/>
  <c r="Z103" i="10" s="1"/>
  <c r="E97" i="10"/>
  <c r="F97" i="10" s="1"/>
  <c r="Z97" i="10" s="1"/>
  <c r="E101" i="10"/>
  <c r="F101" i="10" s="1"/>
  <c r="Z101" i="10" s="1"/>
  <c r="E96" i="10"/>
  <c r="F96" i="10" s="1"/>
  <c r="Z96" i="10" s="1"/>
  <c r="E104" i="10"/>
  <c r="F104" i="10" s="1"/>
  <c r="Z104" i="10" s="1"/>
  <c r="E98" i="10"/>
  <c r="F98" i="10" s="1"/>
  <c r="Z98" i="10" s="1"/>
  <c r="E99" i="10"/>
  <c r="F99" i="10" s="1"/>
  <c r="Z99" i="10" s="1"/>
  <c r="E91" i="10"/>
  <c r="F91" i="10" s="1"/>
  <c r="Z91" i="10" s="1"/>
  <c r="E92" i="10"/>
  <c r="F92" i="10" s="1"/>
  <c r="Z92" i="10" s="1"/>
  <c r="E100" i="10"/>
  <c r="F100" i="10" s="1"/>
  <c r="Z100" i="10" s="1"/>
  <c r="E93" i="10"/>
  <c r="F93" i="10" s="1"/>
  <c r="Z93" i="10" s="1"/>
  <c r="AD20" i="2"/>
  <c r="W20" i="2"/>
  <c r="P20" i="2"/>
  <c r="I20" i="2"/>
  <c r="D63" i="22" l="1"/>
  <c r="CM89" i="13"/>
  <c r="D72" i="22"/>
  <c r="D62" i="22"/>
  <c r="D69" i="22"/>
  <c r="D71" i="22"/>
  <c r="D65" i="22"/>
  <c r="D66" i="22"/>
  <c r="D68" i="22"/>
  <c r="DK38" i="15"/>
  <c r="DK39" i="15" s="1"/>
  <c r="DK40" i="15" s="1"/>
  <c r="DK41" i="15" s="1"/>
  <c r="DK42" i="15" s="1"/>
  <c r="DK43" i="15" s="1"/>
  <c r="DK44" i="15" s="1"/>
  <c r="DK45" i="15" s="1"/>
  <c r="DK46" i="15" s="1"/>
  <c r="DK47" i="15" s="1"/>
  <c r="DK48" i="15" s="1"/>
  <c r="DK49" i="15" s="1"/>
  <c r="DK50" i="15" s="1"/>
  <c r="DK51" i="15" s="1"/>
  <c r="DK52" i="15" s="1"/>
  <c r="DK53" i="15" s="1"/>
  <c r="Q160" i="15" s="1"/>
  <c r="DK38" i="13"/>
  <c r="DK39" i="13" s="1"/>
  <c r="DK40" i="13" s="1"/>
  <c r="DK41" i="13" s="1"/>
  <c r="DK42" i="13" s="1"/>
  <c r="DK43" i="13" s="1"/>
  <c r="DK44" i="13" s="1"/>
  <c r="DK45" i="13" s="1"/>
  <c r="DK46" i="13" s="1"/>
  <c r="DK47" i="13" s="1"/>
  <c r="DK48" i="13" s="1"/>
  <c r="DK49" i="13" s="1"/>
  <c r="DK50" i="13" s="1"/>
  <c r="DK51" i="13" s="1"/>
  <c r="DK52" i="13" s="1"/>
  <c r="DK53" i="13" s="1"/>
  <c r="Q160" i="13" s="1"/>
  <c r="DK38" i="14"/>
  <c r="DK39" i="14" s="1"/>
  <c r="DK40" i="14" s="1"/>
  <c r="DK41" i="14" s="1"/>
  <c r="DK42" i="14" s="1"/>
  <c r="DK43" i="14" s="1"/>
  <c r="DK44" i="14" s="1"/>
  <c r="DK45" i="14" s="1"/>
  <c r="DK46" i="14" s="1"/>
  <c r="DK47" i="14" s="1"/>
  <c r="DK48" i="14" s="1"/>
  <c r="DK49" i="14" s="1"/>
  <c r="DK50" i="14" s="1"/>
  <c r="DK51" i="14" s="1"/>
  <c r="DK52" i="14" s="1"/>
  <c r="DK53" i="14" s="1"/>
  <c r="Q160" i="14" s="1"/>
  <c r="AQ38" i="16"/>
  <c r="AQ39" i="16" s="1"/>
  <c r="AQ40" i="16" s="1"/>
  <c r="AQ41" i="16" s="1"/>
  <c r="AQ42" i="16" s="1"/>
  <c r="AQ43" i="16" s="1"/>
  <c r="AQ44" i="16" s="1"/>
  <c r="AQ45" i="16" s="1"/>
  <c r="AQ46" i="16" s="1"/>
  <c r="AQ47" i="16" s="1"/>
  <c r="AQ48" i="16" s="1"/>
  <c r="AQ49" i="16" s="1"/>
  <c r="AQ50" i="16" s="1"/>
  <c r="AQ51" i="16" s="1"/>
  <c r="AQ52" i="16" s="1"/>
  <c r="AQ53" i="16" s="1"/>
  <c r="N160" i="16" s="1"/>
  <c r="DK38" i="16"/>
  <c r="DK39" i="16" s="1"/>
  <c r="DK40" i="16" s="1"/>
  <c r="DK41" i="16" s="1"/>
  <c r="DK42" i="16" s="1"/>
  <c r="DK43" i="16" s="1"/>
  <c r="DK44" i="16" s="1"/>
  <c r="DK45" i="16" s="1"/>
  <c r="DK46" i="16" s="1"/>
  <c r="DK47" i="16" s="1"/>
  <c r="DK48" i="16" s="1"/>
  <c r="DK49" i="16" s="1"/>
  <c r="DK50" i="16" s="1"/>
  <c r="DK51" i="16" s="1"/>
  <c r="DK52" i="16" s="1"/>
  <c r="DK53" i="16" s="1"/>
  <c r="Q160" i="16" s="1"/>
  <c r="AQ38" i="14"/>
  <c r="AQ39" i="14" s="1"/>
  <c r="AQ40" i="14" s="1"/>
  <c r="AQ41" i="14" s="1"/>
  <c r="AQ42" i="14" s="1"/>
  <c r="AQ43" i="14" s="1"/>
  <c r="AQ44" i="14" s="1"/>
  <c r="AQ45" i="14" s="1"/>
  <c r="AQ46" i="14" s="1"/>
  <c r="AQ47" i="14" s="1"/>
  <c r="AQ48" i="14" s="1"/>
  <c r="AQ49" i="14" s="1"/>
  <c r="AQ50" i="14" s="1"/>
  <c r="AQ51" i="14" s="1"/>
  <c r="AQ52" i="14" s="1"/>
  <c r="AQ53" i="14" s="1"/>
  <c r="N160" i="14" s="1"/>
  <c r="S38" i="15"/>
  <c r="S39" i="15" s="1"/>
  <c r="S40" i="15" s="1"/>
  <c r="S41" i="15" s="1"/>
  <c r="S42" i="15" s="1"/>
  <c r="S43" i="15" s="1"/>
  <c r="S44" i="15" s="1"/>
  <c r="S45" i="15" s="1"/>
  <c r="S46" i="15" s="1"/>
  <c r="S47" i="15" s="1"/>
  <c r="S48" i="15" s="1"/>
  <c r="S49" i="15" s="1"/>
  <c r="S50" i="15" s="1"/>
  <c r="S51" i="15" s="1"/>
  <c r="S52" i="15" s="1"/>
  <c r="S53" i="15" s="1"/>
  <c r="M160" i="15" s="1"/>
  <c r="CM38" i="13"/>
  <c r="CM39" i="13" s="1"/>
  <c r="CM40" i="13" s="1"/>
  <c r="CM41" i="13" s="1"/>
  <c r="CM42" i="13" s="1"/>
  <c r="CM43" i="13" s="1"/>
  <c r="CM44" i="13" s="1"/>
  <c r="CM45" i="13" s="1"/>
  <c r="CM46" i="13" s="1"/>
  <c r="CM47" i="13" s="1"/>
  <c r="CM48" i="13" s="1"/>
  <c r="CM49" i="13" s="1"/>
  <c r="CM50" i="13" s="1"/>
  <c r="CM51" i="13" s="1"/>
  <c r="CM52" i="13" s="1"/>
  <c r="CM53" i="13" s="1"/>
  <c r="P160" i="13" s="1"/>
  <c r="S38" i="16"/>
  <c r="S39" i="16" s="1"/>
  <c r="S40" i="16" s="1"/>
  <c r="S41" i="16" s="1"/>
  <c r="S42" i="16" s="1"/>
  <c r="S43" i="16" s="1"/>
  <c r="S44" i="16" s="1"/>
  <c r="S45" i="16" s="1"/>
  <c r="S46" i="16" s="1"/>
  <c r="S47" i="16" s="1"/>
  <c r="S48" i="16" s="1"/>
  <c r="S49" i="16" s="1"/>
  <c r="S50" i="16" s="1"/>
  <c r="S51" i="16" s="1"/>
  <c r="S52" i="16" s="1"/>
  <c r="S53" i="16" s="1"/>
  <c r="M160" i="16" s="1"/>
  <c r="BO38" i="13"/>
  <c r="BO39" i="13" s="1"/>
  <c r="BO40" i="13" s="1"/>
  <c r="BO41" i="13" s="1"/>
  <c r="BO42" i="13" s="1"/>
  <c r="BO43" i="13" s="1"/>
  <c r="BO44" i="13" s="1"/>
  <c r="BO45" i="13" s="1"/>
  <c r="BO46" i="13" s="1"/>
  <c r="BO47" i="13" s="1"/>
  <c r="BO48" i="13" s="1"/>
  <c r="BO49" i="13" s="1"/>
  <c r="BO50" i="13" s="1"/>
  <c r="BO51" i="13" s="1"/>
  <c r="BO52" i="13" s="1"/>
  <c r="BO53" i="13" s="1"/>
  <c r="O160" i="13" s="1"/>
  <c r="BO38" i="15"/>
  <c r="BO39" i="15" s="1"/>
  <c r="BO40" i="15" s="1"/>
  <c r="BO41" i="15" s="1"/>
  <c r="BO42" i="15" s="1"/>
  <c r="BO43" i="15" s="1"/>
  <c r="BO44" i="15" s="1"/>
  <c r="BO45" i="15" s="1"/>
  <c r="BO46" i="15" s="1"/>
  <c r="BO47" i="15" s="1"/>
  <c r="BO48" i="15" s="1"/>
  <c r="BO49" i="15" s="1"/>
  <c r="BO50" i="15" s="1"/>
  <c r="BO51" i="15" s="1"/>
  <c r="BO52" i="15" s="1"/>
  <c r="BO53" i="15" s="1"/>
  <c r="O160" i="15" s="1"/>
  <c r="S13" i="14"/>
  <c r="S14" i="14" s="1"/>
  <c r="S15" i="14" s="1"/>
  <c r="S16" i="14" s="1"/>
  <c r="CM38" i="16"/>
  <c r="CM39" i="16" s="1"/>
  <c r="CM40" i="16" s="1"/>
  <c r="CM41" i="16" s="1"/>
  <c r="CM42" i="16" s="1"/>
  <c r="CM43" i="16" s="1"/>
  <c r="CM44" i="16" s="1"/>
  <c r="CM45" i="16" s="1"/>
  <c r="CM46" i="16" s="1"/>
  <c r="CM47" i="16" s="1"/>
  <c r="CM48" i="16" s="1"/>
  <c r="CM49" i="16" s="1"/>
  <c r="CM50" i="16" s="1"/>
  <c r="CM51" i="16" s="1"/>
  <c r="CM52" i="16" s="1"/>
  <c r="CM53" i="16" s="1"/>
  <c r="P160" i="16" s="1"/>
  <c r="BO38" i="14"/>
  <c r="BO39" i="14" s="1"/>
  <c r="BO40" i="14" s="1"/>
  <c r="BO41" i="14" s="1"/>
  <c r="BO42" i="14" s="1"/>
  <c r="BO43" i="14" s="1"/>
  <c r="BO44" i="14" s="1"/>
  <c r="BO45" i="14" s="1"/>
  <c r="BO46" i="14" s="1"/>
  <c r="BO47" i="14" s="1"/>
  <c r="BO48" i="14" s="1"/>
  <c r="BO49" i="14" s="1"/>
  <c r="BO50" i="14" s="1"/>
  <c r="BO51" i="14" s="1"/>
  <c r="BO52" i="14" s="1"/>
  <c r="BO53" i="14" s="1"/>
  <c r="O160" i="14" s="1"/>
  <c r="AQ38" i="15"/>
  <c r="AQ39" i="15" s="1"/>
  <c r="AQ40" i="15" s="1"/>
  <c r="AQ41" i="15" s="1"/>
  <c r="AQ42" i="15" s="1"/>
  <c r="AQ43" i="15" s="1"/>
  <c r="AQ44" i="15" s="1"/>
  <c r="AQ45" i="15" s="1"/>
  <c r="AQ46" i="15" s="1"/>
  <c r="AQ47" i="15" s="1"/>
  <c r="AQ48" i="15" s="1"/>
  <c r="AQ49" i="15" s="1"/>
  <c r="AQ50" i="15" s="1"/>
  <c r="AQ51" i="15" s="1"/>
  <c r="AQ52" i="15" s="1"/>
  <c r="AQ53" i="15" s="1"/>
  <c r="N160" i="15" s="1"/>
  <c r="S38" i="14"/>
  <c r="S39" i="14" s="1"/>
  <c r="S40" i="14" s="1"/>
  <c r="S41" i="14" s="1"/>
  <c r="S42" i="14" s="1"/>
  <c r="S43" i="14" s="1"/>
  <c r="S44" i="14" s="1"/>
  <c r="S45" i="14" s="1"/>
  <c r="S46" i="14" s="1"/>
  <c r="S47" i="14" s="1"/>
  <c r="S48" i="14" s="1"/>
  <c r="S49" i="14" s="1"/>
  <c r="S50" i="14" s="1"/>
  <c r="S51" i="14" s="1"/>
  <c r="S52" i="14" s="1"/>
  <c r="S53" i="14" s="1"/>
  <c r="M160" i="14" s="1"/>
  <c r="S38" i="13"/>
  <c r="S39" i="13" s="1"/>
  <c r="S40" i="13" s="1"/>
  <c r="S41" i="13" s="1"/>
  <c r="S42" i="13" s="1"/>
  <c r="S43" i="13" s="1"/>
  <c r="S44" i="13" s="1"/>
  <c r="S45" i="13" s="1"/>
  <c r="S46" i="13" s="1"/>
  <c r="S47" i="13" s="1"/>
  <c r="S48" i="13" s="1"/>
  <c r="S49" i="13" s="1"/>
  <c r="S50" i="13" s="1"/>
  <c r="S51" i="13" s="1"/>
  <c r="S52" i="13" s="1"/>
  <c r="S53" i="13" s="1"/>
  <c r="M160" i="13" s="1"/>
  <c r="BO38" i="16"/>
  <c r="BO39" i="16" s="1"/>
  <c r="BO40" i="16" s="1"/>
  <c r="BO41" i="16" s="1"/>
  <c r="BO42" i="16" s="1"/>
  <c r="BO43" i="16" s="1"/>
  <c r="BO44" i="16" s="1"/>
  <c r="BO45" i="16" s="1"/>
  <c r="BO46" i="16" s="1"/>
  <c r="BO47" i="16" s="1"/>
  <c r="BO48" i="16" s="1"/>
  <c r="BO49" i="16" s="1"/>
  <c r="BO50" i="16" s="1"/>
  <c r="BO51" i="16" s="1"/>
  <c r="BO52" i="16" s="1"/>
  <c r="BO53" i="16" s="1"/>
  <c r="O160" i="16" s="1"/>
  <c r="CM38" i="14"/>
  <c r="CM39" i="14" s="1"/>
  <c r="CM40" i="14" s="1"/>
  <c r="CM41" i="14" s="1"/>
  <c r="CM42" i="14" s="1"/>
  <c r="CM43" i="14" s="1"/>
  <c r="CM44" i="14" s="1"/>
  <c r="CM45" i="14" s="1"/>
  <c r="CM46" i="14" s="1"/>
  <c r="CM47" i="14" s="1"/>
  <c r="CM48" i="14" s="1"/>
  <c r="CM49" i="14" s="1"/>
  <c r="CM50" i="14" s="1"/>
  <c r="CM51" i="14" s="1"/>
  <c r="CM52" i="14" s="1"/>
  <c r="CM53" i="14" s="1"/>
  <c r="P160" i="14" s="1"/>
  <c r="CM38" i="15"/>
  <c r="CM39" i="15" s="1"/>
  <c r="CM40" i="15" s="1"/>
  <c r="CM41" i="15" s="1"/>
  <c r="CM42" i="15" s="1"/>
  <c r="CM43" i="15" s="1"/>
  <c r="CM44" i="15" s="1"/>
  <c r="CM45" i="15" s="1"/>
  <c r="CM46" i="15" s="1"/>
  <c r="CM47" i="15" s="1"/>
  <c r="CM48" i="15" s="1"/>
  <c r="CM49" i="15" s="1"/>
  <c r="CM50" i="15" s="1"/>
  <c r="CM51" i="15" s="1"/>
  <c r="CM52" i="15" s="1"/>
  <c r="CM53" i="15" s="1"/>
  <c r="P160" i="15" s="1"/>
  <c r="AQ38" i="13"/>
  <c r="AQ39" i="13" s="1"/>
  <c r="AQ40" i="13" s="1"/>
  <c r="AQ41" i="13" s="1"/>
  <c r="AQ42" i="13" s="1"/>
  <c r="AQ43" i="13" s="1"/>
  <c r="AQ44" i="13" s="1"/>
  <c r="AQ45" i="13" s="1"/>
  <c r="AQ46" i="13" s="1"/>
  <c r="AQ47" i="13" s="1"/>
  <c r="AQ48" i="13" s="1"/>
  <c r="AQ49" i="13" s="1"/>
  <c r="AQ50" i="13" s="1"/>
  <c r="AQ51" i="13" s="1"/>
  <c r="AQ52" i="13" s="1"/>
  <c r="AQ53" i="13" s="1"/>
  <c r="N160" i="13" s="1"/>
  <c r="CU17" i="14"/>
  <c r="CW17" i="14" s="1"/>
  <c r="AY17" i="14"/>
  <c r="BA17" i="14" s="1"/>
  <c r="BO17" i="14" s="1"/>
  <c r="BW17" i="14"/>
  <c r="BY17" i="14" s="1"/>
  <c r="AA17" i="14"/>
  <c r="AC17" i="14" s="1"/>
  <c r="CU18" i="14"/>
  <c r="CW18" i="14" s="1"/>
  <c r="BW18" i="14"/>
  <c r="BY18" i="14" s="1"/>
  <c r="CH18" i="14" s="1"/>
  <c r="AY18" i="14"/>
  <c r="BA18" i="14" s="1"/>
  <c r="AA18" i="14"/>
  <c r="AC18" i="14" s="1"/>
  <c r="AL18" i="14" s="1"/>
  <c r="DK17" i="14"/>
  <c r="DK18" i="14" s="1"/>
  <c r="CU20" i="14"/>
  <c r="CW20" i="14" s="1"/>
  <c r="BW20" i="14"/>
  <c r="BY20" i="14" s="1"/>
  <c r="CH20" i="14" s="1"/>
  <c r="AY20" i="14"/>
  <c r="BA20" i="14" s="1"/>
  <c r="AA20" i="14"/>
  <c r="AC20" i="14" s="1"/>
  <c r="AL20" i="14" s="1"/>
  <c r="CU19" i="14"/>
  <c r="CW19" i="14" s="1"/>
  <c r="BW19" i="14"/>
  <c r="BY19" i="14" s="1"/>
  <c r="CH19" i="14" s="1"/>
  <c r="AY19" i="14"/>
  <c r="BA19" i="14" s="1"/>
  <c r="AA19" i="14"/>
  <c r="AC19" i="14" s="1"/>
  <c r="AL19" i="14" s="1"/>
  <c r="AQ114" i="15"/>
  <c r="AQ115" i="15" s="1"/>
  <c r="AQ116" i="15" s="1"/>
  <c r="AQ117" i="15" s="1"/>
  <c r="AQ118" i="15" s="1"/>
  <c r="AQ119" i="15" s="1"/>
  <c r="AQ120" i="15" s="1"/>
  <c r="AQ121" i="15" s="1"/>
  <c r="AQ122" i="15" s="1"/>
  <c r="AQ123" i="15" s="1"/>
  <c r="AQ124" i="15" s="1"/>
  <c r="AQ125" i="15" s="1"/>
  <c r="AQ126" i="15" s="1"/>
  <c r="AQ127" i="15" s="1"/>
  <c r="AQ128" i="15" s="1"/>
  <c r="AC160" i="15" s="1"/>
  <c r="S89" i="13"/>
  <c r="S90" i="13" s="1"/>
  <c r="BO89" i="13"/>
  <c r="BO90" i="13" s="1"/>
  <c r="BO89" i="16"/>
  <c r="BO90" i="16" s="1"/>
  <c r="BO89" i="14"/>
  <c r="BO90" i="14" s="1"/>
  <c r="CM89" i="14"/>
  <c r="CM90" i="14" s="1"/>
  <c r="S114" i="15"/>
  <c r="S115" i="15" s="1"/>
  <c r="S116" i="15" s="1"/>
  <c r="S117" i="15" s="1"/>
  <c r="S118" i="15" s="1"/>
  <c r="S119" i="15" s="1"/>
  <c r="S120" i="15" s="1"/>
  <c r="S121" i="15" s="1"/>
  <c r="S122" i="15" s="1"/>
  <c r="S123" i="15" s="1"/>
  <c r="S124" i="15" s="1"/>
  <c r="S125" i="15" s="1"/>
  <c r="S126" i="15" s="1"/>
  <c r="S127" i="15" s="1"/>
  <c r="S128" i="15" s="1"/>
  <c r="AB160" i="15" s="1"/>
  <c r="BO114" i="13"/>
  <c r="BO115" i="13" s="1"/>
  <c r="BO116" i="13" s="1"/>
  <c r="BO117" i="13" s="1"/>
  <c r="BO118" i="13" s="1"/>
  <c r="BO119" i="13" s="1"/>
  <c r="BO120" i="13" s="1"/>
  <c r="BO121" i="13" s="1"/>
  <c r="BO122" i="13" s="1"/>
  <c r="BO123" i="13" s="1"/>
  <c r="BO124" i="13" s="1"/>
  <c r="BO125" i="13" s="1"/>
  <c r="BO126" i="13" s="1"/>
  <c r="BO127" i="13" s="1"/>
  <c r="BO128" i="13" s="1"/>
  <c r="AD160" i="13" s="1"/>
  <c r="CM114" i="15"/>
  <c r="CM115" i="15" s="1"/>
  <c r="CM116" i="15" s="1"/>
  <c r="CM117" i="15" s="1"/>
  <c r="CM118" i="15" s="1"/>
  <c r="CM119" i="15" s="1"/>
  <c r="CM120" i="15" s="1"/>
  <c r="CM121" i="15" s="1"/>
  <c r="CM122" i="15" s="1"/>
  <c r="CM123" i="15" s="1"/>
  <c r="CM124" i="15" s="1"/>
  <c r="CM125" i="15" s="1"/>
  <c r="CM126" i="15" s="1"/>
  <c r="CM127" i="15" s="1"/>
  <c r="CM128" i="15" s="1"/>
  <c r="AE160" i="15" s="1"/>
  <c r="AQ89" i="16"/>
  <c r="AQ90" i="16" s="1"/>
  <c r="S114" i="14"/>
  <c r="S115" i="14" s="1"/>
  <c r="S116" i="14" s="1"/>
  <c r="S117" i="14" s="1"/>
  <c r="S118" i="14" s="1"/>
  <c r="S119" i="14" s="1"/>
  <c r="S120" i="14" s="1"/>
  <c r="S121" i="14" s="1"/>
  <c r="S122" i="14" s="1"/>
  <c r="S123" i="14" s="1"/>
  <c r="S124" i="14" s="1"/>
  <c r="S125" i="14" s="1"/>
  <c r="S126" i="14" s="1"/>
  <c r="S127" i="14" s="1"/>
  <c r="S128" i="14" s="1"/>
  <c r="AB160" i="14" s="1"/>
  <c r="S89" i="14"/>
  <c r="S90" i="14" s="1"/>
  <c r="DK89" i="16"/>
  <c r="DK90" i="16" s="1"/>
  <c r="CM89" i="16"/>
  <c r="CM90" i="16" s="1"/>
  <c r="CM114" i="14"/>
  <c r="CM115" i="14" s="1"/>
  <c r="CM116" i="14" s="1"/>
  <c r="CM117" i="14" s="1"/>
  <c r="CM118" i="14" s="1"/>
  <c r="CM119" i="14" s="1"/>
  <c r="CM120" i="14" s="1"/>
  <c r="CM121" i="14" s="1"/>
  <c r="CM122" i="14" s="1"/>
  <c r="CM123" i="14" s="1"/>
  <c r="CM124" i="14" s="1"/>
  <c r="CM125" i="14" s="1"/>
  <c r="CM126" i="14" s="1"/>
  <c r="CM127" i="14" s="1"/>
  <c r="CM128" i="14" s="1"/>
  <c r="AE160" i="14" s="1"/>
  <c r="AQ114" i="14"/>
  <c r="AQ115" i="14" s="1"/>
  <c r="AQ116" i="14" s="1"/>
  <c r="AQ117" i="14" s="1"/>
  <c r="AQ118" i="14" s="1"/>
  <c r="AQ119" i="14" s="1"/>
  <c r="AQ120" i="14" s="1"/>
  <c r="AQ121" i="14" s="1"/>
  <c r="AQ122" i="14" s="1"/>
  <c r="AQ123" i="14" s="1"/>
  <c r="AQ124" i="14" s="1"/>
  <c r="AQ125" i="14" s="1"/>
  <c r="AQ126" i="14" s="1"/>
  <c r="AQ127" i="14" s="1"/>
  <c r="AQ128" i="14" s="1"/>
  <c r="AC160" i="14" s="1"/>
  <c r="DK114" i="13"/>
  <c r="DK115" i="13" s="1"/>
  <c r="DK116" i="13" s="1"/>
  <c r="DK117" i="13" s="1"/>
  <c r="DK118" i="13" s="1"/>
  <c r="DK119" i="13" s="1"/>
  <c r="DK120" i="13" s="1"/>
  <c r="DK121" i="13" s="1"/>
  <c r="DK122" i="13" s="1"/>
  <c r="DK123" i="13" s="1"/>
  <c r="DK124" i="13" s="1"/>
  <c r="DK125" i="13" s="1"/>
  <c r="DK126" i="13" s="1"/>
  <c r="DK127" i="13" s="1"/>
  <c r="DK128" i="13" s="1"/>
  <c r="AF160" i="13" s="1"/>
  <c r="CM114" i="13"/>
  <c r="CM115" i="13" s="1"/>
  <c r="CM116" i="13" s="1"/>
  <c r="CM117" i="13" s="1"/>
  <c r="CM118" i="13" s="1"/>
  <c r="CM119" i="13" s="1"/>
  <c r="CM120" i="13" s="1"/>
  <c r="CM121" i="13" s="1"/>
  <c r="CM122" i="13" s="1"/>
  <c r="CM123" i="13" s="1"/>
  <c r="CM124" i="13" s="1"/>
  <c r="CM125" i="13" s="1"/>
  <c r="CM126" i="13" s="1"/>
  <c r="CM127" i="13" s="1"/>
  <c r="CM128" i="13" s="1"/>
  <c r="AE160" i="13" s="1"/>
  <c r="S89" i="16"/>
  <c r="S90" i="16" s="1"/>
  <c r="CM89" i="15"/>
  <c r="CM90" i="15" s="1"/>
  <c r="S114" i="16"/>
  <c r="S115" i="16" s="1"/>
  <c r="S116" i="16" s="1"/>
  <c r="S117" i="16" s="1"/>
  <c r="S118" i="16" s="1"/>
  <c r="S119" i="16" s="1"/>
  <c r="S120" i="16" s="1"/>
  <c r="S121" i="16" s="1"/>
  <c r="S122" i="16" s="1"/>
  <c r="S123" i="16" s="1"/>
  <c r="S124" i="16" s="1"/>
  <c r="S125" i="16" s="1"/>
  <c r="S126" i="16" s="1"/>
  <c r="S127" i="16" s="1"/>
  <c r="S128" i="16" s="1"/>
  <c r="AB160" i="16" s="1"/>
  <c r="AQ89" i="14"/>
  <c r="AQ90" i="14" s="1"/>
  <c r="DK89" i="14"/>
  <c r="DK90" i="14" s="1"/>
  <c r="AQ117" i="16"/>
  <c r="AQ118" i="16" s="1"/>
  <c r="AQ119" i="16" s="1"/>
  <c r="AQ120" i="16" s="1"/>
  <c r="AQ121" i="16" s="1"/>
  <c r="AQ122" i="16" s="1"/>
  <c r="AQ123" i="16" s="1"/>
  <c r="AQ124" i="16" s="1"/>
  <c r="AQ125" i="16" s="1"/>
  <c r="AQ126" i="16" s="1"/>
  <c r="AQ127" i="16" s="1"/>
  <c r="AQ128" i="16" s="1"/>
  <c r="AC160" i="16" s="1"/>
  <c r="AQ114" i="13"/>
  <c r="AQ115" i="13" s="1"/>
  <c r="AQ116" i="13" s="1"/>
  <c r="AQ117" i="13" s="1"/>
  <c r="AQ118" i="13" s="1"/>
  <c r="AQ119" i="13" s="1"/>
  <c r="AQ120" i="13" s="1"/>
  <c r="AQ121" i="13" s="1"/>
  <c r="AQ122" i="13" s="1"/>
  <c r="AQ123" i="13" s="1"/>
  <c r="AQ124" i="13" s="1"/>
  <c r="AQ125" i="13" s="1"/>
  <c r="AQ126" i="13" s="1"/>
  <c r="AQ127" i="13" s="1"/>
  <c r="AQ128" i="13" s="1"/>
  <c r="AC160" i="13" s="1"/>
  <c r="CM115" i="16"/>
  <c r="CM116" i="16" s="1"/>
  <c r="CM117" i="16" s="1"/>
  <c r="CM118" i="16" s="1"/>
  <c r="CM119" i="16" s="1"/>
  <c r="CM120" i="16" s="1"/>
  <c r="CM121" i="16" s="1"/>
  <c r="CM122" i="16" s="1"/>
  <c r="CM123" i="16" s="1"/>
  <c r="CM124" i="16" s="1"/>
  <c r="CM125" i="16" s="1"/>
  <c r="CM126" i="16" s="1"/>
  <c r="CM127" i="16" s="1"/>
  <c r="CM128" i="16" s="1"/>
  <c r="AE160" i="16" s="1"/>
  <c r="DK114" i="15"/>
  <c r="DK115" i="15" s="1"/>
  <c r="DK116" i="15" s="1"/>
  <c r="DK117" i="15" s="1"/>
  <c r="DK118" i="15" s="1"/>
  <c r="DK119" i="15" s="1"/>
  <c r="DK120" i="15" s="1"/>
  <c r="DK121" i="15" s="1"/>
  <c r="DK122" i="15" s="1"/>
  <c r="DK123" i="15" s="1"/>
  <c r="DK124" i="15" s="1"/>
  <c r="DK125" i="15" s="1"/>
  <c r="DK126" i="15" s="1"/>
  <c r="DK127" i="15" s="1"/>
  <c r="DK128" i="15" s="1"/>
  <c r="AF160" i="15" s="1"/>
  <c r="BO114" i="15"/>
  <c r="BO115" i="15" s="1"/>
  <c r="BO116" i="15" s="1"/>
  <c r="BO117" i="15" s="1"/>
  <c r="BO118" i="15" s="1"/>
  <c r="BO119" i="15" s="1"/>
  <c r="BO120" i="15" s="1"/>
  <c r="BO121" i="15" s="1"/>
  <c r="BO122" i="15" s="1"/>
  <c r="BO123" i="15" s="1"/>
  <c r="BO124" i="15" s="1"/>
  <c r="BO125" i="15" s="1"/>
  <c r="BO126" i="15" s="1"/>
  <c r="BO127" i="15" s="1"/>
  <c r="BO128" i="15" s="1"/>
  <c r="AD160" i="15" s="1"/>
  <c r="BO89" i="15"/>
  <c r="BO90" i="15" s="1"/>
  <c r="AQ89" i="13"/>
  <c r="AQ90" i="13" s="1"/>
  <c r="BO114" i="14"/>
  <c r="BO115" i="14" s="1"/>
  <c r="BO116" i="14" s="1"/>
  <c r="BO117" i="14" s="1"/>
  <c r="BO118" i="14" s="1"/>
  <c r="BO119" i="14" s="1"/>
  <c r="BO120" i="14" s="1"/>
  <c r="BO121" i="14" s="1"/>
  <c r="BO122" i="14" s="1"/>
  <c r="BO123" i="14" s="1"/>
  <c r="BO124" i="14" s="1"/>
  <c r="BO125" i="14" s="1"/>
  <c r="BO126" i="14" s="1"/>
  <c r="BO127" i="14" s="1"/>
  <c r="BO128" i="14" s="1"/>
  <c r="AD160" i="14" s="1"/>
  <c r="DK114" i="16"/>
  <c r="DK115" i="16" s="1"/>
  <c r="DK116" i="16" s="1"/>
  <c r="DK117" i="16" s="1"/>
  <c r="DK118" i="16" s="1"/>
  <c r="DK119" i="16" s="1"/>
  <c r="DK120" i="16" s="1"/>
  <c r="DK121" i="16" s="1"/>
  <c r="DK122" i="16" s="1"/>
  <c r="DK123" i="16" s="1"/>
  <c r="DK124" i="16" s="1"/>
  <c r="DK125" i="16" s="1"/>
  <c r="DK126" i="16" s="1"/>
  <c r="DK127" i="16" s="1"/>
  <c r="DK128" i="16" s="1"/>
  <c r="AF160" i="16" s="1"/>
  <c r="DK89" i="15"/>
  <c r="DK90" i="15" s="1"/>
  <c r="BO114" i="16"/>
  <c r="BO115" i="16" s="1"/>
  <c r="BO116" i="16" s="1"/>
  <c r="BO117" i="16" s="1"/>
  <c r="BO118" i="16" s="1"/>
  <c r="BO119" i="16" s="1"/>
  <c r="BO120" i="16" s="1"/>
  <c r="BO121" i="16" s="1"/>
  <c r="BO122" i="16" s="1"/>
  <c r="BO123" i="16" s="1"/>
  <c r="BO124" i="16" s="1"/>
  <c r="BO125" i="16" s="1"/>
  <c r="BO126" i="16" s="1"/>
  <c r="BO127" i="16" s="1"/>
  <c r="BO128" i="16" s="1"/>
  <c r="AD160" i="16" s="1"/>
  <c r="CM90" i="13"/>
  <c r="DK89" i="13"/>
  <c r="DK90" i="13" s="1"/>
  <c r="AQ89" i="15"/>
  <c r="AQ90" i="15" s="1"/>
  <c r="DK114" i="14"/>
  <c r="DK115" i="14" s="1"/>
  <c r="DK116" i="14" s="1"/>
  <c r="DK117" i="14" s="1"/>
  <c r="DK118" i="14" s="1"/>
  <c r="DK119" i="14" s="1"/>
  <c r="DK120" i="14" s="1"/>
  <c r="DK121" i="14" s="1"/>
  <c r="DK122" i="14" s="1"/>
  <c r="DK123" i="14" s="1"/>
  <c r="DK124" i="14" s="1"/>
  <c r="DK125" i="14" s="1"/>
  <c r="DK126" i="14" s="1"/>
  <c r="DK127" i="14" s="1"/>
  <c r="DK128" i="14" s="1"/>
  <c r="AF160" i="14" s="1"/>
  <c r="S114" i="13"/>
  <c r="S115" i="13" s="1"/>
  <c r="S116" i="13" s="1"/>
  <c r="S117" i="13" s="1"/>
  <c r="S118" i="13" s="1"/>
  <c r="S119" i="13" s="1"/>
  <c r="S120" i="13" s="1"/>
  <c r="S121" i="13" s="1"/>
  <c r="S122" i="13" s="1"/>
  <c r="S123" i="13" s="1"/>
  <c r="S124" i="13" s="1"/>
  <c r="S125" i="13" s="1"/>
  <c r="S126" i="13" s="1"/>
  <c r="S127" i="13" s="1"/>
  <c r="S128" i="13" s="1"/>
  <c r="AB160" i="13" s="1"/>
  <c r="S89" i="15"/>
  <c r="S90" i="15" s="1"/>
  <c r="L6" i="11"/>
  <c r="D74" i="22"/>
  <c r="AD16" i="2"/>
  <c r="W16" i="2"/>
  <c r="AD10" i="2"/>
  <c r="W10" i="2"/>
  <c r="P16" i="2"/>
  <c r="P10" i="2"/>
  <c r="I16" i="2"/>
  <c r="I10" i="2"/>
  <c r="AL17" i="14" l="1"/>
  <c r="AQ17" i="14" s="1"/>
  <c r="AQ18" i="14" s="1"/>
  <c r="AQ19" i="14" s="1"/>
  <c r="AQ20" i="14" s="1"/>
  <c r="CH17" i="14"/>
  <c r="CM17" i="14" s="1"/>
  <c r="CM18" i="14" s="1"/>
  <c r="CM19" i="14" s="1"/>
  <c r="CM20" i="14" s="1"/>
  <c r="BO18" i="14"/>
  <c r="BO19" i="14" s="1"/>
  <c r="BO20" i="14" s="1"/>
  <c r="S17" i="14"/>
  <c r="S18" i="14" s="1"/>
  <c r="S19" i="14" s="1"/>
  <c r="S20" i="14" s="1"/>
  <c r="CU22" i="14"/>
  <c r="CW22" i="14" s="1"/>
  <c r="BW22" i="14"/>
  <c r="BY22" i="14" s="1"/>
  <c r="CH22" i="14" s="1"/>
  <c r="AY22" i="14"/>
  <c r="BA22" i="14" s="1"/>
  <c r="AA22" i="14"/>
  <c r="AC22" i="14" s="1"/>
  <c r="AL22" i="14" s="1"/>
  <c r="E22" i="14"/>
  <c r="CU24" i="14"/>
  <c r="CW24" i="14" s="1"/>
  <c r="BW24" i="14"/>
  <c r="BY24" i="14" s="1"/>
  <c r="CH24" i="14" s="1"/>
  <c r="AY24" i="14"/>
  <c r="BA24" i="14" s="1"/>
  <c r="AA24" i="14"/>
  <c r="AC24" i="14" s="1"/>
  <c r="AL24" i="14" s="1"/>
  <c r="E24" i="14"/>
  <c r="BW21" i="14"/>
  <c r="BY21" i="14" s="1"/>
  <c r="CH21" i="14" s="1"/>
  <c r="CU21" i="14"/>
  <c r="CW21" i="14" s="1"/>
  <c r="AY21" i="14"/>
  <c r="BA21" i="14" s="1"/>
  <c r="AA21" i="14"/>
  <c r="AC21" i="14" s="1"/>
  <c r="AL21" i="14" s="1"/>
  <c r="E21" i="14"/>
  <c r="DK19" i="14"/>
  <c r="DK20" i="14" s="1"/>
  <c r="CU23" i="14"/>
  <c r="CW23" i="14" s="1"/>
  <c r="BW23" i="14"/>
  <c r="BY23" i="14" s="1"/>
  <c r="CH23" i="14" s="1"/>
  <c r="AY23" i="14"/>
  <c r="BA23" i="14" s="1"/>
  <c r="AA23" i="14"/>
  <c r="AC23" i="14" s="1"/>
  <c r="AL23" i="14" s="1"/>
  <c r="E23" i="14"/>
  <c r="D75" i="22"/>
  <c r="X28" i="2"/>
  <c r="Y28" i="2" s="1"/>
  <c r="AE65" i="2"/>
  <c r="Q65" i="2"/>
  <c r="X65" i="2"/>
  <c r="J65" i="2"/>
  <c r="AE44" i="2"/>
  <c r="AE64" i="2" s="1"/>
  <c r="X44" i="2"/>
  <c r="X59" i="2"/>
  <c r="Y59" i="2" s="1"/>
  <c r="J59" i="2"/>
  <c r="X26" i="2"/>
  <c r="Y26" i="2" s="1"/>
  <c r="X29" i="2"/>
  <c r="Y29" i="2" s="1"/>
  <c r="AE24" i="2"/>
  <c r="X24" i="2"/>
  <c r="AE23" i="2"/>
  <c r="AF23" i="2" s="1"/>
  <c r="AE28" i="2"/>
  <c r="AF28" i="2" s="1"/>
  <c r="Q25" i="2"/>
  <c r="R25" i="2" s="1"/>
  <c r="AE29" i="2"/>
  <c r="AF29" i="2" s="1"/>
  <c r="AE26" i="2"/>
  <c r="AF26" i="2" s="1"/>
  <c r="AE25" i="2"/>
  <c r="AF25" i="2" s="1"/>
  <c r="X25" i="2"/>
  <c r="Y25" i="2" s="1"/>
  <c r="X23" i="2"/>
  <c r="Y23" i="2" s="1"/>
  <c r="J25" i="2"/>
  <c r="K25" i="2" s="1"/>
  <c r="J24" i="2"/>
  <c r="J29" i="2"/>
  <c r="K29" i="2" s="1"/>
  <c r="J26" i="2"/>
  <c r="K26" i="2" s="1"/>
  <c r="J20" i="2"/>
  <c r="AQ21" i="14" l="1"/>
  <c r="AQ22" i="14" s="1"/>
  <c r="AQ23" i="14" s="1"/>
  <c r="AQ24" i="14" s="1"/>
  <c r="BW94" i="14"/>
  <c r="AA94" i="14"/>
  <c r="AC94" i="14" s="1"/>
  <c r="AY94" i="14"/>
  <c r="BA94" i="14" s="1"/>
  <c r="C94" i="14"/>
  <c r="E94" i="14" s="1"/>
  <c r="CU94" i="14"/>
  <c r="CU91" i="14"/>
  <c r="CW91" i="14" s="1"/>
  <c r="BW91" i="14"/>
  <c r="BY91" i="14" s="1"/>
  <c r="AY91" i="14"/>
  <c r="BA91" i="14" s="1"/>
  <c r="AA91" i="14"/>
  <c r="C91" i="14"/>
  <c r="CU100" i="14"/>
  <c r="CW100" i="14" s="1"/>
  <c r="BW100" i="14"/>
  <c r="BY100" i="14" s="1"/>
  <c r="AY100" i="14"/>
  <c r="AA100" i="14"/>
  <c r="AC100" i="14" s="1"/>
  <c r="C100" i="14"/>
  <c r="E100" i="14" s="1"/>
  <c r="CU97" i="14"/>
  <c r="CW97" i="14" s="1"/>
  <c r="BW97" i="14"/>
  <c r="AY97" i="14"/>
  <c r="BA97" i="14" s="1"/>
  <c r="AA97" i="14"/>
  <c r="AC97" i="14" s="1"/>
  <c r="C97" i="14"/>
  <c r="E97" i="14" s="1"/>
  <c r="CU103" i="14"/>
  <c r="BW103" i="14"/>
  <c r="AY103" i="14"/>
  <c r="BA103" i="14" s="1"/>
  <c r="AA103" i="14"/>
  <c r="AC103" i="14" s="1"/>
  <c r="C103" i="14"/>
  <c r="DK21" i="14"/>
  <c r="DK22" i="14" s="1"/>
  <c r="DK23" i="14" s="1"/>
  <c r="DK24" i="14" s="1"/>
  <c r="CM21" i="14"/>
  <c r="CM22" i="14" s="1"/>
  <c r="CM23" i="14" s="1"/>
  <c r="CM24" i="14" s="1"/>
  <c r="S21" i="14"/>
  <c r="BO21" i="14"/>
  <c r="BO22" i="14" s="1"/>
  <c r="BO23" i="14" s="1"/>
  <c r="BO24" i="14" s="1"/>
  <c r="X64" i="2"/>
  <c r="T22" i="8" s="1"/>
  <c r="K59" i="2"/>
  <c r="K64" i="2" s="1"/>
  <c r="J64" i="2"/>
  <c r="K24" i="2"/>
  <c r="AF24" i="2"/>
  <c r="Y24" i="2"/>
  <c r="K20" i="2"/>
  <c r="J22" i="2"/>
  <c r="V22" i="8"/>
  <c r="Y44" i="2"/>
  <c r="BY94" i="14"/>
  <c r="CW94" i="14"/>
  <c r="CU94" i="16"/>
  <c r="CW94" i="16" s="1"/>
  <c r="BW94" i="16"/>
  <c r="BY94" i="16" s="1"/>
  <c r="AY94" i="16"/>
  <c r="BA94" i="16" s="1"/>
  <c r="AA94" i="16"/>
  <c r="AC94" i="16" s="1"/>
  <c r="C94" i="16"/>
  <c r="E94" i="16" s="1"/>
  <c r="CU94" i="15"/>
  <c r="CW94" i="15" s="1"/>
  <c r="BW94" i="15"/>
  <c r="BY94" i="15" s="1"/>
  <c r="AY94" i="15"/>
  <c r="BA94" i="15" s="1"/>
  <c r="AA94" i="15"/>
  <c r="AC94" i="15" s="1"/>
  <c r="C94" i="15"/>
  <c r="E94" i="15" s="1"/>
  <c r="CU94" i="13"/>
  <c r="CW94" i="13" s="1"/>
  <c r="BW94" i="13"/>
  <c r="BY94" i="13" s="1"/>
  <c r="AY94" i="13"/>
  <c r="BA94" i="13" s="1"/>
  <c r="AA94" i="13"/>
  <c r="AC94" i="13" s="1"/>
  <c r="C94" i="13"/>
  <c r="E94" i="13" s="1"/>
  <c r="AC91" i="14"/>
  <c r="CU91" i="16"/>
  <c r="CW91" i="16" s="1"/>
  <c r="AY91" i="16"/>
  <c r="BA91" i="16" s="1"/>
  <c r="C91" i="16"/>
  <c r="E91" i="16" s="1"/>
  <c r="BW91" i="15"/>
  <c r="BY91" i="15" s="1"/>
  <c r="AA91" i="15"/>
  <c r="AC91" i="15" s="1"/>
  <c r="CU91" i="13"/>
  <c r="CW91" i="13" s="1"/>
  <c r="AY91" i="13"/>
  <c r="BA91" i="13" s="1"/>
  <c r="BW91" i="16"/>
  <c r="BY91" i="16" s="1"/>
  <c r="AA91" i="16"/>
  <c r="AC91" i="16" s="1"/>
  <c r="CU91" i="15"/>
  <c r="CW91" i="15" s="1"/>
  <c r="AY91" i="15"/>
  <c r="BA91" i="15" s="1"/>
  <c r="C91" i="15"/>
  <c r="E91" i="15" s="1"/>
  <c r="E91" i="14"/>
  <c r="BW91" i="13"/>
  <c r="BY91" i="13" s="1"/>
  <c r="AA91" i="13"/>
  <c r="AC91" i="13" s="1"/>
  <c r="C91" i="13"/>
  <c r="E91" i="13" s="1"/>
  <c r="BA100" i="14"/>
  <c r="CU100" i="16"/>
  <c r="CW100" i="16" s="1"/>
  <c r="BW100" i="16"/>
  <c r="BY100" i="16" s="1"/>
  <c r="AY100" i="16"/>
  <c r="BA100" i="16" s="1"/>
  <c r="AA100" i="16"/>
  <c r="AC100" i="16" s="1"/>
  <c r="C100" i="16"/>
  <c r="E100" i="16" s="1"/>
  <c r="CU100" i="15"/>
  <c r="CW100" i="15" s="1"/>
  <c r="BW100" i="15"/>
  <c r="BY100" i="15" s="1"/>
  <c r="AY100" i="15"/>
  <c r="BA100" i="15" s="1"/>
  <c r="AA100" i="15"/>
  <c r="AC100" i="15" s="1"/>
  <c r="C100" i="15"/>
  <c r="E100" i="15" s="1"/>
  <c r="CU100" i="13"/>
  <c r="CW100" i="13" s="1"/>
  <c r="BW100" i="13"/>
  <c r="BY100" i="13" s="1"/>
  <c r="AY100" i="13"/>
  <c r="BA100" i="13" s="1"/>
  <c r="AA100" i="13"/>
  <c r="AC100" i="13" s="1"/>
  <c r="C100" i="13"/>
  <c r="E100" i="13" s="1"/>
  <c r="BY97" i="14"/>
  <c r="C97" i="13"/>
  <c r="E97" i="13" s="1"/>
  <c r="CU97" i="16"/>
  <c r="CW97" i="16" s="1"/>
  <c r="BW97" i="16"/>
  <c r="BY97" i="16" s="1"/>
  <c r="AY97" i="16"/>
  <c r="BA97" i="16" s="1"/>
  <c r="AA97" i="16"/>
  <c r="AC97" i="16" s="1"/>
  <c r="C97" i="16"/>
  <c r="E97" i="16" s="1"/>
  <c r="CU97" i="15"/>
  <c r="CW97" i="15" s="1"/>
  <c r="BW97" i="15"/>
  <c r="BY97" i="15" s="1"/>
  <c r="AY97" i="15"/>
  <c r="BA97" i="15" s="1"/>
  <c r="AA97" i="15"/>
  <c r="AC97" i="15" s="1"/>
  <c r="C97" i="15"/>
  <c r="E97" i="15" s="1"/>
  <c r="CU97" i="13"/>
  <c r="CW97" i="13" s="1"/>
  <c r="BW97" i="13"/>
  <c r="BY97" i="13" s="1"/>
  <c r="AY97" i="13"/>
  <c r="BA97" i="13" s="1"/>
  <c r="AA97" i="13"/>
  <c r="AC97" i="13" s="1"/>
  <c r="CW103" i="14"/>
  <c r="BY103" i="14"/>
  <c r="C103" i="13"/>
  <c r="E103" i="13" s="1"/>
  <c r="BW103" i="16"/>
  <c r="BY103" i="16" s="1"/>
  <c r="AA103" i="16"/>
  <c r="AC103" i="16" s="1"/>
  <c r="CU103" i="15"/>
  <c r="CW103" i="15" s="1"/>
  <c r="AY103" i="15"/>
  <c r="BA103" i="15" s="1"/>
  <c r="C103" i="15"/>
  <c r="E103" i="15" s="1"/>
  <c r="E103" i="14"/>
  <c r="BW103" i="13"/>
  <c r="BY103" i="13" s="1"/>
  <c r="AA103" i="13"/>
  <c r="AC103" i="13" s="1"/>
  <c r="CU103" i="16"/>
  <c r="CW103" i="16" s="1"/>
  <c r="AY103" i="16"/>
  <c r="BA103" i="16" s="1"/>
  <c r="C103" i="16"/>
  <c r="E103" i="16" s="1"/>
  <c r="BW103" i="15"/>
  <c r="BY103" i="15" s="1"/>
  <c r="AA103" i="15"/>
  <c r="AC103" i="15" s="1"/>
  <c r="CU103" i="13"/>
  <c r="CW103" i="13" s="1"/>
  <c r="AY103" i="13"/>
  <c r="BA103" i="13" s="1"/>
  <c r="E43" i="10"/>
  <c r="F43" i="10" s="1"/>
  <c r="Z43" i="10" s="1"/>
  <c r="E51" i="10"/>
  <c r="F51" i="10" s="1"/>
  <c r="Z51" i="10" s="1"/>
  <c r="E54" i="10"/>
  <c r="F54" i="10" s="1"/>
  <c r="Z54" i="10" s="1"/>
  <c r="E44" i="10"/>
  <c r="F44" i="10" s="1"/>
  <c r="Z44" i="10" s="1"/>
  <c r="E52" i="10"/>
  <c r="F52" i="10" s="1"/>
  <c r="Z52" i="10" s="1"/>
  <c r="E45" i="10"/>
  <c r="F45" i="10" s="1"/>
  <c r="Z45" i="10" s="1"/>
  <c r="E53" i="10"/>
  <c r="F53" i="10" s="1"/>
  <c r="Z53" i="10" s="1"/>
  <c r="E46" i="10"/>
  <c r="F46" i="10" s="1"/>
  <c r="Z46" i="10" s="1"/>
  <c r="E47" i="10"/>
  <c r="F47" i="10" s="1"/>
  <c r="Z47" i="10" s="1"/>
  <c r="E41" i="10"/>
  <c r="F41" i="10" s="1"/>
  <c r="Z41" i="10" s="1"/>
  <c r="E50" i="10"/>
  <c r="F50" i="10" s="1"/>
  <c r="Z50" i="10" s="1"/>
  <c r="E40" i="10"/>
  <c r="F40" i="10" s="1"/>
  <c r="Z40" i="10" s="1"/>
  <c r="E48" i="10"/>
  <c r="F48" i="10" s="1"/>
  <c r="Z48" i="10" s="1"/>
  <c r="E49" i="10"/>
  <c r="F49" i="10" s="1"/>
  <c r="Z49" i="10" s="1"/>
  <c r="E42" i="10"/>
  <c r="F42" i="10" s="1"/>
  <c r="Z42" i="10" s="1"/>
  <c r="K65" i="2"/>
  <c r="K67" i="2" s="1"/>
  <c r="J67" i="2"/>
  <c r="Y65" i="2"/>
  <c r="Y67" i="2" s="1"/>
  <c r="X67" i="2"/>
  <c r="F56" i="22" s="1"/>
  <c r="R65" i="2"/>
  <c r="R67" i="2" s="1"/>
  <c r="Q67" i="2"/>
  <c r="AF65" i="2"/>
  <c r="AF67" i="2" s="1"/>
  <c r="AE67" i="2"/>
  <c r="AF44" i="2"/>
  <c r="AF64" i="2" s="1"/>
  <c r="S22" i="14" l="1"/>
  <c r="S23" i="14" s="1"/>
  <c r="S24" i="14" s="1"/>
  <c r="CU25" i="14"/>
  <c r="CW25" i="14" s="1"/>
  <c r="DK25" i="14" s="1"/>
  <c r="AA25" i="14"/>
  <c r="AC25" i="14" s="1"/>
  <c r="BW25" i="14"/>
  <c r="BY25" i="14" s="1"/>
  <c r="AY25" i="14"/>
  <c r="BA25" i="14" s="1"/>
  <c r="BO25" i="14" s="1"/>
  <c r="E25" i="14"/>
  <c r="CU26" i="14"/>
  <c r="CW26" i="14" s="1"/>
  <c r="BW26" i="14"/>
  <c r="BY26" i="14" s="1"/>
  <c r="CH26" i="14" s="1"/>
  <c r="AY26" i="14"/>
  <c r="BA26" i="14" s="1"/>
  <c r="AA26" i="14"/>
  <c r="AC26" i="14" s="1"/>
  <c r="AL26" i="14" s="1"/>
  <c r="E26" i="14"/>
  <c r="CU27" i="14"/>
  <c r="CW27" i="14" s="1"/>
  <c r="BW27" i="14"/>
  <c r="BY27" i="14" s="1"/>
  <c r="CH27" i="14" s="1"/>
  <c r="AY27" i="14"/>
  <c r="BA27" i="14" s="1"/>
  <c r="AA27" i="14"/>
  <c r="AC27" i="14" s="1"/>
  <c r="AL27" i="14" s="1"/>
  <c r="E27" i="14"/>
  <c r="Y64" i="2"/>
  <c r="U22" i="8" s="1"/>
  <c r="F49" i="22" s="1"/>
  <c r="Q22" i="8"/>
  <c r="K22" i="2"/>
  <c r="DB128" i="16"/>
  <c r="J128" i="16"/>
  <c r="AH128" i="15"/>
  <c r="BF128" i="14"/>
  <c r="CD128" i="13"/>
  <c r="CD128" i="16"/>
  <c r="DB128" i="15"/>
  <c r="J128" i="15"/>
  <c r="AH128" i="14"/>
  <c r="BF128" i="13"/>
  <c r="BF128" i="16"/>
  <c r="CD128" i="15"/>
  <c r="DB128" i="14"/>
  <c r="J128" i="14"/>
  <c r="AH128" i="13"/>
  <c r="AH128" i="16"/>
  <c r="J128" i="13"/>
  <c r="BF128" i="15"/>
  <c r="CD128" i="14"/>
  <c r="DB128" i="13"/>
  <c r="W22" i="8"/>
  <c r="S91" i="15"/>
  <c r="S92" i="15" s="1"/>
  <c r="S93" i="15" s="1"/>
  <c r="CM91" i="15"/>
  <c r="CM92" i="15" s="1"/>
  <c r="CM93" i="15" s="1"/>
  <c r="G56" i="22"/>
  <c r="DB103" i="16"/>
  <c r="J103" i="16"/>
  <c r="AH103" i="15"/>
  <c r="BF103" i="14"/>
  <c r="CD103" i="13"/>
  <c r="BF103" i="16"/>
  <c r="CD103" i="15"/>
  <c r="DB103" i="14"/>
  <c r="J103" i="14"/>
  <c r="AH103" i="13"/>
  <c r="CD103" i="16"/>
  <c r="J103" i="15"/>
  <c r="BF103" i="13"/>
  <c r="DB103" i="15"/>
  <c r="AH103" i="14"/>
  <c r="AH103" i="16"/>
  <c r="J103" i="13"/>
  <c r="CD103" i="14"/>
  <c r="DB103" i="13"/>
  <c r="BF103" i="15"/>
  <c r="AQ91" i="13"/>
  <c r="AQ92" i="13" s="1"/>
  <c r="AQ93" i="13" s="1"/>
  <c r="BO91" i="15"/>
  <c r="BO92" i="15" s="1"/>
  <c r="BO93" i="15" s="1"/>
  <c r="BO91" i="13"/>
  <c r="BO92" i="13" s="1"/>
  <c r="BO93" i="13" s="1"/>
  <c r="S91" i="16"/>
  <c r="S92" i="16" s="1"/>
  <c r="S93" i="16" s="1"/>
  <c r="S94" i="16" s="1"/>
  <c r="S95" i="16" s="1"/>
  <c r="S96" i="16" s="1"/>
  <c r="AQ91" i="14"/>
  <c r="AQ92" i="14" s="1"/>
  <c r="AQ93" i="14" s="1"/>
  <c r="CM91" i="13"/>
  <c r="CM92" i="13" s="1"/>
  <c r="CM93" i="13" s="1"/>
  <c r="DK91" i="15"/>
  <c r="DK92" i="15" s="1"/>
  <c r="DK93" i="15" s="1"/>
  <c r="DK91" i="13"/>
  <c r="DK92" i="13" s="1"/>
  <c r="DK93" i="13" s="1"/>
  <c r="BO91" i="16"/>
  <c r="BO92" i="16" s="1"/>
  <c r="BO93" i="16" s="1"/>
  <c r="BO91" i="14"/>
  <c r="BO92" i="14" s="1"/>
  <c r="BO93" i="14" s="1"/>
  <c r="S91" i="13"/>
  <c r="S92" i="13" s="1"/>
  <c r="S93" i="13" s="1"/>
  <c r="CM91" i="16"/>
  <c r="CM92" i="16" s="1"/>
  <c r="CM93" i="16" s="1"/>
  <c r="CM91" i="14"/>
  <c r="CM92" i="14" s="1"/>
  <c r="CM93" i="14" s="1"/>
  <c r="S91" i="14"/>
  <c r="S92" i="14" s="1"/>
  <c r="S93" i="14" s="1"/>
  <c r="AQ91" i="16"/>
  <c r="AQ92" i="16" s="1"/>
  <c r="AQ93" i="16" s="1"/>
  <c r="AQ91" i="15"/>
  <c r="AQ92" i="15" s="1"/>
  <c r="AQ93" i="15" s="1"/>
  <c r="DK91" i="16"/>
  <c r="DK92" i="16" s="1"/>
  <c r="DK93" i="16" s="1"/>
  <c r="DK91" i="14"/>
  <c r="DK92" i="14" s="1"/>
  <c r="DK93" i="14" s="1"/>
  <c r="F48" i="22"/>
  <c r="F39" i="22"/>
  <c r="V28" i="10"/>
  <c r="D56" i="22"/>
  <c r="V54" i="10"/>
  <c r="E56" i="22"/>
  <c r="J53" i="13"/>
  <c r="CD53" i="13"/>
  <c r="J53" i="14"/>
  <c r="DB53" i="15"/>
  <c r="DB53" i="14"/>
  <c r="J53" i="16"/>
  <c r="DB53" i="16"/>
  <c r="CD53" i="15"/>
  <c r="BF53" i="13"/>
  <c r="AH53" i="15"/>
  <c r="CD53" i="16"/>
  <c r="BF53" i="15"/>
  <c r="CD53" i="14"/>
  <c r="AH53" i="16"/>
  <c r="AH53" i="14"/>
  <c r="BF53" i="16"/>
  <c r="BF53" i="14"/>
  <c r="J53" i="15"/>
  <c r="DB53" i="13"/>
  <c r="AH53" i="13"/>
  <c r="V106" i="10"/>
  <c r="CD27" i="15"/>
  <c r="DB27" i="15"/>
  <c r="CD27" i="16"/>
  <c r="DB27" i="14"/>
  <c r="BF27" i="16"/>
  <c r="AH27" i="14"/>
  <c r="J27" i="13"/>
  <c r="CD27" i="14"/>
  <c r="J27" i="15"/>
  <c r="AH27" i="16"/>
  <c r="BF27" i="15"/>
  <c r="DB27" i="13"/>
  <c r="DB27" i="16"/>
  <c r="CD27" i="13"/>
  <c r="BF27" i="14"/>
  <c r="J27" i="16"/>
  <c r="AH27" i="15"/>
  <c r="J27" i="14"/>
  <c r="AH27" i="13"/>
  <c r="BF27" i="13"/>
  <c r="V80" i="10"/>
  <c r="CE18" i="15"/>
  <c r="DC24" i="15"/>
  <c r="DC17" i="15"/>
  <c r="CE25" i="15"/>
  <c r="CE16" i="16"/>
  <c r="BG23" i="14"/>
  <c r="CE14" i="14"/>
  <c r="AI26" i="16"/>
  <c r="AI25" i="13"/>
  <c r="DC18" i="16"/>
  <c r="CE21" i="14"/>
  <c r="DC23" i="13"/>
  <c r="BG25" i="16"/>
  <c r="K17" i="16"/>
  <c r="BG17" i="15"/>
  <c r="K13" i="15"/>
  <c r="CE25" i="16"/>
  <c r="CE13" i="14"/>
  <c r="DC19" i="14"/>
  <c r="AI16" i="16"/>
  <c r="BG24" i="15"/>
  <c r="AI18" i="15"/>
  <c r="DC13" i="14"/>
  <c r="DC22" i="13"/>
  <c r="K15" i="16"/>
  <c r="AI13" i="15"/>
  <c r="BG14" i="13"/>
  <c r="DC20" i="16"/>
  <c r="CE22" i="14"/>
  <c r="BG26" i="16"/>
  <c r="K14" i="16"/>
  <c r="K17" i="13"/>
  <c r="BG26" i="15"/>
  <c r="AI14" i="16"/>
  <c r="BG24" i="14"/>
  <c r="K20" i="16"/>
  <c r="AI20" i="13"/>
  <c r="K15" i="13"/>
  <c r="CE26" i="16"/>
  <c r="K24" i="16"/>
  <c r="K23" i="14"/>
  <c r="CE24" i="16"/>
  <c r="K20" i="15"/>
  <c r="CE16" i="13"/>
  <c r="BG17" i="16"/>
  <c r="K18" i="13"/>
  <c r="DC23" i="14"/>
  <c r="K22" i="16"/>
  <c r="AI21" i="16"/>
  <c r="BG19" i="13"/>
  <c r="CE18" i="16"/>
  <c r="K26" i="16"/>
  <c r="K16" i="16"/>
  <c r="BG22" i="15"/>
  <c r="K21" i="15"/>
  <c r="DC16" i="16"/>
  <c r="W69" i="10"/>
  <c r="AB69" i="10" s="1"/>
  <c r="W72" i="10"/>
  <c r="AB72" i="10" s="1"/>
  <c r="W73" i="10"/>
  <c r="AB73" i="10" s="1"/>
  <c r="W71" i="10"/>
  <c r="AB71" i="10" s="1"/>
  <c r="W67" i="10"/>
  <c r="AB67" i="10" s="1"/>
  <c r="W75" i="10"/>
  <c r="AB75" i="10" s="1"/>
  <c r="AE16" i="10"/>
  <c r="AE17" i="10" s="1"/>
  <c r="AE18" i="10" s="1"/>
  <c r="AE39" i="10"/>
  <c r="AL25" i="14" l="1"/>
  <c r="AQ25" i="14" s="1"/>
  <c r="AQ26" i="14" s="1"/>
  <c r="AQ27" i="14" s="1"/>
  <c r="I160" i="14" s="1"/>
  <c r="CH25" i="14"/>
  <c r="CM25" i="14" s="1"/>
  <c r="CM26" i="14" s="1"/>
  <c r="CM27" i="14" s="1"/>
  <c r="K160" i="14" s="1"/>
  <c r="BG21" i="13"/>
  <c r="K25" i="14"/>
  <c r="L25" i="14" s="1"/>
  <c r="CE18" i="14"/>
  <c r="K26" i="13"/>
  <c r="L26" i="13" s="1"/>
  <c r="CE26" i="14"/>
  <c r="AI16" i="15"/>
  <c r="AI19" i="14"/>
  <c r="BG25" i="13"/>
  <c r="AI17" i="14"/>
  <c r="DC18" i="14"/>
  <c r="AI19" i="15"/>
  <c r="BG14" i="14"/>
  <c r="K17" i="15"/>
  <c r="CE15" i="15"/>
  <c r="CE26" i="15"/>
  <c r="F50" i="22"/>
  <c r="K26" i="14"/>
  <c r="CE23" i="14"/>
  <c r="CF23" i="14" s="1"/>
  <c r="CK23" i="14" s="1"/>
  <c r="AI17" i="15"/>
  <c r="BG17" i="13"/>
  <c r="BH17" i="13" s="1"/>
  <c r="CE14" i="13"/>
  <c r="BG15" i="13"/>
  <c r="DC15" i="14"/>
  <c r="DC22" i="15"/>
  <c r="DD22" i="15" s="1"/>
  <c r="DC21" i="15"/>
  <c r="BO26" i="14"/>
  <c r="BO27" i="14" s="1"/>
  <c r="J160" i="14" s="1"/>
  <c r="S25" i="14"/>
  <c r="S26" i="14" s="1"/>
  <c r="S27" i="14" s="1"/>
  <c r="H160" i="14" s="1"/>
  <c r="DK26" i="14"/>
  <c r="DK27" i="14" s="1"/>
  <c r="L160" i="14" s="1"/>
  <c r="F51" i="22"/>
  <c r="F43" i="22"/>
  <c r="F38" i="22"/>
  <c r="F47" i="22"/>
  <c r="CE24" i="15"/>
  <c r="CE16" i="15"/>
  <c r="CE17" i="15"/>
  <c r="CE21" i="15"/>
  <c r="CE14" i="16"/>
  <c r="BG19" i="14"/>
  <c r="DC19" i="13"/>
  <c r="DD19" i="13" s="1"/>
  <c r="AI15" i="16"/>
  <c r="AI15" i="14"/>
  <c r="BG22" i="13"/>
  <c r="DC22" i="16"/>
  <c r="DD22" i="16" s="1"/>
  <c r="BG18" i="14"/>
  <c r="DC21" i="14"/>
  <c r="CE17" i="14"/>
  <c r="DC21" i="13"/>
  <c r="DD21" i="13" s="1"/>
  <c r="K25" i="16"/>
  <c r="L25" i="16" s="1"/>
  <c r="BG14" i="16"/>
  <c r="K15" i="15"/>
  <c r="K27" i="14"/>
  <c r="L27" i="14" s="1"/>
  <c r="AI18" i="13"/>
  <c r="CE21" i="16"/>
  <c r="DC19" i="16"/>
  <c r="DD19" i="16" s="1"/>
  <c r="DC17" i="14"/>
  <c r="BG22" i="16"/>
  <c r="BG13" i="16"/>
  <c r="K23" i="15"/>
  <c r="L23" i="15" s="1"/>
  <c r="AI19" i="13"/>
  <c r="CE16" i="14"/>
  <c r="CE19" i="14"/>
  <c r="DC20" i="13"/>
  <c r="AI25" i="16"/>
  <c r="K13" i="16"/>
  <c r="K18" i="15"/>
  <c r="L18" i="15" s="1"/>
  <c r="AI26" i="14"/>
  <c r="AI14" i="13"/>
  <c r="DC27" i="14"/>
  <c r="DD27" i="14" s="1"/>
  <c r="CE20" i="16"/>
  <c r="CE18" i="13"/>
  <c r="CF18" i="13" s="1"/>
  <c r="AI19" i="16"/>
  <c r="BG16" i="15"/>
  <c r="AI16" i="13"/>
  <c r="K13" i="13"/>
  <c r="L13" i="13" s="1"/>
  <c r="K22" i="14"/>
  <c r="L22" i="14" s="1"/>
  <c r="CE22" i="16"/>
  <c r="CE27" i="13"/>
  <c r="K18" i="16"/>
  <c r="L18" i="16" s="1"/>
  <c r="K14" i="15"/>
  <c r="AI18" i="14"/>
  <c r="K27" i="13"/>
  <c r="BG23" i="16"/>
  <c r="CE15" i="14"/>
  <c r="AI23" i="13"/>
  <c r="BG20" i="16"/>
  <c r="BH20" i="16" s="1"/>
  <c r="K21" i="14"/>
  <c r="L21" i="14" s="1"/>
  <c r="CE15" i="16"/>
  <c r="DC16" i="13"/>
  <c r="DC23" i="16"/>
  <c r="DD23" i="16" s="1"/>
  <c r="AI23" i="16"/>
  <c r="BG25" i="15"/>
  <c r="K24" i="13"/>
  <c r="L24" i="13" s="1"/>
  <c r="K16" i="13"/>
  <c r="BG20" i="14"/>
  <c r="DC15" i="13"/>
  <c r="DD15" i="13" s="1"/>
  <c r="BG23" i="15"/>
  <c r="K16" i="14"/>
  <c r="BG17" i="14"/>
  <c r="K27" i="15"/>
  <c r="L27" i="15" s="1"/>
  <c r="AI20" i="15"/>
  <c r="BG16" i="13"/>
  <c r="BH16" i="13" s="1"/>
  <c r="W77" i="10"/>
  <c r="W70" i="10"/>
  <c r="AB70" i="10" s="1"/>
  <c r="W66" i="10"/>
  <c r="AB66" i="10" s="1"/>
  <c r="W68" i="10"/>
  <c r="F52" i="22"/>
  <c r="F45" i="22"/>
  <c r="F44" i="22"/>
  <c r="DC16" i="15"/>
  <c r="DD16" i="15" s="1"/>
  <c r="DC13" i="15"/>
  <c r="CE27" i="15"/>
  <c r="DC24" i="16"/>
  <c r="DC14" i="14"/>
  <c r="DD14" i="14" s="1"/>
  <c r="BG13" i="14"/>
  <c r="BH13" i="14" s="1"/>
  <c r="DC13" i="13"/>
  <c r="DD13" i="13" s="1"/>
  <c r="K24" i="15"/>
  <c r="AI14" i="14"/>
  <c r="BG13" i="13"/>
  <c r="CE20" i="14"/>
  <c r="CF20" i="14" s="1"/>
  <c r="CK20" i="14" s="1"/>
  <c r="BG27" i="14"/>
  <c r="DC27" i="13"/>
  <c r="CE25" i="13"/>
  <c r="BG21" i="16"/>
  <c r="BH21" i="16" s="1"/>
  <c r="AI16" i="14"/>
  <c r="AI26" i="13"/>
  <c r="CE17" i="16"/>
  <c r="CF17" i="16" s="1"/>
  <c r="DC26" i="14"/>
  <c r="DD26" i="14" s="1"/>
  <c r="CE24" i="14"/>
  <c r="K21" i="16"/>
  <c r="L21" i="16" s="1"/>
  <c r="AI27" i="15"/>
  <c r="AJ27" i="15" s="1"/>
  <c r="AI24" i="14"/>
  <c r="AI27" i="13"/>
  <c r="AJ27" i="13" s="1"/>
  <c r="DC26" i="16"/>
  <c r="DC26" i="13"/>
  <c r="DD26" i="13" s="1"/>
  <c r="CE21" i="13"/>
  <c r="AI18" i="16"/>
  <c r="AJ18" i="16" s="1"/>
  <c r="K24" i="14"/>
  <c r="L24" i="14" s="1"/>
  <c r="AI22" i="13"/>
  <c r="DC25" i="14"/>
  <c r="BG22" i="14"/>
  <c r="CE15" i="13"/>
  <c r="CF15" i="13" s="1"/>
  <c r="AI17" i="16"/>
  <c r="AI23" i="14"/>
  <c r="K25" i="13"/>
  <c r="L25" i="13" s="1"/>
  <c r="K23" i="16"/>
  <c r="L23" i="16" s="1"/>
  <c r="BG20" i="13"/>
  <c r="K20" i="14"/>
  <c r="L20" i="14" s="1"/>
  <c r="CE13" i="16"/>
  <c r="CF13" i="16" s="1"/>
  <c r="CE24" i="13"/>
  <c r="CF24" i="13" s="1"/>
  <c r="AI13" i="16"/>
  <c r="AI21" i="14"/>
  <c r="BG26" i="13"/>
  <c r="BH26" i="13" s="1"/>
  <c r="K23" i="13"/>
  <c r="BG18" i="13"/>
  <c r="BH18" i="13" s="1"/>
  <c r="CE26" i="13"/>
  <c r="K22" i="15"/>
  <c r="L22" i="15" s="1"/>
  <c r="K19" i="14"/>
  <c r="DC22" i="14"/>
  <c r="DC14" i="13"/>
  <c r="DC14" i="16"/>
  <c r="DD14" i="16" s="1"/>
  <c r="BG19" i="16"/>
  <c r="K14" i="14"/>
  <c r="K22" i="13"/>
  <c r="K14" i="13"/>
  <c r="BG15" i="14"/>
  <c r="BG24" i="16"/>
  <c r="K15" i="14"/>
  <c r="DC17" i="13"/>
  <c r="AI15" i="13"/>
  <c r="AJ15" i="13" s="1"/>
  <c r="W79" i="10"/>
  <c r="AB79" i="10" s="1"/>
  <c r="W78" i="10"/>
  <c r="W74" i="10"/>
  <c r="AB74" i="10" s="1"/>
  <c r="W76" i="10"/>
  <c r="AB76" i="10" s="1"/>
  <c r="F40" i="22"/>
  <c r="F41" i="22"/>
  <c r="F42" i="22"/>
  <c r="F46" i="22"/>
  <c r="CE20" i="15"/>
  <c r="DC27" i="15"/>
  <c r="DC23" i="15"/>
  <c r="CE19" i="15"/>
  <c r="DC15" i="16"/>
  <c r="DD15" i="16" s="1"/>
  <c r="BG25" i="14"/>
  <c r="BH25" i="14" s="1"/>
  <c r="CE25" i="14"/>
  <c r="CE20" i="13"/>
  <c r="CF20" i="13" s="1"/>
  <c r="BG21" i="15"/>
  <c r="K13" i="14"/>
  <c r="AI17" i="13"/>
  <c r="CE23" i="16"/>
  <c r="DC25" i="16"/>
  <c r="BG21" i="14"/>
  <c r="BH21" i="14" s="1"/>
  <c r="DC25" i="13"/>
  <c r="CE17" i="13"/>
  <c r="CF17" i="13" s="1"/>
  <c r="BG18" i="16"/>
  <c r="BH18" i="16" s="1"/>
  <c r="AI22" i="15"/>
  <c r="BG24" i="13"/>
  <c r="DC13" i="16"/>
  <c r="DD13" i="16" s="1"/>
  <c r="BG16" i="14"/>
  <c r="DC24" i="14"/>
  <c r="CE22" i="13"/>
  <c r="CF22" i="13" s="1"/>
  <c r="AI20" i="16"/>
  <c r="K26" i="15"/>
  <c r="AI13" i="14"/>
  <c r="AJ13" i="14" s="1"/>
  <c r="AO13" i="14" s="1"/>
  <c r="CE19" i="16"/>
  <c r="DC17" i="16"/>
  <c r="DC24" i="13"/>
  <c r="CE13" i="13"/>
  <c r="CF13" i="13" s="1"/>
  <c r="BG15" i="16"/>
  <c r="BH15" i="16" s="1"/>
  <c r="AI24" i="15"/>
  <c r="K17" i="14"/>
  <c r="DC20" i="14"/>
  <c r="CE27" i="14"/>
  <c r="AI27" i="16"/>
  <c r="BG16" i="16"/>
  <c r="AI22" i="14"/>
  <c r="AJ22" i="14" s="1"/>
  <c r="AO22" i="14" s="1"/>
  <c r="K21" i="13"/>
  <c r="L21" i="13" s="1"/>
  <c r="DC18" i="13"/>
  <c r="DD18" i="13" s="1"/>
  <c r="CE23" i="13"/>
  <c r="K18" i="14"/>
  <c r="L18" i="14" s="1"/>
  <c r="DC16" i="14"/>
  <c r="AI24" i="16"/>
  <c r="AI23" i="15"/>
  <c r="AI20" i="14"/>
  <c r="BG23" i="13"/>
  <c r="BH23" i="13" s="1"/>
  <c r="K19" i="13"/>
  <c r="AI21" i="13"/>
  <c r="AI21" i="15"/>
  <c r="AI25" i="14"/>
  <c r="AJ25" i="14" s="1"/>
  <c r="AO25" i="14" s="1"/>
  <c r="AI24" i="13"/>
  <c r="AJ24" i="13" s="1"/>
  <c r="BG26" i="14"/>
  <c r="BH26" i="14" s="1"/>
  <c r="AI22" i="16"/>
  <c r="AJ22" i="16" s="1"/>
  <c r="CE19" i="13"/>
  <c r="K19" i="16"/>
  <c r="AI13" i="13"/>
  <c r="K20" i="13"/>
  <c r="DC21" i="16"/>
  <c r="DD21" i="16" s="1"/>
  <c r="DC103" i="16"/>
  <c r="CE102" i="16"/>
  <c r="BG101" i="16"/>
  <c r="BH101" i="16" s="1"/>
  <c r="AI100" i="16"/>
  <c r="K99" i="16"/>
  <c r="L99" i="16" s="1"/>
  <c r="DC98" i="15"/>
  <c r="DD98" i="15" s="1"/>
  <c r="CE97" i="15"/>
  <c r="BG96" i="15"/>
  <c r="AI95" i="15"/>
  <c r="AJ95" i="15" s="1"/>
  <c r="K94" i="15"/>
  <c r="DC93" i="14"/>
  <c r="DD93" i="14" s="1"/>
  <c r="CE92" i="14"/>
  <c r="BG91" i="14"/>
  <c r="AI90" i="14"/>
  <c r="K89" i="14"/>
  <c r="L89" i="14" s="1"/>
  <c r="CE103" i="13"/>
  <c r="BG102" i="13"/>
  <c r="AI101" i="13"/>
  <c r="K93" i="13"/>
  <c r="DC97" i="16"/>
  <c r="CE96" i="16"/>
  <c r="BG95" i="16"/>
  <c r="AI94" i="16"/>
  <c r="K93" i="16"/>
  <c r="DC92" i="15"/>
  <c r="CE91" i="15"/>
  <c r="BG90" i="15"/>
  <c r="AI89" i="15"/>
  <c r="DC103" i="14"/>
  <c r="CE102" i="14"/>
  <c r="CF102" i="14" s="1"/>
  <c r="BG101" i="14"/>
  <c r="AI100" i="14"/>
  <c r="K99" i="14"/>
  <c r="DC98" i="13"/>
  <c r="CE97" i="13"/>
  <c r="BG96" i="13"/>
  <c r="AI95" i="13"/>
  <c r="K99" i="13"/>
  <c r="L99" i="13" s="1"/>
  <c r="CE97" i="16"/>
  <c r="AI95" i="16"/>
  <c r="DC93" i="15"/>
  <c r="BG91" i="15"/>
  <c r="K89" i="15"/>
  <c r="BG102" i="14"/>
  <c r="K100" i="14"/>
  <c r="CE98" i="13"/>
  <c r="AI96" i="13"/>
  <c r="DC94" i="16"/>
  <c r="BG92" i="16"/>
  <c r="K90" i="16"/>
  <c r="L90" i="16" s="1"/>
  <c r="BG103" i="15"/>
  <c r="K101" i="15"/>
  <c r="CE99" i="14"/>
  <c r="AI97" i="14"/>
  <c r="DC95" i="13"/>
  <c r="BG93" i="13"/>
  <c r="K100" i="13"/>
  <c r="K100" i="16"/>
  <c r="AI96" i="15"/>
  <c r="BG92" i="14"/>
  <c r="BG103" i="13"/>
  <c r="BH103" i="13" s="1"/>
  <c r="CE95" i="16"/>
  <c r="DC91" i="15"/>
  <c r="DC102" i="14"/>
  <c r="K98" i="14"/>
  <c r="AI94" i="13"/>
  <c r="BG90" i="16"/>
  <c r="BG101" i="15"/>
  <c r="CE97" i="14"/>
  <c r="DC93" i="13"/>
  <c r="DD93" i="13" s="1"/>
  <c r="K102" i="13"/>
  <c r="CE100" i="13"/>
  <c r="AI103" i="14"/>
  <c r="K91" i="15"/>
  <c r="CE94" i="15"/>
  <c r="DC99" i="16"/>
  <c r="CE98" i="16"/>
  <c r="BG97" i="16"/>
  <c r="AI96" i="16"/>
  <c r="K95" i="16"/>
  <c r="L95" i="16" s="1"/>
  <c r="DC94" i="15"/>
  <c r="CE93" i="15"/>
  <c r="BG92" i="15"/>
  <c r="AI91" i="15"/>
  <c r="K90" i="15"/>
  <c r="DC89" i="14"/>
  <c r="DD89" i="14" s="1"/>
  <c r="BG103" i="14"/>
  <c r="AI102" i="14"/>
  <c r="K101" i="14"/>
  <c r="DC100" i="13"/>
  <c r="CE99" i="13"/>
  <c r="BG98" i="13"/>
  <c r="AI97" i="13"/>
  <c r="K97" i="13"/>
  <c r="DC93" i="16"/>
  <c r="CE92" i="16"/>
  <c r="BG91" i="16"/>
  <c r="AI90" i="16"/>
  <c r="AJ90" i="16" s="1"/>
  <c r="K89" i="16"/>
  <c r="L89" i="16" s="1"/>
  <c r="CE103" i="15"/>
  <c r="BG102" i="15"/>
  <c r="AI101" i="15"/>
  <c r="K100" i="15"/>
  <c r="DC99" i="14"/>
  <c r="CE98" i="14"/>
  <c r="BG97" i="14"/>
  <c r="AI96" i="14"/>
  <c r="K95" i="14"/>
  <c r="DC94" i="13"/>
  <c r="CE93" i="13"/>
  <c r="BG92" i="13"/>
  <c r="AI91" i="13"/>
  <c r="K103" i="13"/>
  <c r="CE89" i="16"/>
  <c r="CF89" i="16" s="1"/>
  <c r="K102" i="16"/>
  <c r="L102" i="16" s="1"/>
  <c r="CE100" i="15"/>
  <c r="AI98" i="15"/>
  <c r="DC96" i="14"/>
  <c r="DD96" i="14" s="1"/>
  <c r="BG94" i="14"/>
  <c r="K92" i="14"/>
  <c r="CE90" i="13"/>
  <c r="K96" i="13"/>
  <c r="CE101" i="16"/>
  <c r="CF101" i="16" s="1"/>
  <c r="AI99" i="16"/>
  <c r="DC97" i="15"/>
  <c r="BG95" i="15"/>
  <c r="K93" i="15"/>
  <c r="CE91" i="14"/>
  <c r="AI89" i="14"/>
  <c r="CE102" i="13"/>
  <c r="CF102" i="13" s="1"/>
  <c r="AI100" i="13"/>
  <c r="CE103" i="16"/>
  <c r="DC99" i="15"/>
  <c r="DD99" i="15" s="1"/>
  <c r="K95" i="15"/>
  <c r="AI91" i="14"/>
  <c r="AI102" i="13"/>
  <c r="BG94" i="16"/>
  <c r="CE90" i="15"/>
  <c r="CE101" i="14"/>
  <c r="DC97" i="13"/>
  <c r="K98" i="13"/>
  <c r="AI89" i="16"/>
  <c r="AJ89" i="16" s="1"/>
  <c r="AI100" i="15"/>
  <c r="BG96" i="14"/>
  <c r="CE92" i="13"/>
  <c r="AI97" i="16"/>
  <c r="DC100" i="16"/>
  <c r="BG99" i="13"/>
  <c r="BH99" i="13" s="1"/>
  <c r="K102" i="14"/>
  <c r="DC90" i="14"/>
  <c r="DD90" i="14" s="1"/>
  <c r="DC95" i="16"/>
  <c r="DD95" i="16" s="1"/>
  <c r="CE94" i="16"/>
  <c r="BG93" i="16"/>
  <c r="BH93" i="16" s="1"/>
  <c r="AI92" i="16"/>
  <c r="AJ92" i="16" s="1"/>
  <c r="K91" i="16"/>
  <c r="DC90" i="15"/>
  <c r="DD90" i="15" s="1"/>
  <c r="CE89" i="15"/>
  <c r="AI103" i="15"/>
  <c r="K102" i="15"/>
  <c r="DC101" i="14"/>
  <c r="CE100" i="14"/>
  <c r="BG99" i="14"/>
  <c r="AI98" i="14"/>
  <c r="K97" i="14"/>
  <c r="DC96" i="13"/>
  <c r="DD96" i="13" s="1"/>
  <c r="CE95" i="13"/>
  <c r="CF95" i="13" s="1"/>
  <c r="BG94" i="13"/>
  <c r="AI93" i="13"/>
  <c r="AJ93" i="13" s="1"/>
  <c r="K101" i="13"/>
  <c r="L101" i="13" s="1"/>
  <c r="DC89" i="16"/>
  <c r="DD89" i="16" s="1"/>
  <c r="BG103" i="16"/>
  <c r="AI102" i="16"/>
  <c r="K101" i="16"/>
  <c r="L101" i="16" s="1"/>
  <c r="DC100" i="15"/>
  <c r="CE99" i="15"/>
  <c r="BG98" i="15"/>
  <c r="BH98" i="15" s="1"/>
  <c r="AI97" i="15"/>
  <c r="K96" i="15"/>
  <c r="L96" i="15" s="1"/>
  <c r="DC95" i="14"/>
  <c r="DD95" i="14" s="1"/>
  <c r="CE94" i="14"/>
  <c r="BG93" i="14"/>
  <c r="BH93" i="14" s="1"/>
  <c r="AI92" i="14"/>
  <c r="AJ92" i="14" s="1"/>
  <c r="K91" i="14"/>
  <c r="DC90" i="13"/>
  <c r="CE89" i="13"/>
  <c r="CF89" i="13" s="1"/>
  <c r="AI103" i="13"/>
  <c r="K91" i="13"/>
  <c r="DC98" i="16"/>
  <c r="BG96" i="16"/>
  <c r="BH96" i="16" s="1"/>
  <c r="K94" i="16"/>
  <c r="CE92" i="15"/>
  <c r="AI90" i="15"/>
  <c r="AJ90" i="15" s="1"/>
  <c r="CE103" i="14"/>
  <c r="AI101" i="14"/>
  <c r="AJ101" i="14" s="1"/>
  <c r="DC99" i="13"/>
  <c r="DD99" i="13" s="1"/>
  <c r="BG97" i="13"/>
  <c r="K89" i="13"/>
  <c r="L89" i="13" s="1"/>
  <c r="CE93" i="16"/>
  <c r="CF93" i="16" s="1"/>
  <c r="AI91" i="16"/>
  <c r="DC89" i="15"/>
  <c r="AI102" i="15"/>
  <c r="AJ102" i="15" s="1"/>
  <c r="DC100" i="14"/>
  <c r="BG98" i="14"/>
  <c r="K96" i="14"/>
  <c r="L96" i="14" s="1"/>
  <c r="CE94" i="13"/>
  <c r="AI92" i="13"/>
  <c r="BG102" i="16"/>
  <c r="CE98" i="15"/>
  <c r="DC94" i="14"/>
  <c r="K90" i="14"/>
  <c r="L90" i="14" s="1"/>
  <c r="K90" i="13"/>
  <c r="AI93" i="16"/>
  <c r="BG89" i="15"/>
  <c r="BH89" i="15" s="1"/>
  <c r="BG100" i="14"/>
  <c r="CE96" i="13"/>
  <c r="CF96" i="13" s="1"/>
  <c r="DC92" i="16"/>
  <c r="DD92" i="16" s="1"/>
  <c r="DC103" i="15"/>
  <c r="K99" i="15"/>
  <c r="L99" i="15" s="1"/>
  <c r="AI95" i="14"/>
  <c r="BG91" i="13"/>
  <c r="BG93" i="15"/>
  <c r="K96" i="16"/>
  <c r="CE99" i="16"/>
  <c r="AI98" i="13"/>
  <c r="DC101" i="13"/>
  <c r="DC91" i="16"/>
  <c r="CE90" i="16"/>
  <c r="BG89" i="16"/>
  <c r="BH89" i="16" s="1"/>
  <c r="K103" i="16"/>
  <c r="DC102" i="15"/>
  <c r="DD102" i="15" s="1"/>
  <c r="CE101" i="15"/>
  <c r="BG100" i="15"/>
  <c r="AI99" i="15"/>
  <c r="K98" i="15"/>
  <c r="L98" i="15" s="1"/>
  <c r="DC97" i="14"/>
  <c r="CE96" i="14"/>
  <c r="BG95" i="14"/>
  <c r="BH95" i="14" s="1"/>
  <c r="AI94" i="14"/>
  <c r="K93" i="14"/>
  <c r="DC92" i="13"/>
  <c r="DD92" i="13" s="1"/>
  <c r="CE91" i="13"/>
  <c r="BG90" i="13"/>
  <c r="BH90" i="13" s="1"/>
  <c r="AI89" i="13"/>
  <c r="DC101" i="16"/>
  <c r="CE100" i="16"/>
  <c r="BG99" i="16"/>
  <c r="BH99" i="16" s="1"/>
  <c r="AI98" i="16"/>
  <c r="K97" i="16"/>
  <c r="DC96" i="15"/>
  <c r="CE95" i="15"/>
  <c r="BG94" i="15"/>
  <c r="AI93" i="15"/>
  <c r="K92" i="15"/>
  <c r="DC91" i="14"/>
  <c r="CE90" i="14"/>
  <c r="BG89" i="14"/>
  <c r="DC102" i="13"/>
  <c r="CE101" i="13"/>
  <c r="BG100" i="13"/>
  <c r="AI99" i="13"/>
  <c r="K95" i="13"/>
  <c r="DC90" i="16"/>
  <c r="AI103" i="16"/>
  <c r="DC101" i="15"/>
  <c r="BG99" i="15"/>
  <c r="BH99" i="15" s="1"/>
  <c r="K97" i="15"/>
  <c r="CE95" i="14"/>
  <c r="AI93" i="14"/>
  <c r="DC91" i="13"/>
  <c r="BG89" i="13"/>
  <c r="DC102" i="16"/>
  <c r="BG100" i="16"/>
  <c r="K98" i="16"/>
  <c r="CE96" i="15"/>
  <c r="AI94" i="15"/>
  <c r="DC92" i="14"/>
  <c r="BG90" i="14"/>
  <c r="BH90" i="14" s="1"/>
  <c r="DC103" i="13"/>
  <c r="BG101" i="13"/>
  <c r="K92" i="13"/>
  <c r="AI101" i="16"/>
  <c r="AJ101" i="16" s="1"/>
  <c r="BG97" i="15"/>
  <c r="CE93" i="14"/>
  <c r="DC89" i="13"/>
  <c r="DC96" i="16"/>
  <c r="DD96" i="16" s="1"/>
  <c r="K92" i="16"/>
  <c r="L92" i="16" s="1"/>
  <c r="K103" i="15"/>
  <c r="L103" i="15" s="1"/>
  <c r="AI99" i="14"/>
  <c r="BG95" i="13"/>
  <c r="BH95" i="13" s="1"/>
  <c r="CE91" i="16"/>
  <c r="CE102" i="15"/>
  <c r="DC98" i="14"/>
  <c r="K94" i="14"/>
  <c r="AI90" i="13"/>
  <c r="CE89" i="14"/>
  <c r="CF89" i="14" s="1"/>
  <c r="AI92" i="15"/>
  <c r="DC95" i="15"/>
  <c r="DD95" i="15" s="1"/>
  <c r="BG98" i="16"/>
  <c r="K94" i="13"/>
  <c r="K103" i="14"/>
  <c r="CE27" i="16"/>
  <c r="W80" i="10"/>
  <c r="CM94" i="16"/>
  <c r="CM95" i="16" s="1"/>
  <c r="CM96" i="16" s="1"/>
  <c r="CM97" i="16" s="1"/>
  <c r="CM98" i="16" s="1"/>
  <c r="CM99" i="16" s="1"/>
  <c r="CM100" i="16" s="1"/>
  <c r="CM101" i="16" s="1"/>
  <c r="CM102" i="16" s="1"/>
  <c r="CM103" i="16" s="1"/>
  <c r="Z160" i="16" s="1"/>
  <c r="DK94" i="13"/>
  <c r="DK95" i="13" s="1"/>
  <c r="DK96" i="13" s="1"/>
  <c r="DK97" i="13" s="1"/>
  <c r="DK98" i="13" s="1"/>
  <c r="DK99" i="13" s="1"/>
  <c r="DK100" i="13" s="1"/>
  <c r="DK101" i="13" s="1"/>
  <c r="DK102" i="13" s="1"/>
  <c r="DK103" i="13" s="1"/>
  <c r="AA160" i="13" s="1"/>
  <c r="K27" i="16"/>
  <c r="L27" i="16" s="1"/>
  <c r="G51" i="22"/>
  <c r="G41" i="22"/>
  <c r="G48" i="22"/>
  <c r="G45" i="22"/>
  <c r="DC44" i="14"/>
  <c r="CE42" i="14"/>
  <c r="CF42" i="14" s="1"/>
  <c r="DC45" i="13"/>
  <c r="DD45" i="13" s="1"/>
  <c r="BG43" i="13"/>
  <c r="BH43" i="13" s="1"/>
  <c r="K42" i="16"/>
  <c r="AI49" i="14"/>
  <c r="K41" i="14"/>
  <c r="L41" i="14" s="1"/>
  <c r="BG41" i="16"/>
  <c r="CE51" i="13"/>
  <c r="CF51" i="13" s="1"/>
  <c r="DC53" i="14"/>
  <c r="DD53" i="14" s="1"/>
  <c r="DC42" i="13"/>
  <c r="DD42" i="13" s="1"/>
  <c r="BG40" i="13"/>
  <c r="AI47" i="14"/>
  <c r="AJ47" i="14" s="1"/>
  <c r="AO47" i="14" s="1"/>
  <c r="DC48" i="14"/>
  <c r="DD48" i="14" s="1"/>
  <c r="DC51" i="16"/>
  <c r="DC43" i="16"/>
  <c r="DD43" i="16" s="1"/>
  <c r="CE46" i="16"/>
  <c r="CF46" i="16" s="1"/>
  <c r="BG47" i="16"/>
  <c r="BH47" i="16" s="1"/>
  <c r="DC46" i="14"/>
  <c r="DD46" i="14" s="1"/>
  <c r="DC52" i="13"/>
  <c r="K52" i="16"/>
  <c r="L52" i="16" s="1"/>
  <c r="K50" i="14"/>
  <c r="L50" i="14" s="1"/>
  <c r="K42" i="14"/>
  <c r="DC41" i="16"/>
  <c r="DC49" i="13"/>
  <c r="CE43" i="14"/>
  <c r="DC51" i="13"/>
  <c r="BG51" i="13"/>
  <c r="K44" i="16"/>
  <c r="AI49" i="13"/>
  <c r="DC48" i="16"/>
  <c r="CE51" i="16"/>
  <c r="CF51" i="16" s="1"/>
  <c r="CE43" i="16"/>
  <c r="BG39" i="16"/>
  <c r="BH39" i="16" s="1"/>
  <c r="CE46" i="14"/>
  <c r="BG44" i="13"/>
  <c r="AI39" i="16"/>
  <c r="AI51" i="14"/>
  <c r="AJ51" i="14" s="1"/>
  <c r="AO51" i="14" s="1"/>
  <c r="AI44" i="13"/>
  <c r="K46" i="13"/>
  <c r="L46" i="13" s="1"/>
  <c r="AI41" i="15"/>
  <c r="AI42" i="16"/>
  <c r="AI43" i="13"/>
  <c r="AI40" i="14"/>
  <c r="AJ40" i="14" s="1"/>
  <c r="AO40" i="14" s="1"/>
  <c r="AI51" i="13"/>
  <c r="BG50" i="14"/>
  <c r="BH50" i="14" s="1"/>
  <c r="BM50" i="14" s="1"/>
  <c r="K50" i="16"/>
  <c r="L50" i="16" s="1"/>
  <c r="K46" i="14"/>
  <c r="L46" i="14" s="1"/>
  <c r="AI46" i="13"/>
  <c r="K40" i="16"/>
  <c r="L40" i="16" s="1"/>
  <c r="K47" i="13"/>
  <c r="L47" i="13" s="1"/>
  <c r="BG48" i="13"/>
  <c r="BG51" i="16"/>
  <c r="BH51" i="16" s="1"/>
  <c r="BG53" i="14"/>
  <c r="AI51" i="16"/>
  <c r="K49" i="14"/>
  <c r="BG49" i="16"/>
  <c r="DC43" i="13"/>
  <c r="DD43" i="13" s="1"/>
  <c r="W99" i="10"/>
  <c r="AB99" i="10" s="1"/>
  <c r="W95" i="10"/>
  <c r="W105" i="10"/>
  <c r="G39" i="22"/>
  <c r="G49" i="22"/>
  <c r="G42" i="22"/>
  <c r="DC40" i="16"/>
  <c r="DC42" i="14"/>
  <c r="BG47" i="14"/>
  <c r="DC40" i="13"/>
  <c r="K53" i="16"/>
  <c r="L53" i="16" s="1"/>
  <c r="AI48" i="14"/>
  <c r="AJ48" i="14" s="1"/>
  <c r="AO48" i="14" s="1"/>
  <c r="K40" i="14"/>
  <c r="CE44" i="13"/>
  <c r="CF44" i="13" s="1"/>
  <c r="CE47" i="14"/>
  <c r="CE42" i="13"/>
  <c r="CF42" i="13" s="1"/>
  <c r="K48" i="16"/>
  <c r="L48" i="16" s="1"/>
  <c r="K43" i="14"/>
  <c r="BG46" i="14"/>
  <c r="DC49" i="16"/>
  <c r="CE52" i="16"/>
  <c r="CF52" i="16" s="1"/>
  <c r="CE44" i="16"/>
  <c r="BG40" i="16"/>
  <c r="CE44" i="14"/>
  <c r="DC47" i="13"/>
  <c r="K47" i="16"/>
  <c r="L47" i="16" s="1"/>
  <c r="K53" i="14"/>
  <c r="AI46" i="14"/>
  <c r="AJ46" i="14" s="1"/>
  <c r="AO46" i="14" s="1"/>
  <c r="K39" i="14"/>
  <c r="BG50" i="16"/>
  <c r="DC50" i="14"/>
  <c r="DD50" i="14" s="1"/>
  <c r="DC44" i="13"/>
  <c r="BG48" i="14"/>
  <c r="DC46" i="13"/>
  <c r="DD46" i="13" s="1"/>
  <c r="AI48" i="16"/>
  <c r="AI41" i="13"/>
  <c r="DC46" i="16"/>
  <c r="CE49" i="16"/>
  <c r="CE41" i="16"/>
  <c r="CF41" i="16" s="1"/>
  <c r="CE40" i="14"/>
  <c r="AI49" i="16"/>
  <c r="AJ49" i="16" s="1"/>
  <c r="K39" i="16"/>
  <c r="AI43" i="14"/>
  <c r="AJ43" i="14" s="1"/>
  <c r="AO43" i="14" s="1"/>
  <c r="K52" i="13"/>
  <c r="L52" i="13" s="1"/>
  <c r="K44" i="13"/>
  <c r="AI39" i="14"/>
  <c r="AI39" i="13"/>
  <c r="AJ39" i="13" s="1"/>
  <c r="CE41" i="13"/>
  <c r="AI41" i="16"/>
  <c r="DC41" i="13"/>
  <c r="AI52" i="13"/>
  <c r="BG41" i="14"/>
  <c r="CE51" i="14"/>
  <c r="K43" i="13"/>
  <c r="DC52" i="14"/>
  <c r="AI50" i="16"/>
  <c r="BG42" i="16"/>
  <c r="BG42" i="13"/>
  <c r="K48" i="14"/>
  <c r="L48" i="14" s="1"/>
  <c r="CE45" i="13"/>
  <c r="W98" i="10"/>
  <c r="AB98" i="10" s="1"/>
  <c r="W92" i="10"/>
  <c r="AB92" i="10" s="1"/>
  <c r="W103" i="10"/>
  <c r="AB103" i="10" s="1"/>
  <c r="W96" i="10"/>
  <c r="G46" i="22"/>
  <c r="G47" i="22"/>
  <c r="G43" i="22"/>
  <c r="G44" i="22"/>
  <c r="BG52" i="16"/>
  <c r="DC40" i="14"/>
  <c r="BG44" i="14"/>
  <c r="BH44" i="14" s="1"/>
  <c r="BM44" i="14" s="1"/>
  <c r="CE52" i="13"/>
  <c r="K49" i="16"/>
  <c r="L49" i="16" s="1"/>
  <c r="AI45" i="14"/>
  <c r="AJ45" i="14" s="1"/>
  <c r="AO45" i="14" s="1"/>
  <c r="AI48" i="13"/>
  <c r="DC39" i="14"/>
  <c r="BG53" i="16"/>
  <c r="BH53" i="16" s="1"/>
  <c r="BG52" i="14"/>
  <c r="BG50" i="13"/>
  <c r="AI44" i="16"/>
  <c r="AI53" i="13"/>
  <c r="DC39" i="13"/>
  <c r="DC47" i="16"/>
  <c r="CE50" i="16"/>
  <c r="CE42" i="16"/>
  <c r="CF42" i="16" s="1"/>
  <c r="BG43" i="14"/>
  <c r="CE49" i="13"/>
  <c r="AI43" i="16"/>
  <c r="AJ43" i="16" s="1"/>
  <c r="K52" i="14"/>
  <c r="L52" i="14" s="1"/>
  <c r="K45" i="14"/>
  <c r="L45" i="14" s="1"/>
  <c r="AI50" i="13"/>
  <c r="CE49" i="14"/>
  <c r="CE39" i="13"/>
  <c r="CF39" i="13" s="1"/>
  <c r="DC45" i="14"/>
  <c r="DD45" i="14" s="1"/>
  <c r="BG45" i="14"/>
  <c r="CE48" i="13"/>
  <c r="AI47" i="16"/>
  <c r="AJ47" i="16" s="1"/>
  <c r="DC52" i="16"/>
  <c r="DC44" i="16"/>
  <c r="CE47" i="16"/>
  <c r="CF47" i="16" s="1"/>
  <c r="CE39" i="16"/>
  <c r="DC51" i="14"/>
  <c r="DC53" i="13"/>
  <c r="K46" i="16"/>
  <c r="L46" i="16" s="1"/>
  <c r="AI42" i="14"/>
  <c r="K50" i="13"/>
  <c r="L50" i="13" s="1"/>
  <c r="K42" i="13"/>
  <c r="L42" i="13" s="1"/>
  <c r="DC42" i="16"/>
  <c r="K49" i="13"/>
  <c r="L49" i="13" s="1"/>
  <c r="BG41" i="13"/>
  <c r="CE45" i="14"/>
  <c r="CE40" i="13"/>
  <c r="K51" i="13"/>
  <c r="L51" i="13" s="1"/>
  <c r="CE53" i="13"/>
  <c r="AI53" i="14"/>
  <c r="AJ53" i="14" s="1"/>
  <c r="AO53" i="14" s="1"/>
  <c r="CE50" i="13"/>
  <c r="DC48" i="13"/>
  <c r="DD48" i="13" s="1"/>
  <c r="K47" i="14"/>
  <c r="L47" i="14" s="1"/>
  <c r="BG44" i="16"/>
  <c r="CE41" i="14"/>
  <c r="CF41" i="14" s="1"/>
  <c r="AI46" i="16"/>
  <c r="AI50" i="14"/>
  <c r="AJ50" i="14" s="1"/>
  <c r="AO50" i="14" s="1"/>
  <c r="DC47" i="14"/>
  <c r="BG39" i="13"/>
  <c r="BH39" i="13" s="1"/>
  <c r="AI41" i="14"/>
  <c r="AJ41" i="14" s="1"/>
  <c r="AO41" i="14" s="1"/>
  <c r="DC49" i="14"/>
  <c r="AI52" i="16"/>
  <c r="AJ52" i="16" s="1"/>
  <c r="W106" i="10"/>
  <c r="AB106" i="10" s="1"/>
  <c r="W93" i="10"/>
  <c r="AB93" i="10" s="1"/>
  <c r="W97" i="10"/>
  <c r="W104" i="10"/>
  <c r="AB104" i="10" s="1"/>
  <c r="G50" i="22"/>
  <c r="G38" i="22"/>
  <c r="G40" i="22"/>
  <c r="G52" i="22"/>
  <c r="BG43" i="16"/>
  <c r="CE52" i="14"/>
  <c r="DC50" i="13"/>
  <c r="CE47" i="13"/>
  <c r="AI45" i="16"/>
  <c r="AI44" i="14"/>
  <c r="AI40" i="13"/>
  <c r="BG51" i="14"/>
  <c r="BG46" i="16"/>
  <c r="BG49" i="14"/>
  <c r="BG45" i="13"/>
  <c r="K41" i="16"/>
  <c r="AI45" i="13"/>
  <c r="DC53" i="16"/>
  <c r="DC45" i="16"/>
  <c r="CE48" i="16"/>
  <c r="CF48" i="16" s="1"/>
  <c r="CE40" i="16"/>
  <c r="BG40" i="14"/>
  <c r="BG52" i="13"/>
  <c r="K51" i="14"/>
  <c r="K44" i="14"/>
  <c r="AI42" i="13"/>
  <c r="CE39" i="14"/>
  <c r="BG45" i="16"/>
  <c r="CE53" i="14"/>
  <c r="CF53" i="14" s="1"/>
  <c r="BG42" i="14"/>
  <c r="BG53" i="13"/>
  <c r="BH53" i="13" s="1"/>
  <c r="K45" i="16"/>
  <c r="AI42" i="15"/>
  <c r="DC50" i="16"/>
  <c r="CE53" i="16"/>
  <c r="CF53" i="16" s="1"/>
  <c r="CE45" i="16"/>
  <c r="BG48" i="16"/>
  <c r="BH48" i="16" s="1"/>
  <c r="CE48" i="14"/>
  <c r="DC43" i="14"/>
  <c r="BG47" i="13"/>
  <c r="AI40" i="16"/>
  <c r="AI47" i="13"/>
  <c r="K48" i="13"/>
  <c r="L48" i="13" s="1"/>
  <c r="K40" i="13"/>
  <c r="L40" i="13" s="1"/>
  <c r="CE43" i="13"/>
  <c r="K45" i="13"/>
  <c r="K51" i="16"/>
  <c r="L51" i="16" s="1"/>
  <c r="BG46" i="13"/>
  <c r="K43" i="16"/>
  <c r="L43" i="16" s="1"/>
  <c r="K41" i="13"/>
  <c r="BG49" i="13"/>
  <c r="AI52" i="14"/>
  <c r="AJ52" i="14" s="1"/>
  <c r="AO52" i="14" s="1"/>
  <c r="AI40" i="15"/>
  <c r="CE46" i="13"/>
  <c r="K53" i="13"/>
  <c r="BG39" i="14"/>
  <c r="BH39" i="14" s="1"/>
  <c r="BM39" i="14" s="1"/>
  <c r="K39" i="13"/>
  <c r="CE50" i="14"/>
  <c r="CF50" i="14" s="1"/>
  <c r="AI53" i="16"/>
  <c r="DC39" i="16"/>
  <c r="DD39" i="16" s="1"/>
  <c r="DC41" i="14"/>
  <c r="DD41" i="14" s="1"/>
  <c r="W101" i="10"/>
  <c r="W100" i="10"/>
  <c r="AB100" i="10" s="1"/>
  <c r="W102" i="10"/>
  <c r="AB102" i="10" s="1"/>
  <c r="W94" i="10"/>
  <c r="I22" i="23"/>
  <c r="CM94" i="14"/>
  <c r="CM95" i="14" s="1"/>
  <c r="CM96" i="14" s="1"/>
  <c r="CM97" i="14" s="1"/>
  <c r="CM98" i="14" s="1"/>
  <c r="CM99" i="14" s="1"/>
  <c r="CM100" i="14" s="1"/>
  <c r="CM101" i="14" s="1"/>
  <c r="CM102" i="14" s="1"/>
  <c r="CM103" i="14" s="1"/>
  <c r="Z160" i="14" s="1"/>
  <c r="S94" i="13"/>
  <c r="S95" i="13" s="1"/>
  <c r="S96" i="13" s="1"/>
  <c r="S97" i="13" s="1"/>
  <c r="S98" i="13" s="1"/>
  <c r="S99" i="13" s="1"/>
  <c r="S100" i="13" s="1"/>
  <c r="S101" i="13" s="1"/>
  <c r="S102" i="13" s="1"/>
  <c r="S103" i="13" s="1"/>
  <c r="W160" i="13" s="1"/>
  <c r="BO94" i="13"/>
  <c r="BO95" i="13" s="1"/>
  <c r="BO96" i="13" s="1"/>
  <c r="BO97" i="13" s="1"/>
  <c r="BO98" i="13" s="1"/>
  <c r="BO99" i="13" s="1"/>
  <c r="BO100" i="13" s="1"/>
  <c r="BO101" i="13" s="1"/>
  <c r="BO102" i="13" s="1"/>
  <c r="BO103" i="13" s="1"/>
  <c r="Y160" i="13" s="1"/>
  <c r="CM94" i="15"/>
  <c r="CM95" i="15" s="1"/>
  <c r="CM96" i="15" s="1"/>
  <c r="CM97" i="15" s="1"/>
  <c r="CM98" i="15" s="1"/>
  <c r="CM99" i="15" s="1"/>
  <c r="CM100" i="15" s="1"/>
  <c r="CM101" i="15" s="1"/>
  <c r="CM102" i="15" s="1"/>
  <c r="CM103" i="15" s="1"/>
  <c r="Z160" i="15" s="1"/>
  <c r="DK94" i="16"/>
  <c r="DK95" i="16" s="1"/>
  <c r="DK96" i="16" s="1"/>
  <c r="DK97" i="16" s="1"/>
  <c r="DK98" i="16" s="1"/>
  <c r="DK99" i="16" s="1"/>
  <c r="DK100" i="16" s="1"/>
  <c r="DK101" i="16" s="1"/>
  <c r="DK102" i="16" s="1"/>
  <c r="DK103" i="16" s="1"/>
  <c r="AA160" i="16" s="1"/>
  <c r="DK94" i="15"/>
  <c r="DK95" i="15" s="1"/>
  <c r="DK96" i="15" s="1"/>
  <c r="DK97" i="15" s="1"/>
  <c r="DK98" i="15" s="1"/>
  <c r="DK99" i="15" s="1"/>
  <c r="DK100" i="15" s="1"/>
  <c r="DK101" i="15" s="1"/>
  <c r="DK102" i="15" s="1"/>
  <c r="DK103" i="15" s="1"/>
  <c r="AA160" i="15" s="1"/>
  <c r="AQ94" i="15"/>
  <c r="AQ95" i="15" s="1"/>
  <c r="AQ96" i="15" s="1"/>
  <c r="AQ97" i="15" s="1"/>
  <c r="AQ98" i="15" s="1"/>
  <c r="AQ99" i="15" s="1"/>
  <c r="AQ100" i="15" s="1"/>
  <c r="AQ101" i="15" s="1"/>
  <c r="AQ102" i="15" s="1"/>
  <c r="AQ103" i="15" s="1"/>
  <c r="X160" i="15" s="1"/>
  <c r="S97" i="16"/>
  <c r="S98" i="16" s="1"/>
  <c r="S99" i="16" s="1"/>
  <c r="S100" i="16" s="1"/>
  <c r="S101" i="16" s="1"/>
  <c r="S102" i="16" s="1"/>
  <c r="S103" i="16" s="1"/>
  <c r="W160" i="16" s="1"/>
  <c r="AQ94" i="14"/>
  <c r="AQ95" i="14" s="1"/>
  <c r="AQ96" i="14" s="1"/>
  <c r="AQ97" i="14" s="1"/>
  <c r="AQ98" i="14" s="1"/>
  <c r="AQ99" i="14" s="1"/>
  <c r="AQ100" i="14" s="1"/>
  <c r="AQ101" i="14" s="1"/>
  <c r="AQ102" i="14" s="1"/>
  <c r="AQ103" i="14" s="1"/>
  <c r="X160" i="14" s="1"/>
  <c r="S94" i="14"/>
  <c r="S95" i="14" s="1"/>
  <c r="S96" i="14" s="1"/>
  <c r="S97" i="14" s="1"/>
  <c r="S98" i="14" s="1"/>
  <c r="S99" i="14" s="1"/>
  <c r="S100" i="14" s="1"/>
  <c r="S101" i="14" s="1"/>
  <c r="S102" i="14" s="1"/>
  <c r="S103" i="14" s="1"/>
  <c r="W160" i="14" s="1"/>
  <c r="S94" i="15"/>
  <c r="S95" i="15" s="1"/>
  <c r="S96" i="15" s="1"/>
  <c r="S97" i="15" s="1"/>
  <c r="S98" i="15" s="1"/>
  <c r="S99" i="15" s="1"/>
  <c r="S100" i="15" s="1"/>
  <c r="S101" i="15" s="1"/>
  <c r="S102" i="15" s="1"/>
  <c r="S103" i="15" s="1"/>
  <c r="W160" i="15" s="1"/>
  <c r="CM94" i="13"/>
  <c r="CM95" i="13" s="1"/>
  <c r="CM96" i="13" s="1"/>
  <c r="CM97" i="13" s="1"/>
  <c r="CM98" i="13" s="1"/>
  <c r="CM99" i="13" s="1"/>
  <c r="CM100" i="13" s="1"/>
  <c r="CM101" i="13" s="1"/>
  <c r="CM102" i="13" s="1"/>
  <c r="CM103" i="13" s="1"/>
  <c r="Z160" i="13" s="1"/>
  <c r="DK94" i="14"/>
  <c r="DK95" i="14" s="1"/>
  <c r="DK96" i="14" s="1"/>
  <c r="DK97" i="14" s="1"/>
  <c r="DK98" i="14" s="1"/>
  <c r="DK99" i="14" s="1"/>
  <c r="DK100" i="14" s="1"/>
  <c r="DK101" i="14" s="1"/>
  <c r="DK102" i="14" s="1"/>
  <c r="DK103" i="14" s="1"/>
  <c r="AA160" i="14" s="1"/>
  <c r="BO94" i="16"/>
  <c r="BO95" i="16" s="1"/>
  <c r="BO96" i="16" s="1"/>
  <c r="BO97" i="16" s="1"/>
  <c r="BO98" i="16" s="1"/>
  <c r="BO99" i="16" s="1"/>
  <c r="BO100" i="16" s="1"/>
  <c r="BO101" i="16" s="1"/>
  <c r="BO102" i="16" s="1"/>
  <c r="BO103" i="16" s="1"/>
  <c r="Y160" i="16" s="1"/>
  <c r="AE19" i="10"/>
  <c r="AE20" i="10" s="1"/>
  <c r="AE21" i="10" s="1"/>
  <c r="AE22" i="10" s="1"/>
  <c r="AE23" i="10" s="1"/>
  <c r="AE24" i="10" s="1"/>
  <c r="AE25" i="10" s="1"/>
  <c r="AE26" i="10" s="1"/>
  <c r="AE27" i="10" s="1"/>
  <c r="AE28" i="10" s="1"/>
  <c r="J6" i="11" s="1"/>
  <c r="AQ94" i="16"/>
  <c r="AQ95" i="16" s="1"/>
  <c r="AQ96" i="16" s="1"/>
  <c r="AQ97" i="16" s="1"/>
  <c r="AQ98" i="16" s="1"/>
  <c r="AQ99" i="16" s="1"/>
  <c r="AQ100" i="16" s="1"/>
  <c r="AQ101" i="16" s="1"/>
  <c r="AQ102" i="16" s="1"/>
  <c r="AQ103" i="16" s="1"/>
  <c r="X160" i="16" s="1"/>
  <c r="BO94" i="14"/>
  <c r="BO95" i="14" s="1"/>
  <c r="BO96" i="14" s="1"/>
  <c r="BO97" i="14" s="1"/>
  <c r="BO98" i="14" s="1"/>
  <c r="BO99" i="14" s="1"/>
  <c r="BO100" i="14" s="1"/>
  <c r="BO101" i="14" s="1"/>
  <c r="BO102" i="14" s="1"/>
  <c r="BO103" i="14" s="1"/>
  <c r="Y160" i="14" s="1"/>
  <c r="AQ94" i="13"/>
  <c r="AQ95" i="13" s="1"/>
  <c r="AQ96" i="13" s="1"/>
  <c r="AQ97" i="13" s="1"/>
  <c r="AQ98" i="13" s="1"/>
  <c r="AQ99" i="13" s="1"/>
  <c r="AQ100" i="13" s="1"/>
  <c r="AQ101" i="13" s="1"/>
  <c r="AQ102" i="13" s="1"/>
  <c r="AQ103" i="13" s="1"/>
  <c r="X160" i="13" s="1"/>
  <c r="BO94" i="15"/>
  <c r="BO95" i="15" s="1"/>
  <c r="BO96" i="15" s="1"/>
  <c r="BO97" i="15" s="1"/>
  <c r="BO98" i="15" s="1"/>
  <c r="BO99" i="15" s="1"/>
  <c r="BO100" i="15" s="1"/>
  <c r="BO101" i="15" s="1"/>
  <c r="BO102" i="15" s="1"/>
  <c r="BO103" i="15" s="1"/>
  <c r="Y160" i="15" s="1"/>
  <c r="BG27" i="13"/>
  <c r="AI27" i="14"/>
  <c r="DC27" i="16"/>
  <c r="DD27" i="16" s="1"/>
  <c r="X67" i="10"/>
  <c r="F63" i="22" s="1"/>
  <c r="L26" i="16"/>
  <c r="DD23" i="15"/>
  <c r="DD16" i="13"/>
  <c r="X69" i="10"/>
  <c r="F65" i="22" s="1"/>
  <c r="L21" i="15"/>
  <c r="CF18" i="16"/>
  <c r="AJ21" i="16"/>
  <c r="DD23" i="14"/>
  <c r="CF16" i="13"/>
  <c r="CF26" i="14"/>
  <c r="CK26" i="14" s="1"/>
  <c r="L23" i="14"/>
  <c r="AJ16" i="15"/>
  <c r="L15" i="13"/>
  <c r="L20" i="16"/>
  <c r="BH26" i="15"/>
  <c r="AJ17" i="14"/>
  <c r="AO17" i="14" s="1"/>
  <c r="BH26" i="16"/>
  <c r="DD18" i="14"/>
  <c r="BH14" i="13"/>
  <c r="BG27" i="16"/>
  <c r="DD13" i="14"/>
  <c r="BH24" i="15"/>
  <c r="CF14" i="13"/>
  <c r="CF13" i="14"/>
  <c r="CK13" i="14" s="1"/>
  <c r="BH15" i="13"/>
  <c r="BH17" i="15"/>
  <c r="BH25" i="16"/>
  <c r="CF21" i="14"/>
  <c r="CK21" i="14" s="1"/>
  <c r="AJ26" i="16"/>
  <c r="BH23" i="14"/>
  <c r="DD17" i="15"/>
  <c r="DD21" i="15"/>
  <c r="CF18" i="15"/>
  <c r="L26" i="14"/>
  <c r="DD24" i="16"/>
  <c r="X71" i="10"/>
  <c r="F67" i="22" s="1"/>
  <c r="BH19" i="13"/>
  <c r="AJ20" i="14"/>
  <c r="AO20" i="14" s="1"/>
  <c r="X72" i="10"/>
  <c r="F68" i="22" s="1"/>
  <c r="DD16" i="16"/>
  <c r="L22" i="16"/>
  <c r="AJ21" i="15"/>
  <c r="DD20" i="14"/>
  <c r="CF19" i="16"/>
  <c r="BH22" i="15"/>
  <c r="CF21" i="13"/>
  <c r="CF24" i="14"/>
  <c r="CK24" i="14" s="1"/>
  <c r="X75" i="10"/>
  <c r="F71" i="22" s="1"/>
  <c r="X73" i="10"/>
  <c r="F69" i="22" s="1"/>
  <c r="BH21" i="13"/>
  <c r="L16" i="16"/>
  <c r="L18" i="13"/>
  <c r="BH17" i="16"/>
  <c r="L20" i="15"/>
  <c r="CF24" i="16"/>
  <c r="L24" i="16"/>
  <c r="CF26" i="16"/>
  <c r="AJ20" i="13"/>
  <c r="BH24" i="14"/>
  <c r="AJ14" i="16"/>
  <c r="L17" i="13"/>
  <c r="L14" i="16"/>
  <c r="CF22" i="14"/>
  <c r="CK22" i="14" s="1"/>
  <c r="DD20" i="16"/>
  <c r="AJ13" i="15"/>
  <c r="L15" i="16"/>
  <c r="DD22" i="13"/>
  <c r="AJ18" i="15"/>
  <c r="AJ16" i="16"/>
  <c r="DD19" i="14"/>
  <c r="CF25" i="16"/>
  <c r="L13" i="15"/>
  <c r="L17" i="16"/>
  <c r="DD23" i="13"/>
  <c r="DD18" i="16"/>
  <c r="AJ25" i="13"/>
  <c r="L17" i="15"/>
  <c r="CF14" i="14"/>
  <c r="CK14" i="14" s="1"/>
  <c r="CF16" i="16"/>
  <c r="CF25" i="15"/>
  <c r="CF15" i="15"/>
  <c r="DD24" i="15"/>
  <c r="AE40" i="10"/>
  <c r="AE41" i="10" s="1"/>
  <c r="AE42" i="10" s="1"/>
  <c r="AE43" i="10" s="1"/>
  <c r="AE44" i="10" s="1"/>
  <c r="AE45" i="10" s="1"/>
  <c r="AE46" i="10" s="1"/>
  <c r="AE47" i="10" s="1"/>
  <c r="AE48" i="10" s="1"/>
  <c r="AE49" i="10" s="1"/>
  <c r="AE50" i="10" s="1"/>
  <c r="AE51" i="10" s="1"/>
  <c r="AE52" i="10" s="1"/>
  <c r="AE53" i="10" s="1"/>
  <c r="AE54" i="10" s="1"/>
  <c r="K6" i="11" s="1"/>
  <c r="AJ19" i="14" l="1"/>
  <c r="AO19" i="14" s="1"/>
  <c r="CF25" i="13"/>
  <c r="X76" i="10"/>
  <c r="F72" i="22" s="1"/>
  <c r="BH21" i="15"/>
  <c r="DD25" i="16"/>
  <c r="L24" i="15"/>
  <c r="BH19" i="14"/>
  <c r="L15" i="14"/>
  <c r="L23" i="13"/>
  <c r="BH20" i="13"/>
  <c r="CF18" i="14"/>
  <c r="CK18" i="14" s="1"/>
  <c r="AJ16" i="14"/>
  <c r="AO16" i="14" s="1"/>
  <c r="AJ24" i="14"/>
  <c r="AO24" i="14" s="1"/>
  <c r="L14" i="13"/>
  <c r="AJ20" i="16"/>
  <c r="AJ19" i="15"/>
  <c r="CF26" i="15"/>
  <c r="CF24" i="15"/>
  <c r="AJ13" i="16"/>
  <c r="CF16" i="14"/>
  <c r="CK16" i="14" s="1"/>
  <c r="CF14" i="16"/>
  <c r="BH16" i="15"/>
  <c r="BH16" i="14"/>
  <c r="DD15" i="14"/>
  <c r="DD21" i="14"/>
  <c r="L14" i="15"/>
  <c r="L19" i="14"/>
  <c r="CF21" i="16"/>
  <c r="CF15" i="16"/>
  <c r="L26" i="15"/>
  <c r="L13" i="14"/>
  <c r="DD17" i="16"/>
  <c r="AJ22" i="13"/>
  <c r="BH15" i="14"/>
  <c r="CF20" i="15"/>
  <c r="AJ22" i="15"/>
  <c r="BH19" i="16"/>
  <c r="BH14" i="14"/>
  <c r="AJ17" i="15"/>
  <c r="CF17" i="15"/>
  <c r="AJ15" i="14"/>
  <c r="AO15" i="14" s="1"/>
  <c r="BH14" i="16"/>
  <c r="BH13" i="16"/>
  <c r="L13" i="16"/>
  <c r="CF15" i="14"/>
  <c r="CK15" i="14" s="1"/>
  <c r="BH25" i="15"/>
  <c r="X70" i="10"/>
  <c r="F66" i="22" s="1"/>
  <c r="CF19" i="15"/>
  <c r="AJ24" i="15"/>
  <c r="AJ17" i="16"/>
  <c r="DD17" i="13"/>
  <c r="BH25" i="13"/>
  <c r="X79" i="10"/>
  <c r="F75" i="22" s="1"/>
  <c r="CF20" i="16"/>
  <c r="DD13" i="15"/>
  <c r="L19" i="16"/>
  <c r="CF16" i="15"/>
  <c r="CF17" i="14"/>
  <c r="CK17" i="14" s="1"/>
  <c r="CF19" i="14"/>
  <c r="CK19" i="14" s="1"/>
  <c r="CF22" i="16"/>
  <c r="AJ20" i="15"/>
  <c r="CF21" i="15"/>
  <c r="BH22" i="13"/>
  <c r="L15" i="15"/>
  <c r="AJ16" i="13"/>
  <c r="AJ18" i="14"/>
  <c r="AO18" i="14" s="1"/>
  <c r="BH23" i="15"/>
  <c r="X66" i="10"/>
  <c r="DD25" i="14"/>
  <c r="CF98" i="13"/>
  <c r="AJ23" i="15"/>
  <c r="BH95" i="15"/>
  <c r="AJ94" i="13"/>
  <c r="AJ101" i="13"/>
  <c r="BH95" i="16"/>
  <c r="L91" i="15"/>
  <c r="BH97" i="16"/>
  <c r="DD98" i="13"/>
  <c r="F62" i="22"/>
  <c r="CF23" i="13"/>
  <c r="L16" i="14"/>
  <c r="AJ13" i="13"/>
  <c r="X68" i="10"/>
  <c r="AB68" i="10"/>
  <c r="AJ101" i="15"/>
  <c r="DD102" i="13"/>
  <c r="L97" i="13"/>
  <c r="CF93" i="15"/>
  <c r="X97" i="10"/>
  <c r="AB97" i="10"/>
  <c r="X78" i="10"/>
  <c r="AB78" i="10"/>
  <c r="X94" i="10"/>
  <c r="AB94" i="10"/>
  <c r="X105" i="10"/>
  <c r="AB105" i="10"/>
  <c r="AJ14" i="14"/>
  <c r="AO14" i="14" s="1"/>
  <c r="AJ21" i="13"/>
  <c r="BH99" i="14"/>
  <c r="AJ92" i="13"/>
  <c r="CF95" i="16"/>
  <c r="L98" i="16"/>
  <c r="CF102" i="16"/>
  <c r="AJ90" i="14"/>
  <c r="L96" i="13"/>
  <c r="BH91" i="15"/>
  <c r="X95" i="10"/>
  <c r="AB95" i="10"/>
  <c r="X80" i="10"/>
  <c r="AB80" i="10"/>
  <c r="X101" i="10"/>
  <c r="AB101" i="10"/>
  <c r="DD100" i="15"/>
  <c r="L96" i="16"/>
  <c r="AJ97" i="14"/>
  <c r="BH102" i="13"/>
  <c r="L94" i="16"/>
  <c r="X96" i="10"/>
  <c r="AB96" i="10"/>
  <c r="X77" i="10"/>
  <c r="AB77" i="10"/>
  <c r="BH16" i="16"/>
  <c r="AJ17" i="13"/>
  <c r="K45" i="15"/>
  <c r="L45" i="15" s="1"/>
  <c r="CE45" i="15"/>
  <c r="AI47" i="15"/>
  <c r="AJ47" i="15" s="1"/>
  <c r="DC40" i="15"/>
  <c r="DD40" i="15" s="1"/>
  <c r="AI50" i="15"/>
  <c r="K48" i="15"/>
  <c r="CE41" i="15"/>
  <c r="CF41" i="15" s="1"/>
  <c r="CE44" i="15"/>
  <c r="BG44" i="15"/>
  <c r="K51" i="15"/>
  <c r="L51" i="15" s="1"/>
  <c r="AI44" i="15"/>
  <c r="AJ44" i="15" s="1"/>
  <c r="K44" i="15"/>
  <c r="L44" i="15" s="1"/>
  <c r="K49" i="15"/>
  <c r="DC49" i="15"/>
  <c r="BG14" i="15"/>
  <c r="K19" i="15"/>
  <c r="BG13" i="15"/>
  <c r="CE23" i="15"/>
  <c r="AI26" i="15"/>
  <c r="K25" i="15"/>
  <c r="L25" i="15" s="1"/>
  <c r="BG27" i="15"/>
  <c r="AI25" i="15"/>
  <c r="DC14" i="15"/>
  <c r="CE22" i="15"/>
  <c r="BG15" i="15"/>
  <c r="DC20" i="15"/>
  <c r="DD20" i="15" s="1"/>
  <c r="DC19" i="15"/>
  <c r="DD19" i="15" s="1"/>
  <c r="AI46" i="15"/>
  <c r="AJ46" i="15" s="1"/>
  <c r="CE52" i="15"/>
  <c r="CF52" i="15" s="1"/>
  <c r="CE39" i="15"/>
  <c r="CF39" i="15" s="1"/>
  <c r="BG53" i="15"/>
  <c r="BH53" i="15" s="1"/>
  <c r="AI39" i="15"/>
  <c r="CE48" i="15"/>
  <c r="DC50" i="15"/>
  <c r="BG49" i="15"/>
  <c r="K39" i="15"/>
  <c r="BG39" i="15"/>
  <c r="BH39" i="15" s="1"/>
  <c r="CF95" i="15"/>
  <c r="L95" i="15"/>
  <c r="AI53" i="15"/>
  <c r="BG50" i="15"/>
  <c r="BG47" i="15"/>
  <c r="K53" i="15"/>
  <c r="K43" i="15"/>
  <c r="L43" i="15" s="1"/>
  <c r="DC45" i="15"/>
  <c r="K41" i="15"/>
  <c r="L41" i="15" s="1"/>
  <c r="BG46" i="15"/>
  <c r="DC47" i="15"/>
  <c r="CE49" i="15"/>
  <c r="CF49" i="15" s="1"/>
  <c r="AI43" i="15"/>
  <c r="K50" i="15"/>
  <c r="L50" i="15" s="1"/>
  <c r="BG48" i="15"/>
  <c r="CE42" i="15"/>
  <c r="DC46" i="15"/>
  <c r="BG40" i="15"/>
  <c r="CE50" i="15"/>
  <c r="CE46" i="15"/>
  <c r="BG52" i="15"/>
  <c r="AI45" i="15"/>
  <c r="K46" i="15"/>
  <c r="DC44" i="15"/>
  <c r="DD44" i="15" s="1"/>
  <c r="K47" i="15"/>
  <c r="L47" i="15" s="1"/>
  <c r="BG43" i="15"/>
  <c r="K42" i="15"/>
  <c r="DC52" i="15"/>
  <c r="CE51" i="15"/>
  <c r="BG45" i="15"/>
  <c r="AI48" i="15"/>
  <c r="BG51" i="15"/>
  <c r="DC42" i="15"/>
  <c r="DD42" i="15" s="1"/>
  <c r="K40" i="15"/>
  <c r="BG41" i="15"/>
  <c r="DC39" i="15"/>
  <c r="CE47" i="15"/>
  <c r="AI49" i="15"/>
  <c r="AJ49" i="15" s="1"/>
  <c r="CE40" i="15"/>
  <c r="DC41" i="15"/>
  <c r="AI52" i="15"/>
  <c r="DC43" i="15"/>
  <c r="DD43" i="15" s="1"/>
  <c r="DC51" i="15"/>
  <c r="DD51" i="15" s="1"/>
  <c r="AI51" i="15"/>
  <c r="AJ51" i="15" s="1"/>
  <c r="BG42" i="15"/>
  <c r="DC48" i="15"/>
  <c r="DC53" i="15"/>
  <c r="K52" i="15"/>
  <c r="CE43" i="15"/>
  <c r="CE53" i="15"/>
  <c r="DC25" i="15"/>
  <c r="DD25" i="15" s="1"/>
  <c r="DC26" i="15"/>
  <c r="K16" i="15"/>
  <c r="L16" i="15" s="1"/>
  <c r="BG18" i="15"/>
  <c r="AI15" i="15"/>
  <c r="BG19" i="15"/>
  <c r="AI14" i="15"/>
  <c r="DC15" i="15"/>
  <c r="DD15" i="15" s="1"/>
  <c r="CE14" i="15"/>
  <c r="BG20" i="15"/>
  <c r="CE13" i="15"/>
  <c r="DC18" i="15"/>
  <c r="AJ26" i="13"/>
  <c r="AJ23" i="13"/>
  <c r="CF93" i="13"/>
  <c r="DD24" i="13"/>
  <c r="L16" i="13"/>
  <c r="AJ23" i="14"/>
  <c r="AO23" i="14" s="1"/>
  <c r="L19" i="15"/>
  <c r="L14" i="14"/>
  <c r="DD16" i="14"/>
  <c r="DD24" i="14"/>
  <c r="DD25" i="13"/>
  <c r="L20" i="13"/>
  <c r="AJ21" i="14"/>
  <c r="AO21" i="14" s="1"/>
  <c r="DD17" i="14"/>
  <c r="DD20" i="13"/>
  <c r="AJ26" i="14"/>
  <c r="AO26" i="14" s="1"/>
  <c r="DD22" i="14"/>
  <c r="CF25" i="14"/>
  <c r="CK25" i="14" s="1"/>
  <c r="DD26" i="16"/>
  <c r="BH24" i="16"/>
  <c r="L17" i="14"/>
  <c r="L22" i="13"/>
  <c r="X74" i="10"/>
  <c r="F70" i="22" s="1"/>
  <c r="L19" i="13"/>
  <c r="BH24" i="13"/>
  <c r="CF23" i="16"/>
  <c r="AJ24" i="16"/>
  <c r="CF19" i="13"/>
  <c r="BH13" i="13"/>
  <c r="BH22" i="14"/>
  <c r="DD14" i="13"/>
  <c r="AJ15" i="16"/>
  <c r="BH18" i="14"/>
  <c r="AJ18" i="13"/>
  <c r="BH22" i="16"/>
  <c r="AJ19" i="13"/>
  <c r="AJ25" i="16"/>
  <c r="AJ14" i="13"/>
  <c r="AJ19" i="16"/>
  <c r="BH23" i="16"/>
  <c r="AJ23" i="16"/>
  <c r="BH20" i="14"/>
  <c r="BH17" i="14"/>
  <c r="CF26" i="13"/>
  <c r="L94" i="14"/>
  <c r="BH91" i="16"/>
  <c r="BH91" i="14"/>
  <c r="AJ97" i="15"/>
  <c r="CF96" i="16"/>
  <c r="BH97" i="14"/>
  <c r="CF91" i="15"/>
  <c r="L95" i="13"/>
  <c r="L100" i="16"/>
  <c r="DD100" i="13"/>
  <c r="L94" i="15"/>
  <c r="CF90" i="15"/>
  <c r="AJ97" i="16"/>
  <c r="DD91" i="13"/>
  <c r="AJ97" i="13"/>
  <c r="AJ96" i="13"/>
  <c r="L99" i="14"/>
  <c r="AJ95" i="13"/>
  <c r="DD92" i="15"/>
  <c r="CF90" i="13"/>
  <c r="BH93" i="15"/>
  <c r="L89" i="15"/>
  <c r="DD91" i="15"/>
  <c r="AJ94" i="16"/>
  <c r="CF92" i="15"/>
  <c r="BH89" i="13"/>
  <c r="L91" i="16"/>
  <c r="BH102" i="16"/>
  <c r="BH92" i="15"/>
  <c r="CF99" i="13"/>
  <c r="L93" i="13"/>
  <c r="BH101" i="14"/>
  <c r="L102" i="15"/>
  <c r="BH90" i="15"/>
  <c r="AJ96" i="15"/>
  <c r="BH100" i="14"/>
  <c r="CF97" i="16"/>
  <c r="DD91" i="14"/>
  <c r="DD101" i="13"/>
  <c r="AJ98" i="15"/>
  <c r="CF97" i="14"/>
  <c r="L92" i="15"/>
  <c r="CF94" i="13"/>
  <c r="DD97" i="15"/>
  <c r="CF98" i="16"/>
  <c r="CF98" i="14"/>
  <c r="CF100" i="14"/>
  <c r="AJ99" i="14"/>
  <c r="L90" i="15"/>
  <c r="L97" i="15"/>
  <c r="BH94" i="13"/>
  <c r="CF99" i="15"/>
  <c r="L90" i="13"/>
  <c r="AJ98" i="16"/>
  <c r="DD100" i="16"/>
  <c r="CF97" i="13"/>
  <c r="CF27" i="16"/>
  <c r="AJ100" i="13"/>
  <c r="L100" i="15"/>
  <c r="DD90" i="16"/>
  <c r="CF96" i="15"/>
  <c r="BH92" i="13"/>
  <c r="CF97" i="15"/>
  <c r="DD91" i="16"/>
  <c r="DD100" i="14"/>
  <c r="AJ94" i="14"/>
  <c r="BH98" i="14"/>
  <c r="AJ95" i="14"/>
  <c r="BH94" i="14"/>
  <c r="L93" i="14"/>
  <c r="CF90" i="14"/>
  <c r="AJ98" i="14"/>
  <c r="AJ96" i="14"/>
  <c r="CF101" i="14"/>
  <c r="BH103" i="14"/>
  <c r="DD95" i="13"/>
  <c r="AJ89" i="13"/>
  <c r="L102" i="13"/>
  <c r="CF101" i="13"/>
  <c r="AJ90" i="13"/>
  <c r="CF99" i="16"/>
  <c r="CF101" i="15"/>
  <c r="L91" i="13"/>
  <c r="BH90" i="16"/>
  <c r="AJ96" i="16"/>
  <c r="L91" i="14"/>
  <c r="CF90" i="16"/>
  <c r="AJ100" i="15"/>
  <c r="L93" i="15"/>
  <c r="AJ91" i="16"/>
  <c r="DD97" i="14"/>
  <c r="BH94" i="15"/>
  <c r="BH98" i="16"/>
  <c r="DD93" i="16"/>
  <c r="CF91" i="16"/>
  <c r="AJ91" i="14"/>
  <c r="CF94" i="15"/>
  <c r="AJ98" i="13"/>
  <c r="AJ94" i="15"/>
  <c r="BH100" i="13"/>
  <c r="AJ92" i="15"/>
  <c r="AJ99" i="13"/>
  <c r="DD98" i="14"/>
  <c r="BH94" i="16"/>
  <c r="L101" i="14"/>
  <c r="AJ89" i="14"/>
  <c r="CF92" i="13"/>
  <c r="AJ99" i="15"/>
  <c r="DD96" i="15"/>
  <c r="DD92" i="14"/>
  <c r="DD93" i="15"/>
  <c r="BH92" i="16"/>
  <c r="CF99" i="14"/>
  <c r="L98" i="14"/>
  <c r="L102" i="14"/>
  <c r="CF100" i="16"/>
  <c r="L103" i="14"/>
  <c r="CF91" i="13"/>
  <c r="DD94" i="15"/>
  <c r="DD101" i="15"/>
  <c r="AJ93" i="14"/>
  <c r="L92" i="13"/>
  <c r="DD89" i="13"/>
  <c r="DD94" i="13"/>
  <c r="BH102" i="15"/>
  <c r="L98" i="13"/>
  <c r="DD94" i="14"/>
  <c r="L100" i="14"/>
  <c r="BH100" i="16"/>
  <c r="L100" i="13"/>
  <c r="BH100" i="15"/>
  <c r="AJ89" i="15"/>
  <c r="BH101" i="13"/>
  <c r="BH96" i="15"/>
  <c r="BH97" i="15"/>
  <c r="BH89" i="14"/>
  <c r="AJ102" i="14"/>
  <c r="BH98" i="13"/>
  <c r="DD102" i="14"/>
  <c r="BH91" i="13"/>
  <c r="AJ91" i="13"/>
  <c r="L97" i="14"/>
  <c r="AJ100" i="16"/>
  <c r="BH92" i="14"/>
  <c r="CF95" i="14"/>
  <c r="BH102" i="14"/>
  <c r="DD94" i="16"/>
  <c r="DD101" i="14"/>
  <c r="DD90" i="13"/>
  <c r="DD89" i="15"/>
  <c r="CF98" i="15"/>
  <c r="DD99" i="14"/>
  <c r="L92" i="14"/>
  <c r="CF96" i="14"/>
  <c r="DD101" i="16"/>
  <c r="BH96" i="14"/>
  <c r="AJ102" i="16"/>
  <c r="DD98" i="16"/>
  <c r="AJ93" i="16"/>
  <c r="AJ91" i="15"/>
  <c r="BH101" i="15"/>
  <c r="BH97" i="13"/>
  <c r="L97" i="16"/>
  <c r="AJ93" i="15"/>
  <c r="DD102" i="16"/>
  <c r="CF93" i="14"/>
  <c r="CF102" i="15"/>
  <c r="CF94" i="14"/>
  <c r="CF92" i="14"/>
  <c r="L93" i="16"/>
  <c r="BH96" i="13"/>
  <c r="AJ95" i="16"/>
  <c r="L101" i="15"/>
  <c r="BH93" i="13"/>
  <c r="DD99" i="16"/>
  <c r="CF92" i="16"/>
  <c r="AJ99" i="16"/>
  <c r="AJ102" i="13"/>
  <c r="L95" i="14"/>
  <c r="DD97" i="13"/>
  <c r="AJ100" i="14"/>
  <c r="L94" i="13"/>
  <c r="DD97" i="16"/>
  <c r="CF100" i="15"/>
  <c r="CF94" i="16"/>
  <c r="CF100" i="13"/>
  <c r="CF91" i="14"/>
  <c r="AJ48" i="13"/>
  <c r="X98" i="10"/>
  <c r="G68" i="22" s="1"/>
  <c r="AJ50" i="16"/>
  <c r="L53" i="14"/>
  <c r="L42" i="14"/>
  <c r="CF103" i="16"/>
  <c r="CF103" i="15"/>
  <c r="BH52" i="16"/>
  <c r="AJ44" i="16"/>
  <c r="DD51" i="13"/>
  <c r="AJ45" i="16"/>
  <c r="L45" i="13"/>
  <c r="DD103" i="14"/>
  <c r="DD42" i="16"/>
  <c r="BH46" i="14"/>
  <c r="BM46" i="14" s="1"/>
  <c r="L44" i="13"/>
  <c r="BH40" i="16"/>
  <c r="AJ41" i="16"/>
  <c r="AJ47" i="13"/>
  <c r="BH43" i="14"/>
  <c r="BM43" i="14" s="1"/>
  <c r="DD52" i="16"/>
  <c r="L103" i="13"/>
  <c r="X102" i="10"/>
  <c r="G72" i="22" s="1"/>
  <c r="DD103" i="16"/>
  <c r="CF103" i="13"/>
  <c r="DD45" i="16"/>
  <c r="AJ51" i="13"/>
  <c r="BH48" i="13"/>
  <c r="L51" i="14"/>
  <c r="BH103" i="15"/>
  <c r="AJ44" i="14"/>
  <c r="AO44" i="14" s="1"/>
  <c r="DD42" i="14"/>
  <c r="BH46" i="13"/>
  <c r="L49" i="14"/>
  <c r="DD52" i="14"/>
  <c r="AJ39" i="16"/>
  <c r="CF49" i="16"/>
  <c r="CF45" i="13"/>
  <c r="X99" i="10"/>
  <c r="G69" i="22" s="1"/>
  <c r="L44" i="14"/>
  <c r="X100" i="10"/>
  <c r="G70" i="22" s="1"/>
  <c r="L43" i="14"/>
  <c r="CF47" i="13"/>
  <c r="BH42" i="14"/>
  <c r="BM42" i="14" s="1"/>
  <c r="AJ52" i="13"/>
  <c r="DD49" i="13"/>
  <c r="CF48" i="14"/>
  <c r="BH40" i="13"/>
  <c r="CF39" i="16"/>
  <c r="BH49" i="13"/>
  <c r="CF49" i="14"/>
  <c r="AJ46" i="16"/>
  <c r="CF27" i="14"/>
  <c r="CK27" i="14" s="1"/>
  <c r="CF47" i="14"/>
  <c r="AJ48" i="16"/>
  <c r="CF41" i="13"/>
  <c r="BH42" i="13"/>
  <c r="DD39" i="13"/>
  <c r="AJ40" i="13"/>
  <c r="L41" i="16"/>
  <c r="BH40" i="14"/>
  <c r="BM40" i="14" s="1"/>
  <c r="BH45" i="16"/>
  <c r="L39" i="13"/>
  <c r="DD51" i="16"/>
  <c r="CF43" i="14"/>
  <c r="AJ49" i="14"/>
  <c r="AO49" i="14" s="1"/>
  <c r="AJ46" i="13"/>
  <c r="L43" i="13"/>
  <c r="BH50" i="13"/>
  <c r="CF44" i="16"/>
  <c r="BH50" i="16"/>
  <c r="CF40" i="14"/>
  <c r="CF51" i="14"/>
  <c r="CF50" i="13"/>
  <c r="X104" i="10"/>
  <c r="G74" i="22" s="1"/>
  <c r="AJ49" i="13"/>
  <c r="BH43" i="16"/>
  <c r="DD50" i="16"/>
  <c r="BH46" i="16"/>
  <c r="X103" i="10"/>
  <c r="G73" i="22" s="1"/>
  <c r="CF43" i="13"/>
  <c r="AJ42" i="16"/>
  <c r="AJ51" i="16"/>
  <c r="DD40" i="13"/>
  <c r="BH51" i="14"/>
  <c r="BM51" i="14" s="1"/>
  <c r="DD49" i="16"/>
  <c r="BH48" i="14"/>
  <c r="BM48" i="14" s="1"/>
  <c r="BH52" i="13"/>
  <c r="CF52" i="13"/>
  <c r="DD47" i="16"/>
  <c r="BH45" i="14"/>
  <c r="BM45" i="14" s="1"/>
  <c r="CF45" i="14"/>
  <c r="X93" i="10"/>
  <c r="G63" i="22" s="1"/>
  <c r="BH47" i="14"/>
  <c r="BM47" i="14" s="1"/>
  <c r="BH41" i="16"/>
  <c r="DD52" i="13"/>
  <c r="DD48" i="16"/>
  <c r="AJ43" i="13"/>
  <c r="BH49" i="16"/>
  <c r="AJ42" i="13"/>
  <c r="DD43" i="14"/>
  <c r="AJ39" i="14"/>
  <c r="AO39" i="14" s="1"/>
  <c r="DD41" i="16"/>
  <c r="L42" i="16"/>
  <c r="X106" i="10"/>
  <c r="G76" i="22" s="1"/>
  <c r="CF48" i="13"/>
  <c r="BH44" i="16"/>
  <c r="DD44" i="16"/>
  <c r="DD40" i="16"/>
  <c r="DD44" i="13"/>
  <c r="L39" i="16"/>
  <c r="CF46" i="14"/>
  <c r="CF40" i="16"/>
  <c r="CF49" i="13"/>
  <c r="CF52" i="14"/>
  <c r="AJ45" i="13"/>
  <c r="BH41" i="14"/>
  <c r="BM41" i="14" s="1"/>
  <c r="X92" i="10"/>
  <c r="G62" i="22" s="1"/>
  <c r="L40" i="14"/>
  <c r="CF44" i="14"/>
  <c r="AJ41" i="13"/>
  <c r="CF50" i="16"/>
  <c r="AJ42" i="14"/>
  <c r="AO42" i="14" s="1"/>
  <c r="DD51" i="14"/>
  <c r="BH49" i="14"/>
  <c r="BM49" i="14" s="1"/>
  <c r="BH53" i="14"/>
  <c r="BM53" i="14" s="1"/>
  <c r="DD44" i="14"/>
  <c r="AJ44" i="13"/>
  <c r="AJ50" i="13"/>
  <c r="CF40" i="13"/>
  <c r="BH51" i="13"/>
  <c r="DD49" i="14"/>
  <c r="L45" i="16"/>
  <c r="CF45" i="16"/>
  <c r="BH47" i="13"/>
  <c r="L41" i="13"/>
  <c r="DD47" i="14"/>
  <c r="L39" i="14"/>
  <c r="DD40" i="14"/>
  <c r="DD39" i="14"/>
  <c r="BH52" i="14"/>
  <c r="BM52" i="14" s="1"/>
  <c r="BH41" i="13"/>
  <c r="BH42" i="16"/>
  <c r="BH45" i="13"/>
  <c r="AJ40" i="16"/>
  <c r="CF46" i="13"/>
  <c r="L44" i="16"/>
  <c r="CF43" i="16"/>
  <c r="BH44" i="13"/>
  <c r="DD50" i="13"/>
  <c r="CF39" i="14"/>
  <c r="DD47" i="13"/>
  <c r="DD46" i="16"/>
  <c r="DD41" i="13"/>
  <c r="AJ103" i="16"/>
  <c r="DD53" i="13"/>
  <c r="CF89" i="15"/>
  <c r="CF27" i="15"/>
  <c r="DD103" i="15"/>
  <c r="L103" i="16"/>
  <c r="CF53" i="13"/>
  <c r="AJ103" i="15"/>
  <c r="BH103" i="16"/>
  <c r="AJ103" i="13"/>
  <c r="CF103" i="14"/>
  <c r="DD103" i="13"/>
  <c r="AJ103" i="14"/>
  <c r="BH27" i="13"/>
  <c r="DD27" i="13"/>
  <c r="AJ53" i="13"/>
  <c r="L53" i="13"/>
  <c r="S16" i="2"/>
  <c r="L16" i="2"/>
  <c r="Z16" i="2"/>
  <c r="E16" i="2"/>
  <c r="AJ27" i="16"/>
  <c r="DD27" i="15"/>
  <c r="DD53" i="16"/>
  <c r="AJ53" i="16"/>
  <c r="AJ27" i="14"/>
  <c r="AO27" i="14" s="1"/>
  <c r="L27" i="13"/>
  <c r="BH27" i="14"/>
  <c r="CF27" i="13"/>
  <c r="AJ42" i="15"/>
  <c r="AJ41" i="15"/>
  <c r="AJ40" i="15"/>
  <c r="BH27" i="16"/>
  <c r="AA15" i="3"/>
  <c r="V103" i="3"/>
  <c r="V61" i="3"/>
  <c r="V15" i="3"/>
  <c r="R125" i="3"/>
  <c r="Q133" i="3"/>
  <c r="Q89" i="3"/>
  <c r="Q56" i="3"/>
  <c r="Q48" i="3"/>
  <c r="Q32" i="3"/>
  <c r="L133" i="3"/>
  <c r="L104" i="3"/>
  <c r="L103" i="3"/>
  <c r="L84" i="3"/>
  <c r="L80" i="3"/>
  <c r="L57" i="3"/>
  <c r="L32" i="3"/>
  <c r="L25" i="3"/>
  <c r="L15" i="3"/>
  <c r="G133" i="3"/>
  <c r="G104" i="3"/>
  <c r="G103" i="3"/>
  <c r="G84" i="3"/>
  <c r="G80" i="3"/>
  <c r="G57" i="3"/>
  <c r="G32" i="3"/>
  <c r="G25" i="3"/>
  <c r="CF13" i="15" l="1"/>
  <c r="CF22" i="15"/>
  <c r="AJ50" i="15"/>
  <c r="BH15" i="15"/>
  <c r="L49" i="15"/>
  <c r="BH40" i="15"/>
  <c r="AJ39" i="15"/>
  <c r="L53" i="15"/>
  <c r="BH45" i="15"/>
  <c r="BH46" i="15"/>
  <c r="BH42" i="15"/>
  <c r="BH43" i="15"/>
  <c r="CF44" i="15"/>
  <c r="L39" i="15"/>
  <c r="AJ45" i="15"/>
  <c r="CF47" i="15"/>
  <c r="CF51" i="15"/>
  <c r="BH19" i="15"/>
  <c r="AJ43" i="15"/>
  <c r="BH51" i="15"/>
  <c r="BH52" i="15"/>
  <c r="DD46" i="15"/>
  <c r="DD41" i="15"/>
  <c r="BH47" i="15"/>
  <c r="BH20" i="15"/>
  <c r="DD26" i="15"/>
  <c r="DD39" i="15"/>
  <c r="L52" i="15"/>
  <c r="BH14" i="15"/>
  <c r="L48" i="15"/>
  <c r="CF23" i="15"/>
  <c r="BH41" i="15"/>
  <c r="BH50" i="15"/>
  <c r="DD45" i="15"/>
  <c r="AJ15" i="15"/>
  <c r="CF42" i="15"/>
  <c r="DD49" i="15"/>
  <c r="CF14" i="15"/>
  <c r="AJ25" i="15"/>
  <c r="DD53" i="15"/>
  <c r="CF45" i="15"/>
  <c r="DD50" i="15"/>
  <c r="CF40" i="15"/>
  <c r="DD47" i="15"/>
  <c r="AJ48" i="15"/>
  <c r="BH44" i="15"/>
  <c r="L42" i="15"/>
  <c r="L40" i="15"/>
  <c r="DD48" i="15"/>
  <c r="G67" i="22"/>
  <c r="CF48" i="15"/>
  <c r="CF50" i="15"/>
  <c r="CF53" i="15"/>
  <c r="AJ53" i="15"/>
  <c r="BH27" i="15"/>
  <c r="BH13" i="15"/>
  <c r="AJ26" i="15"/>
  <c r="G66" i="22"/>
  <c r="G71" i="22"/>
  <c r="G65" i="22"/>
  <c r="G64" i="22"/>
  <c r="F74" i="22"/>
  <c r="F73" i="22"/>
  <c r="F76" i="22"/>
  <c r="G75" i="22"/>
  <c r="F64" i="22"/>
  <c r="BH18" i="15"/>
  <c r="DD52" i="15"/>
  <c r="CF46" i="15"/>
  <c r="BH48" i="15"/>
  <c r="BH49" i="15"/>
  <c r="DD18" i="15"/>
  <c r="L46" i="15"/>
  <c r="AJ52" i="15"/>
  <c r="CF43" i="15"/>
  <c r="DD14" i="15"/>
  <c r="AJ14" i="15"/>
  <c r="X103" i="3"/>
  <c r="D16" i="9" l="1"/>
  <c r="L16" i="9" s="1"/>
  <c r="D24" i="9"/>
  <c r="L24" i="9" s="1"/>
  <c r="D17" i="9"/>
  <c r="L17" i="9" s="1"/>
  <c r="D25" i="9"/>
  <c r="L25" i="9" s="1"/>
  <c r="D18" i="9"/>
  <c r="L18" i="9" s="1"/>
  <c r="D26" i="9"/>
  <c r="L26" i="9" s="1"/>
  <c r="D19" i="9"/>
  <c r="L19" i="9" s="1"/>
  <c r="D15" i="9"/>
  <c r="L15" i="9" s="1"/>
  <c r="D23" i="9"/>
  <c r="L23" i="9" s="1"/>
  <c r="D27" i="9"/>
  <c r="L27" i="9" s="1"/>
  <c r="D28" i="9"/>
  <c r="L28" i="9" s="1"/>
  <c r="D21" i="9"/>
  <c r="L21" i="9" s="1"/>
  <c r="D13" i="9"/>
  <c r="L13" i="9" s="1"/>
  <c r="D22" i="9"/>
  <c r="L22" i="9" s="1"/>
  <c r="D14" i="9"/>
  <c r="L14" i="9" s="1"/>
  <c r="D20" i="9"/>
  <c r="L20" i="9" s="1"/>
  <c r="D93" i="9"/>
  <c r="L93" i="9" s="1"/>
  <c r="D101" i="9"/>
  <c r="L101" i="9" s="1"/>
  <c r="D96" i="9"/>
  <c r="L96" i="9" s="1"/>
  <c r="D94" i="9"/>
  <c r="L94" i="9" s="1"/>
  <c r="D102" i="9"/>
  <c r="L102" i="9" s="1"/>
  <c r="D95" i="9"/>
  <c r="L95" i="9" s="1"/>
  <c r="D103" i="9"/>
  <c r="L103" i="9" s="1"/>
  <c r="D92" i="9"/>
  <c r="L92" i="9" s="1"/>
  <c r="D100" i="9"/>
  <c r="L100" i="9" s="1"/>
  <c r="D104" i="9"/>
  <c r="L104" i="9" s="1"/>
  <c r="D97" i="9"/>
  <c r="L97" i="9" s="1"/>
  <c r="D99" i="9"/>
  <c r="L99" i="9" s="1"/>
  <c r="D105" i="9"/>
  <c r="L105" i="9" s="1"/>
  <c r="D91" i="9"/>
  <c r="L91" i="9" s="1"/>
  <c r="D106" i="9"/>
  <c r="L106" i="9" s="1"/>
  <c r="D98" i="9"/>
  <c r="L98" i="9" s="1"/>
  <c r="D42" i="9"/>
  <c r="L42" i="9" s="1"/>
  <c r="D50" i="9"/>
  <c r="L50" i="9" s="1"/>
  <c r="D45" i="9"/>
  <c r="L45" i="9" s="1"/>
  <c r="D43" i="9"/>
  <c r="L43" i="9" s="1"/>
  <c r="D51" i="9"/>
  <c r="L51" i="9" s="1"/>
  <c r="D44" i="9"/>
  <c r="L44" i="9" s="1"/>
  <c r="D52" i="9"/>
  <c r="L52" i="9" s="1"/>
  <c r="D41" i="9"/>
  <c r="L41" i="9" s="1"/>
  <c r="D49" i="9"/>
  <c r="L49" i="9" s="1"/>
  <c r="D53" i="9"/>
  <c r="L53" i="9" s="1"/>
  <c r="D47" i="9"/>
  <c r="L47" i="9" s="1"/>
  <c r="D48" i="9"/>
  <c r="L48" i="9" s="1"/>
  <c r="D46" i="9"/>
  <c r="L46" i="9" s="1"/>
  <c r="D54" i="9"/>
  <c r="L54" i="9" s="1"/>
  <c r="D39" i="9"/>
  <c r="L39" i="9" s="1"/>
  <c r="D40" i="9"/>
  <c r="L40" i="9" s="1"/>
  <c r="D119" i="9"/>
  <c r="L119" i="9" s="1"/>
  <c r="D127" i="9"/>
  <c r="L127" i="9" s="1"/>
  <c r="D130" i="9"/>
  <c r="L130" i="9" s="1"/>
  <c r="D120" i="9"/>
  <c r="L120" i="9" s="1"/>
  <c r="D128" i="9"/>
  <c r="L128" i="9" s="1"/>
  <c r="D122" i="9"/>
  <c r="L122" i="9" s="1"/>
  <c r="D121" i="9"/>
  <c r="L121" i="9" s="1"/>
  <c r="D129" i="9"/>
  <c r="L129" i="9" s="1"/>
  <c r="D118" i="9"/>
  <c r="L118" i="9" s="1"/>
  <c r="D126" i="9"/>
  <c r="L126" i="9" s="1"/>
  <c r="D117" i="9"/>
  <c r="L117" i="9" s="1"/>
  <c r="D132" i="9"/>
  <c r="L132" i="9" s="1"/>
  <c r="D123" i="9"/>
  <c r="L123" i="9" s="1"/>
  <c r="D124" i="9"/>
  <c r="L124" i="9" s="1"/>
  <c r="D125" i="9"/>
  <c r="L125" i="9" s="1"/>
  <c r="D131" i="9"/>
  <c r="L131" i="9" s="1"/>
  <c r="D68" i="9"/>
  <c r="L68" i="9" s="1"/>
  <c r="D76" i="9"/>
  <c r="L76" i="9" s="1"/>
  <c r="D69" i="9"/>
  <c r="L69" i="9" s="1"/>
  <c r="D77" i="9"/>
  <c r="L77" i="9" s="1"/>
  <c r="D79" i="9"/>
  <c r="L79" i="9" s="1"/>
  <c r="D70" i="9"/>
  <c r="L70" i="9" s="1"/>
  <c r="D78" i="9"/>
  <c r="L78" i="9" s="1"/>
  <c r="D71" i="9"/>
  <c r="L71" i="9" s="1"/>
  <c r="D67" i="9"/>
  <c r="L67" i="9" s="1"/>
  <c r="D75" i="9"/>
  <c r="L75" i="9" s="1"/>
  <c r="D66" i="9"/>
  <c r="L66" i="9" s="1"/>
  <c r="D73" i="9"/>
  <c r="L73" i="9" s="1"/>
  <c r="D74" i="9"/>
  <c r="L74" i="9" s="1"/>
  <c r="D80" i="9"/>
  <c r="L80" i="9" s="1"/>
  <c r="D65" i="9"/>
  <c r="L65" i="9" s="1"/>
  <c r="D72" i="9"/>
  <c r="L72" i="9" s="1"/>
  <c r="H71" i="1"/>
  <c r="G71" i="1"/>
  <c r="F71" i="1"/>
  <c r="E71" i="1"/>
  <c r="I71" i="1"/>
  <c r="AF10" i="2"/>
  <c r="Y10" i="2"/>
  <c r="F138" i="15" l="1"/>
  <c r="CX138" i="14"/>
  <c r="F138" i="14"/>
  <c r="BZ138" i="16"/>
  <c r="AD138" i="16"/>
  <c r="F138" i="16"/>
  <c r="BZ138" i="15"/>
  <c r="BZ138" i="14"/>
  <c r="AD138" i="14"/>
  <c r="CX138" i="13"/>
  <c r="AD138" i="15"/>
  <c r="BB138" i="14"/>
  <c r="BZ138" i="13"/>
  <c r="F138" i="13"/>
  <c r="CX138" i="15"/>
  <c r="BB138" i="15"/>
  <c r="AD138" i="13"/>
  <c r="BB138" i="13"/>
  <c r="CX138" i="16"/>
  <c r="BB138" i="16"/>
  <c r="CX145" i="16"/>
  <c r="BZ145" i="16"/>
  <c r="AD145" i="16"/>
  <c r="F145" i="16"/>
  <c r="BZ145" i="15"/>
  <c r="AD145" i="15"/>
  <c r="AD145" i="14"/>
  <c r="BB145" i="16"/>
  <c r="CX145" i="15"/>
  <c r="BB145" i="15"/>
  <c r="BZ145" i="14"/>
  <c r="CX145" i="13"/>
  <c r="BZ145" i="13"/>
  <c r="F145" i="13"/>
  <c r="CX145" i="14"/>
  <c r="BB145" i="14"/>
  <c r="BB145" i="13"/>
  <c r="F145" i="15"/>
  <c r="F145" i="14"/>
  <c r="AD145" i="13"/>
  <c r="BB147" i="16"/>
  <c r="CX147" i="15"/>
  <c r="BB147" i="15"/>
  <c r="AD147" i="14"/>
  <c r="F147" i="14"/>
  <c r="CX147" i="16"/>
  <c r="BZ147" i="16"/>
  <c r="AD147" i="16"/>
  <c r="F147" i="16"/>
  <c r="BZ147" i="15"/>
  <c r="AD147" i="15"/>
  <c r="F147" i="15"/>
  <c r="CX147" i="14"/>
  <c r="BZ147" i="14"/>
  <c r="BB147" i="14"/>
  <c r="CX147" i="13"/>
  <c r="BB147" i="13"/>
  <c r="F147" i="13"/>
  <c r="AD147" i="13"/>
  <c r="BZ147" i="13"/>
  <c r="BB143" i="16"/>
  <c r="CX143" i="15"/>
  <c r="BB143" i="15"/>
  <c r="F143" i="15"/>
  <c r="CX143" i="16"/>
  <c r="BZ143" i="16"/>
  <c r="AD143" i="16"/>
  <c r="F143" i="16"/>
  <c r="BZ143" i="15"/>
  <c r="AD143" i="15"/>
  <c r="BZ143" i="14"/>
  <c r="AD143" i="14"/>
  <c r="F143" i="14"/>
  <c r="CX143" i="14"/>
  <c r="BB143" i="14"/>
  <c r="BZ143" i="13"/>
  <c r="CX143" i="13"/>
  <c r="BB143" i="13"/>
  <c r="F143" i="13"/>
  <c r="AD143" i="13"/>
  <c r="F148" i="15"/>
  <c r="CX148" i="14"/>
  <c r="F148" i="14"/>
  <c r="BZ148" i="13"/>
  <c r="BB148" i="16"/>
  <c r="CX148" i="15"/>
  <c r="BB148" i="15"/>
  <c r="CX148" i="13"/>
  <c r="AD148" i="14"/>
  <c r="BB148" i="14"/>
  <c r="CX148" i="16"/>
  <c r="F148" i="16"/>
  <c r="BZ148" i="15"/>
  <c r="AD148" i="15"/>
  <c r="BZ148" i="14"/>
  <c r="AD148" i="13"/>
  <c r="BZ148" i="16"/>
  <c r="AD148" i="16"/>
  <c r="F148" i="13"/>
  <c r="BB148" i="13"/>
  <c r="F146" i="15"/>
  <c r="BZ146" i="14"/>
  <c r="CX146" i="16"/>
  <c r="BZ146" i="16"/>
  <c r="AD146" i="16"/>
  <c r="F146" i="16"/>
  <c r="BZ146" i="15"/>
  <c r="AD146" i="15"/>
  <c r="CX146" i="14"/>
  <c r="BB146" i="14"/>
  <c r="CX146" i="13"/>
  <c r="F146" i="14"/>
  <c r="BB146" i="16"/>
  <c r="F146" i="13"/>
  <c r="AD146" i="14"/>
  <c r="BZ146" i="13"/>
  <c r="AD146" i="13"/>
  <c r="BB146" i="13"/>
  <c r="CX146" i="15"/>
  <c r="BB146" i="15"/>
  <c r="BB151" i="16"/>
  <c r="CX151" i="15"/>
  <c r="BB151" i="15"/>
  <c r="F151" i="15"/>
  <c r="BZ151" i="14"/>
  <c r="F151" i="14"/>
  <c r="F151" i="16"/>
  <c r="CX151" i="14"/>
  <c r="BB151" i="14"/>
  <c r="BZ151" i="13"/>
  <c r="CX151" i="16"/>
  <c r="BZ151" i="16"/>
  <c r="AD151" i="16"/>
  <c r="BZ151" i="15"/>
  <c r="AD151" i="15"/>
  <c r="BB151" i="13"/>
  <c r="F151" i="13"/>
  <c r="AD151" i="14"/>
  <c r="CX151" i="13"/>
  <c r="AD151" i="13"/>
  <c r="BZ144" i="14"/>
  <c r="AD144" i="14"/>
  <c r="F144" i="14"/>
  <c r="BB144" i="16"/>
  <c r="CX144" i="15"/>
  <c r="BB144" i="15"/>
  <c r="F144" i="15"/>
  <c r="CX144" i="14"/>
  <c r="BB144" i="14"/>
  <c r="CX144" i="13"/>
  <c r="CX144" i="16"/>
  <c r="BZ144" i="16"/>
  <c r="AD144" i="13"/>
  <c r="F144" i="16"/>
  <c r="BZ144" i="15"/>
  <c r="AD144" i="15"/>
  <c r="BZ144" i="13"/>
  <c r="F144" i="13"/>
  <c r="AD144" i="16"/>
  <c r="BB144" i="13"/>
  <c r="CX139" i="16"/>
  <c r="BB139" i="16"/>
  <c r="CX139" i="15"/>
  <c r="BB139" i="15"/>
  <c r="BB139" i="14"/>
  <c r="F139" i="15"/>
  <c r="CX139" i="14"/>
  <c r="BZ139" i="16"/>
  <c r="AD139" i="16"/>
  <c r="F139" i="16"/>
  <c r="BZ139" i="15"/>
  <c r="BZ139" i="14"/>
  <c r="AD139" i="13"/>
  <c r="AD139" i="15"/>
  <c r="F139" i="14"/>
  <c r="CX139" i="13"/>
  <c r="BZ139" i="13"/>
  <c r="BB139" i="13"/>
  <c r="F139" i="13"/>
  <c r="AD139" i="14"/>
  <c r="CX149" i="16"/>
  <c r="BZ149" i="16"/>
  <c r="AD149" i="16"/>
  <c r="BZ149" i="15"/>
  <c r="AD149" i="15"/>
  <c r="AD149" i="14"/>
  <c r="BZ149" i="14"/>
  <c r="BB149" i="14"/>
  <c r="BZ149" i="13"/>
  <c r="BB149" i="16"/>
  <c r="CX149" i="15"/>
  <c r="BB149" i="15"/>
  <c r="F149" i="15"/>
  <c r="CX149" i="14"/>
  <c r="F149" i="14"/>
  <c r="AD149" i="13"/>
  <c r="BB149" i="13"/>
  <c r="F149" i="13"/>
  <c r="F149" i="16"/>
  <c r="CX149" i="13"/>
  <c r="CX140" i="16"/>
  <c r="AD140" i="15"/>
  <c r="BZ140" i="14"/>
  <c r="BB140" i="16"/>
  <c r="CX140" i="15"/>
  <c r="BB140" i="15"/>
  <c r="BB140" i="14"/>
  <c r="AD140" i="14"/>
  <c r="CX140" i="13"/>
  <c r="F140" i="15"/>
  <c r="CX140" i="14"/>
  <c r="F140" i="14"/>
  <c r="BZ140" i="16"/>
  <c r="AD140" i="16"/>
  <c r="F140" i="16"/>
  <c r="BZ140" i="15"/>
  <c r="BZ140" i="13"/>
  <c r="AD140" i="13"/>
  <c r="F140" i="13"/>
  <c r="BB140" i="13"/>
  <c r="BZ142" i="14"/>
  <c r="F142" i="14"/>
  <c r="CX142" i="16"/>
  <c r="BZ142" i="16"/>
  <c r="AD142" i="16"/>
  <c r="F142" i="16"/>
  <c r="BZ142" i="15"/>
  <c r="BB142" i="14"/>
  <c r="AD142" i="14"/>
  <c r="CX142" i="13"/>
  <c r="AD142" i="15"/>
  <c r="F142" i="15"/>
  <c r="CX142" i="14"/>
  <c r="CX142" i="15"/>
  <c r="BB142" i="15"/>
  <c r="F142" i="13"/>
  <c r="BB142" i="13"/>
  <c r="BB142" i="16"/>
  <c r="AD142" i="13"/>
  <c r="BZ142" i="13"/>
  <c r="BB152" i="16"/>
  <c r="CX152" i="15"/>
  <c r="BB152" i="15"/>
  <c r="AD152" i="14"/>
  <c r="CX152" i="13"/>
  <c r="F152" i="16"/>
  <c r="F152" i="15"/>
  <c r="CX152" i="14"/>
  <c r="BZ152" i="14"/>
  <c r="BZ152" i="15"/>
  <c r="AD152" i="15"/>
  <c r="F152" i="14"/>
  <c r="BZ152" i="16"/>
  <c r="AD152" i="16"/>
  <c r="AD152" i="13"/>
  <c r="BZ152" i="13"/>
  <c r="CX152" i="16"/>
  <c r="BB152" i="14"/>
  <c r="F152" i="13"/>
  <c r="BB152" i="13"/>
  <c r="CX153" i="16"/>
  <c r="BZ153" i="16"/>
  <c r="AD153" i="16"/>
  <c r="BZ153" i="15"/>
  <c r="AD153" i="15"/>
  <c r="F153" i="15"/>
  <c r="CX153" i="14"/>
  <c r="BZ153" i="14"/>
  <c r="BB153" i="14"/>
  <c r="F153" i="14"/>
  <c r="BZ153" i="13"/>
  <c r="BB153" i="16"/>
  <c r="CX153" i="15"/>
  <c r="BB153" i="15"/>
  <c r="AD153" i="14"/>
  <c r="CX153" i="13"/>
  <c r="F153" i="16"/>
  <c r="BB153" i="13"/>
  <c r="AD153" i="13"/>
  <c r="F153" i="13"/>
  <c r="F150" i="16"/>
  <c r="CX150" i="14"/>
  <c r="CX150" i="16"/>
  <c r="BZ150" i="16"/>
  <c r="AD150" i="16"/>
  <c r="BZ150" i="15"/>
  <c r="AD150" i="15"/>
  <c r="F150" i="14"/>
  <c r="CX150" i="13"/>
  <c r="AD150" i="14"/>
  <c r="F150" i="15"/>
  <c r="F150" i="13"/>
  <c r="BB150" i="13"/>
  <c r="BB150" i="14"/>
  <c r="AD150" i="13"/>
  <c r="BB150" i="16"/>
  <c r="CX150" i="15"/>
  <c r="BB150" i="15"/>
  <c r="BZ150" i="14"/>
  <c r="BZ150" i="13"/>
  <c r="BZ141" i="16"/>
  <c r="AD141" i="16"/>
  <c r="F141" i="16"/>
  <c r="BZ141" i="15"/>
  <c r="F141" i="15"/>
  <c r="CX141" i="14"/>
  <c r="CX141" i="16"/>
  <c r="AD141" i="15"/>
  <c r="F141" i="14"/>
  <c r="BB141" i="16"/>
  <c r="CX141" i="15"/>
  <c r="BB141" i="15"/>
  <c r="BZ141" i="14"/>
  <c r="AD141" i="14"/>
  <c r="BB141" i="14"/>
  <c r="BZ141" i="13"/>
  <c r="BB141" i="13"/>
  <c r="F141" i="13"/>
  <c r="CX141" i="13"/>
  <c r="AD141" i="13"/>
  <c r="Y39" i="2"/>
  <c r="Y57" i="2"/>
  <c r="AF39" i="2"/>
  <c r="AF57" i="2"/>
  <c r="R10" i="2"/>
  <c r="Q14" i="2"/>
  <c r="F12" i="8"/>
  <c r="E24" i="18" s="1"/>
  <c r="E12" i="8"/>
  <c r="I12" i="8"/>
  <c r="H24" i="18" s="1"/>
  <c r="G12" i="8"/>
  <c r="F24" i="18" s="1"/>
  <c r="H12" i="8"/>
  <c r="G24" i="18" s="1"/>
  <c r="AE91" i="10"/>
  <c r="AE92" i="10" s="1"/>
  <c r="AE93" i="10" s="1"/>
  <c r="AE94" i="10" s="1"/>
  <c r="AE95" i="10" s="1"/>
  <c r="AE96" i="10" s="1"/>
  <c r="AE97" i="10" s="1"/>
  <c r="AE98" i="10" s="1"/>
  <c r="AE99" i="10" s="1"/>
  <c r="AE100" i="10" s="1"/>
  <c r="AE101" i="10" s="1"/>
  <c r="AE102" i="10" s="1"/>
  <c r="AE103" i="10" s="1"/>
  <c r="AE104" i="10" s="1"/>
  <c r="AE105" i="10" s="1"/>
  <c r="AE106" i="10" s="1"/>
  <c r="Y63" i="2"/>
  <c r="U21" i="8" s="1"/>
  <c r="Y66" i="2"/>
  <c r="AF63" i="2"/>
  <c r="W21" i="8" s="1"/>
  <c r="AF66" i="2"/>
  <c r="Y14" i="2"/>
  <c r="U12" i="8" s="1"/>
  <c r="X14" i="2"/>
  <c r="T12" i="8" s="1"/>
  <c r="BC141" i="15" l="1"/>
  <c r="CA141" i="15"/>
  <c r="BC150" i="13"/>
  <c r="G150" i="16"/>
  <c r="G153" i="14"/>
  <c r="G152" i="13"/>
  <c r="BC152" i="15"/>
  <c r="G142" i="15"/>
  <c r="CA142" i="16"/>
  <c r="CA140" i="16"/>
  <c r="CY140" i="16"/>
  <c r="AE149" i="14"/>
  <c r="G139" i="14"/>
  <c r="CY139" i="15"/>
  <c r="CA144" i="16"/>
  <c r="BC144" i="16"/>
  <c r="AE151" i="16"/>
  <c r="CA151" i="14"/>
  <c r="G146" i="13"/>
  <c r="G146" i="16"/>
  <c r="CY148" i="16"/>
  <c r="AE143" i="13"/>
  <c r="G143" i="16"/>
  <c r="BC147" i="13"/>
  <c r="G147" i="16"/>
  <c r="G145" i="15"/>
  <c r="BC145" i="15"/>
  <c r="DK138" i="15"/>
  <c r="CY138" i="15"/>
  <c r="S138" i="14"/>
  <c r="G138" i="14"/>
  <c r="CY141" i="13"/>
  <c r="BC141" i="14"/>
  <c r="CY141" i="15"/>
  <c r="CY141" i="16"/>
  <c r="G141" i="16"/>
  <c r="CA150" i="13"/>
  <c r="BC150" i="16"/>
  <c r="G150" i="13"/>
  <c r="G150" i="14"/>
  <c r="CA150" i="16"/>
  <c r="G153" i="16"/>
  <c r="CY153" i="15"/>
  <c r="BC153" i="14"/>
  <c r="AE153" i="15"/>
  <c r="CY153" i="16"/>
  <c r="BC152" i="14"/>
  <c r="AE152" i="16"/>
  <c r="CA152" i="15"/>
  <c r="G152" i="16"/>
  <c r="CY152" i="15"/>
  <c r="AE142" i="13"/>
  <c r="BC142" i="15"/>
  <c r="AE142" i="15"/>
  <c r="CA142" i="15"/>
  <c r="CY142" i="16"/>
  <c r="BC140" i="13"/>
  <c r="CA140" i="15"/>
  <c r="G140" i="14"/>
  <c r="AE140" i="14"/>
  <c r="BC140" i="16"/>
  <c r="BC149" i="13"/>
  <c r="G149" i="15"/>
  <c r="CA149" i="13"/>
  <c r="AE149" i="15"/>
  <c r="CY149" i="16"/>
  <c r="BC139" i="13"/>
  <c r="AE139" i="15"/>
  <c r="G139" i="16"/>
  <c r="G139" i="15"/>
  <c r="BC139" i="16"/>
  <c r="AE144" i="16"/>
  <c r="CA144" i="15"/>
  <c r="CY144" i="16"/>
  <c r="G144" i="15"/>
  <c r="G144" i="14"/>
  <c r="AE151" i="13"/>
  <c r="BC151" i="13"/>
  <c r="CA151" i="16"/>
  <c r="CY151" i="14"/>
  <c r="G151" i="15"/>
  <c r="AE146" i="13"/>
  <c r="BC146" i="16"/>
  <c r="CY146" i="14"/>
  <c r="AE146" i="16"/>
  <c r="G146" i="15"/>
  <c r="AE148" i="16"/>
  <c r="AE148" i="15"/>
  <c r="BC148" i="14"/>
  <c r="CY148" i="15"/>
  <c r="CY148" i="14"/>
  <c r="G143" i="13"/>
  <c r="BC143" i="14"/>
  <c r="CA143" i="14"/>
  <c r="AE143" i="16"/>
  <c r="BC143" i="15"/>
  <c r="CA147" i="13"/>
  <c r="CY147" i="13"/>
  <c r="G147" i="15"/>
  <c r="AE147" i="16"/>
  <c r="AE147" i="14"/>
  <c r="BC145" i="13"/>
  <c r="CA145" i="13"/>
  <c r="CY145" i="15"/>
  <c r="CA145" i="15"/>
  <c r="CY145" i="16"/>
  <c r="BO138" i="13"/>
  <c r="BC138" i="13"/>
  <c r="S138" i="13"/>
  <c r="G138" i="13"/>
  <c r="DK138" i="13"/>
  <c r="CY138" i="13"/>
  <c r="S138" i="16"/>
  <c r="G138" i="16"/>
  <c r="DK138" i="14"/>
  <c r="CY138" i="14"/>
  <c r="AE141" i="13"/>
  <c r="AE141" i="15"/>
  <c r="CY150" i="15"/>
  <c r="AE150" i="16"/>
  <c r="BC153" i="15"/>
  <c r="CA153" i="16"/>
  <c r="AE152" i="13"/>
  <c r="G152" i="15"/>
  <c r="G142" i="13"/>
  <c r="BC142" i="14"/>
  <c r="CA140" i="13"/>
  <c r="CY140" i="15"/>
  <c r="CY149" i="14"/>
  <c r="CA149" i="16"/>
  <c r="CA139" i="15"/>
  <c r="AE144" i="15"/>
  <c r="BC151" i="14"/>
  <c r="BC146" i="13"/>
  <c r="CA146" i="14"/>
  <c r="BC148" i="15"/>
  <c r="CA143" i="13"/>
  <c r="CY147" i="14"/>
  <c r="BC147" i="16"/>
  <c r="AE145" i="15"/>
  <c r="CM138" i="15"/>
  <c r="CA138" i="15"/>
  <c r="AE141" i="14"/>
  <c r="AE141" i="16"/>
  <c r="G150" i="15"/>
  <c r="CY150" i="16"/>
  <c r="G153" i="13"/>
  <c r="CY153" i="13"/>
  <c r="BC153" i="16"/>
  <c r="CA153" i="14"/>
  <c r="CA153" i="15"/>
  <c r="CY152" i="16"/>
  <c r="CA152" i="16"/>
  <c r="CA152" i="14"/>
  <c r="CY152" i="13"/>
  <c r="BC152" i="16"/>
  <c r="BC142" i="16"/>
  <c r="CY142" i="15"/>
  <c r="CY142" i="13"/>
  <c r="G142" i="16"/>
  <c r="G142" i="14"/>
  <c r="G140" i="13"/>
  <c r="G140" i="16"/>
  <c r="CY140" i="14"/>
  <c r="BC140" i="14"/>
  <c r="CA140" i="14"/>
  <c r="CY149" i="13"/>
  <c r="AE149" i="13"/>
  <c r="BC149" i="15"/>
  <c r="BC149" i="14"/>
  <c r="CA149" i="15"/>
  <c r="CA139" i="13"/>
  <c r="AE139" i="13"/>
  <c r="AE139" i="16"/>
  <c r="BC139" i="14"/>
  <c r="CY139" i="16"/>
  <c r="G144" i="13"/>
  <c r="G144" i="16"/>
  <c r="CY144" i="13"/>
  <c r="BC144" i="15"/>
  <c r="AE144" i="14"/>
  <c r="CY151" i="13"/>
  <c r="AE151" i="15"/>
  <c r="CY151" i="16"/>
  <c r="G151" i="16"/>
  <c r="BC151" i="15"/>
  <c r="BC146" i="15"/>
  <c r="CA146" i="13"/>
  <c r="G146" i="14"/>
  <c r="AE146" i="15"/>
  <c r="CA146" i="16"/>
  <c r="CA148" i="16"/>
  <c r="CA148" i="15"/>
  <c r="AE148" i="14"/>
  <c r="BC148" i="16"/>
  <c r="G148" i="15"/>
  <c r="BC143" i="13"/>
  <c r="CY143" i="14"/>
  <c r="AE143" i="15"/>
  <c r="CA143" i="16"/>
  <c r="CY143" i="15"/>
  <c r="AE147" i="13"/>
  <c r="BC147" i="14"/>
  <c r="AE147" i="15"/>
  <c r="CA147" i="16"/>
  <c r="BC147" i="15"/>
  <c r="AE145" i="13"/>
  <c r="BC145" i="14"/>
  <c r="CY145" i="13"/>
  <c r="BC145" i="16"/>
  <c r="G145" i="16"/>
  <c r="AE138" i="13"/>
  <c r="AQ138" i="13"/>
  <c r="AQ139" i="13" s="1"/>
  <c r="CM138" i="13"/>
  <c r="CA138" i="13"/>
  <c r="AQ138" i="14"/>
  <c r="AE138" i="14"/>
  <c r="AQ138" i="16"/>
  <c r="AE138" i="16"/>
  <c r="S138" i="15"/>
  <c r="G138" i="15"/>
  <c r="CA141" i="13"/>
  <c r="CY150" i="13"/>
  <c r="BC153" i="13"/>
  <c r="G153" i="15"/>
  <c r="AE152" i="15"/>
  <c r="CA142" i="13"/>
  <c r="CY140" i="13"/>
  <c r="G149" i="13"/>
  <c r="BC149" i="16"/>
  <c r="G139" i="13"/>
  <c r="CY139" i="14"/>
  <c r="BC144" i="13"/>
  <c r="CY144" i="14"/>
  <c r="G151" i="13"/>
  <c r="BC151" i="16"/>
  <c r="BC146" i="14"/>
  <c r="G148" i="13"/>
  <c r="CA148" i="14"/>
  <c r="G148" i="14"/>
  <c r="AE143" i="14"/>
  <c r="G143" i="15"/>
  <c r="G147" i="14"/>
  <c r="G145" i="13"/>
  <c r="CA145" i="16"/>
  <c r="DK138" i="16"/>
  <c r="CY138" i="16"/>
  <c r="AQ138" i="15"/>
  <c r="AE138" i="15"/>
  <c r="G141" i="13"/>
  <c r="BC141" i="16"/>
  <c r="CY141" i="14"/>
  <c r="CA150" i="14"/>
  <c r="AE150" i="13"/>
  <c r="AE150" i="15"/>
  <c r="BC141" i="13"/>
  <c r="CA141" i="14"/>
  <c r="G141" i="14"/>
  <c r="G141" i="15"/>
  <c r="CA141" i="16"/>
  <c r="BC150" i="15"/>
  <c r="BC150" i="14"/>
  <c r="AE150" i="14"/>
  <c r="CA150" i="15"/>
  <c r="CY150" i="14"/>
  <c r="AE153" i="13"/>
  <c r="AE153" i="14"/>
  <c r="CA153" i="13"/>
  <c r="CY153" i="14"/>
  <c r="AE153" i="16"/>
  <c r="BC152" i="13"/>
  <c r="CA152" i="13"/>
  <c r="G152" i="14"/>
  <c r="CY152" i="14"/>
  <c r="AE152" i="14"/>
  <c r="BC142" i="13"/>
  <c r="CY142" i="14"/>
  <c r="AE142" i="14"/>
  <c r="AE142" i="16"/>
  <c r="CA142" i="14"/>
  <c r="AE140" i="13"/>
  <c r="AE140" i="16"/>
  <c r="G140" i="15"/>
  <c r="BC140" i="15"/>
  <c r="AE140" i="15"/>
  <c r="G149" i="16"/>
  <c r="G149" i="14"/>
  <c r="CY149" i="15"/>
  <c r="CA149" i="14"/>
  <c r="AE149" i="16"/>
  <c r="AE139" i="14"/>
  <c r="CY139" i="13"/>
  <c r="CA139" i="14"/>
  <c r="CA139" i="16"/>
  <c r="BC139" i="15"/>
  <c r="CA144" i="13"/>
  <c r="AE144" i="13"/>
  <c r="BC144" i="14"/>
  <c r="CY144" i="15"/>
  <c r="CA144" i="14"/>
  <c r="AE151" i="14"/>
  <c r="CA151" i="15"/>
  <c r="CA151" i="13"/>
  <c r="G151" i="14"/>
  <c r="CY151" i="15"/>
  <c r="CY146" i="15"/>
  <c r="AE146" i="14"/>
  <c r="CY146" i="13"/>
  <c r="CA146" i="15"/>
  <c r="CY146" i="16"/>
  <c r="BC148" i="13"/>
  <c r="AE148" i="13"/>
  <c r="G148" i="16"/>
  <c r="CY148" i="13"/>
  <c r="CA148" i="13"/>
  <c r="CY143" i="13"/>
  <c r="G143" i="14"/>
  <c r="CA143" i="15"/>
  <c r="CY143" i="16"/>
  <c r="BC143" i="16"/>
  <c r="G147" i="13"/>
  <c r="CA147" i="14"/>
  <c r="CA147" i="15"/>
  <c r="CY147" i="16"/>
  <c r="CY147" i="15"/>
  <c r="G145" i="14"/>
  <c r="CY145" i="14"/>
  <c r="CA145" i="14"/>
  <c r="AE145" i="14"/>
  <c r="AE145" i="16"/>
  <c r="BO138" i="16"/>
  <c r="BO139" i="16" s="1"/>
  <c r="BO140" i="16" s="1"/>
  <c r="BC138" i="16"/>
  <c r="BO138" i="15"/>
  <c r="BC138" i="15"/>
  <c r="BO138" i="14"/>
  <c r="BC138" i="14"/>
  <c r="CM138" i="14"/>
  <c r="CA138" i="14"/>
  <c r="CM138" i="16"/>
  <c r="CA138" i="16"/>
  <c r="R66" i="2"/>
  <c r="R39" i="2"/>
  <c r="R57" i="2"/>
  <c r="D24" i="18"/>
  <c r="M6" i="11"/>
  <c r="C43" i="9"/>
  <c r="C51" i="9"/>
  <c r="K51" i="9" s="1"/>
  <c r="C44" i="9"/>
  <c r="K44" i="9" s="1"/>
  <c r="C52" i="9"/>
  <c r="K52" i="9" s="1"/>
  <c r="C45" i="9"/>
  <c r="K45" i="9" s="1"/>
  <c r="C53" i="9"/>
  <c r="C46" i="9"/>
  <c r="K46" i="9" s="1"/>
  <c r="C42" i="9"/>
  <c r="K42" i="9" s="1"/>
  <c r="C50" i="9"/>
  <c r="K50" i="9" s="1"/>
  <c r="C54" i="9"/>
  <c r="K54" i="9" s="1"/>
  <c r="C40" i="9"/>
  <c r="K40" i="9" s="1"/>
  <c r="C41" i="9"/>
  <c r="K41" i="9" s="1"/>
  <c r="C48" i="9"/>
  <c r="C47" i="9"/>
  <c r="K47" i="9" s="1"/>
  <c r="C49" i="9"/>
  <c r="K49" i="9" s="1"/>
  <c r="C39" i="9"/>
  <c r="K39" i="9" s="1"/>
  <c r="C17" i="9"/>
  <c r="K17" i="9" s="1"/>
  <c r="C25" i="9"/>
  <c r="K25" i="9" s="1"/>
  <c r="C20" i="9"/>
  <c r="K20" i="9" s="1"/>
  <c r="C18" i="9"/>
  <c r="C26" i="9"/>
  <c r="K26" i="9" s="1"/>
  <c r="C28" i="9"/>
  <c r="C19" i="9"/>
  <c r="K19" i="9" s="1"/>
  <c r="C27" i="9"/>
  <c r="K27" i="9" s="1"/>
  <c r="C16" i="9"/>
  <c r="K16" i="9" s="1"/>
  <c r="C24" i="9"/>
  <c r="K24" i="9" s="1"/>
  <c r="C15" i="9"/>
  <c r="K15" i="9" s="1"/>
  <c r="C22" i="9"/>
  <c r="K22" i="9" s="1"/>
  <c r="C21" i="9"/>
  <c r="K21" i="9" s="1"/>
  <c r="C23" i="9"/>
  <c r="C14" i="9"/>
  <c r="K14" i="9" s="1"/>
  <c r="C13" i="9"/>
  <c r="C69" i="9"/>
  <c r="K69" i="9" s="1"/>
  <c r="C77" i="9"/>
  <c r="K77" i="9" s="1"/>
  <c r="C70" i="9"/>
  <c r="K70" i="9" s="1"/>
  <c r="C78" i="9"/>
  <c r="C80" i="9"/>
  <c r="K80" i="9" s="1"/>
  <c r="C71" i="9"/>
  <c r="K71" i="9" s="1"/>
  <c r="C79" i="9"/>
  <c r="K79" i="9" s="1"/>
  <c r="C68" i="9"/>
  <c r="C76" i="9"/>
  <c r="K76" i="9" s="1"/>
  <c r="C72" i="9"/>
  <c r="K72" i="9" s="1"/>
  <c r="C65" i="9"/>
  <c r="K65" i="9" s="1"/>
  <c r="C66" i="9"/>
  <c r="K66" i="9" s="1"/>
  <c r="C67" i="9"/>
  <c r="K67" i="9" s="1"/>
  <c r="C73" i="9"/>
  <c r="K73" i="9" s="1"/>
  <c r="C74" i="9"/>
  <c r="K74" i="9" s="1"/>
  <c r="C75" i="9"/>
  <c r="K75" i="9" s="1"/>
  <c r="C121" i="9"/>
  <c r="K121" i="9" s="1"/>
  <c r="C129" i="9"/>
  <c r="C122" i="9"/>
  <c r="K122" i="9" s="1"/>
  <c r="C130" i="9"/>
  <c r="K130" i="9" s="1"/>
  <c r="C123" i="9"/>
  <c r="K123" i="9" s="1"/>
  <c r="C131" i="9"/>
  <c r="K131" i="9" s="1"/>
  <c r="C132" i="9"/>
  <c r="K132" i="9" s="1"/>
  <c r="C120" i="9"/>
  <c r="K120" i="9" s="1"/>
  <c r="C128" i="9"/>
  <c r="K128" i="9" s="1"/>
  <c r="C124" i="9"/>
  <c r="C119" i="9"/>
  <c r="C126" i="9"/>
  <c r="K126" i="9" s="1"/>
  <c r="C125" i="9"/>
  <c r="K125" i="9" s="1"/>
  <c r="C118" i="9"/>
  <c r="K118" i="9" s="1"/>
  <c r="C127" i="9"/>
  <c r="K127" i="9" s="1"/>
  <c r="C117" i="9"/>
  <c r="K117" i="9" s="1"/>
  <c r="C95" i="9"/>
  <c r="K95" i="9" s="1"/>
  <c r="C103" i="9"/>
  <c r="K103" i="9" s="1"/>
  <c r="C106" i="9"/>
  <c r="K106" i="9" s="1"/>
  <c r="C96" i="9"/>
  <c r="K96" i="9" s="1"/>
  <c r="C104" i="9"/>
  <c r="K104" i="9" s="1"/>
  <c r="C98" i="9"/>
  <c r="K98" i="9" s="1"/>
  <c r="C97" i="9"/>
  <c r="C105" i="9"/>
  <c r="K105" i="9" s="1"/>
  <c r="C94" i="9"/>
  <c r="K94" i="9" s="1"/>
  <c r="C102" i="9"/>
  <c r="C100" i="9"/>
  <c r="K100" i="9" s="1"/>
  <c r="C101" i="9"/>
  <c r="K101" i="9" s="1"/>
  <c r="C93" i="9"/>
  <c r="K93" i="9" s="1"/>
  <c r="C99" i="9"/>
  <c r="K99" i="9" s="1"/>
  <c r="C91" i="9"/>
  <c r="K91" i="9" s="1"/>
  <c r="C92" i="9"/>
  <c r="S22" i="8"/>
  <c r="R22" i="8"/>
  <c r="I21" i="1"/>
  <c r="I16" i="8" s="1"/>
  <c r="BO139" i="13" l="1"/>
  <c r="BO140" i="13" s="1"/>
  <c r="S139" i="14"/>
  <c r="D152" i="9"/>
  <c r="L152" i="9" s="1"/>
  <c r="K48" i="9"/>
  <c r="D147" i="9"/>
  <c r="L147" i="9" s="1"/>
  <c r="K43" i="9"/>
  <c r="D144" i="9"/>
  <c r="L144" i="9" s="1"/>
  <c r="K92" i="9"/>
  <c r="D146" i="9"/>
  <c r="L146" i="9" s="1"/>
  <c r="K68" i="9"/>
  <c r="D156" i="9"/>
  <c r="L156" i="9" s="1"/>
  <c r="K78" i="9"/>
  <c r="D143" i="9"/>
  <c r="L143" i="9" s="1"/>
  <c r="K13" i="9"/>
  <c r="D148" i="9"/>
  <c r="L148" i="9" s="1"/>
  <c r="K18" i="9"/>
  <c r="D154" i="9"/>
  <c r="L154" i="9" s="1"/>
  <c r="K102" i="9"/>
  <c r="D149" i="9"/>
  <c r="L149" i="9" s="1"/>
  <c r="K97" i="9"/>
  <c r="D145" i="9"/>
  <c r="L145" i="9" s="1"/>
  <c r="K119" i="9"/>
  <c r="D150" i="9"/>
  <c r="L150" i="9" s="1"/>
  <c r="K124" i="9"/>
  <c r="D155" i="9"/>
  <c r="L155" i="9" s="1"/>
  <c r="K129" i="9"/>
  <c r="D153" i="9"/>
  <c r="L153" i="9" s="1"/>
  <c r="K23" i="9"/>
  <c r="D158" i="9"/>
  <c r="L158" i="9" s="1"/>
  <c r="K28" i="9"/>
  <c r="D157" i="9"/>
  <c r="L157" i="9" s="1"/>
  <c r="K53" i="9"/>
  <c r="CM139" i="16"/>
  <c r="CM140" i="16" s="1"/>
  <c r="CM141" i="16" s="1"/>
  <c r="CM142" i="16" s="1"/>
  <c r="CM143" i="16" s="1"/>
  <c r="CM144" i="16" s="1"/>
  <c r="CM145" i="16" s="1"/>
  <c r="CM146" i="16" s="1"/>
  <c r="CM147" i="16" s="1"/>
  <c r="CM148" i="16" s="1"/>
  <c r="CM149" i="16" s="1"/>
  <c r="CM150" i="16" s="1"/>
  <c r="CM151" i="16" s="1"/>
  <c r="CM152" i="16" s="1"/>
  <c r="CM153" i="16" s="1"/>
  <c r="AJ161" i="16" s="1"/>
  <c r="BO139" i="14"/>
  <c r="BO140" i="14" s="1"/>
  <c r="BO141" i="14" s="1"/>
  <c r="BO142" i="14" s="1"/>
  <c r="BO143" i="14" s="1"/>
  <c r="BO144" i="14" s="1"/>
  <c r="BO145" i="14" s="1"/>
  <c r="BO146" i="14" s="1"/>
  <c r="BO147" i="14" s="1"/>
  <c r="BO148" i="14" s="1"/>
  <c r="BO149" i="14" s="1"/>
  <c r="BO150" i="14" s="1"/>
  <c r="BO151" i="14" s="1"/>
  <c r="BO152" i="14" s="1"/>
  <c r="BO153" i="14" s="1"/>
  <c r="AI161" i="14" s="1"/>
  <c r="BO141" i="16"/>
  <c r="BO142" i="16" s="1"/>
  <c r="BO143" i="16" s="1"/>
  <c r="BO144" i="16" s="1"/>
  <c r="BO145" i="16" s="1"/>
  <c r="BO146" i="16" s="1"/>
  <c r="BO147" i="16" s="1"/>
  <c r="BO148" i="16" s="1"/>
  <c r="BO149" i="16" s="1"/>
  <c r="BO150" i="16" s="1"/>
  <c r="BO151" i="16" s="1"/>
  <c r="BO152" i="16" s="1"/>
  <c r="BO153" i="16" s="1"/>
  <c r="AI161" i="16" s="1"/>
  <c r="AQ139" i="15"/>
  <c r="AQ140" i="15" s="1"/>
  <c r="AQ141" i="15" s="1"/>
  <c r="AQ142" i="15" s="1"/>
  <c r="AQ143" i="15" s="1"/>
  <c r="AQ144" i="15" s="1"/>
  <c r="AQ145" i="15" s="1"/>
  <c r="AQ146" i="15" s="1"/>
  <c r="AQ147" i="15" s="1"/>
  <c r="AQ148" i="15" s="1"/>
  <c r="AQ149" i="15" s="1"/>
  <c r="AQ150" i="15" s="1"/>
  <c r="AQ151" i="15" s="1"/>
  <c r="AQ152" i="15" s="1"/>
  <c r="AQ153" i="15" s="1"/>
  <c r="AH161" i="15" s="1"/>
  <c r="S139" i="15"/>
  <c r="S140" i="15" s="1"/>
  <c r="S141" i="15" s="1"/>
  <c r="S142" i="15" s="1"/>
  <c r="S143" i="15" s="1"/>
  <c r="S144" i="15" s="1"/>
  <c r="S145" i="15" s="1"/>
  <c r="S146" i="15" s="1"/>
  <c r="S147" i="15" s="1"/>
  <c r="S148" i="15" s="1"/>
  <c r="S149" i="15" s="1"/>
  <c r="S150" i="15" s="1"/>
  <c r="S151" i="15" s="1"/>
  <c r="S152" i="15" s="1"/>
  <c r="S153" i="15" s="1"/>
  <c r="AG161" i="15" s="1"/>
  <c r="AQ139" i="14"/>
  <c r="AQ140" i="14" s="1"/>
  <c r="AQ141" i="14" s="1"/>
  <c r="AQ142" i="14" s="1"/>
  <c r="AQ143" i="14" s="1"/>
  <c r="AQ144" i="14" s="1"/>
  <c r="AQ145" i="14" s="1"/>
  <c r="AQ146" i="14" s="1"/>
  <c r="AQ147" i="14" s="1"/>
  <c r="AQ148" i="14" s="1"/>
  <c r="AQ149" i="14" s="1"/>
  <c r="AQ150" i="14" s="1"/>
  <c r="AQ151" i="14" s="1"/>
  <c r="AQ152" i="14" s="1"/>
  <c r="AQ153" i="14" s="1"/>
  <c r="AH161" i="14" s="1"/>
  <c r="CM139" i="15"/>
  <c r="CM140" i="15" s="1"/>
  <c r="CM141" i="15" s="1"/>
  <c r="CM142" i="15" s="1"/>
  <c r="CM143" i="15" s="1"/>
  <c r="CM144" i="15" s="1"/>
  <c r="CM145" i="15" s="1"/>
  <c r="CM146" i="15" s="1"/>
  <c r="CM147" i="15" s="1"/>
  <c r="CM148" i="15" s="1"/>
  <c r="CM149" i="15" s="1"/>
  <c r="CM150" i="15" s="1"/>
  <c r="CM151" i="15" s="1"/>
  <c r="CM152" i="15" s="1"/>
  <c r="CM153" i="15" s="1"/>
  <c r="AJ161" i="15" s="1"/>
  <c r="S139" i="16"/>
  <c r="S140" i="16" s="1"/>
  <c r="S141" i="16" s="1"/>
  <c r="S142" i="16" s="1"/>
  <c r="S143" i="16" s="1"/>
  <c r="S144" i="16" s="1"/>
  <c r="S145" i="16" s="1"/>
  <c r="S146" i="16" s="1"/>
  <c r="S147" i="16" s="1"/>
  <c r="S148" i="16" s="1"/>
  <c r="S149" i="16" s="1"/>
  <c r="S150" i="16" s="1"/>
  <c r="S151" i="16" s="1"/>
  <c r="S152" i="16" s="1"/>
  <c r="S153" i="16" s="1"/>
  <c r="AG161" i="16" s="1"/>
  <c r="S139" i="13"/>
  <c r="S140" i="13" s="1"/>
  <c r="S141" i="13" s="1"/>
  <c r="S142" i="13" s="1"/>
  <c r="S143" i="13" s="1"/>
  <c r="S144" i="13" s="1"/>
  <c r="S145" i="13" s="1"/>
  <c r="S146" i="13" s="1"/>
  <c r="S147" i="13" s="1"/>
  <c r="S148" i="13" s="1"/>
  <c r="S149" i="13" s="1"/>
  <c r="S150" i="13" s="1"/>
  <c r="S151" i="13" s="1"/>
  <c r="S152" i="13" s="1"/>
  <c r="S153" i="13" s="1"/>
  <c r="AG161" i="13" s="1"/>
  <c r="DK139" i="15"/>
  <c r="DK140" i="15" s="1"/>
  <c r="DK141" i="15" s="1"/>
  <c r="DK142" i="15" s="1"/>
  <c r="DK143" i="15" s="1"/>
  <c r="DK144" i="15" s="1"/>
  <c r="DK145" i="15" s="1"/>
  <c r="DK146" i="15" s="1"/>
  <c r="DK147" i="15" s="1"/>
  <c r="DK148" i="15" s="1"/>
  <c r="DK149" i="15" s="1"/>
  <c r="DK150" i="15" s="1"/>
  <c r="DK151" i="15" s="1"/>
  <c r="DK152" i="15" s="1"/>
  <c r="DK153" i="15" s="1"/>
  <c r="AK161" i="15" s="1"/>
  <c r="AQ140" i="13"/>
  <c r="AQ141" i="13" s="1"/>
  <c r="AQ142" i="13" s="1"/>
  <c r="AQ143" i="13" s="1"/>
  <c r="AQ144" i="13" s="1"/>
  <c r="AQ145" i="13" s="1"/>
  <c r="AQ146" i="13" s="1"/>
  <c r="AQ147" i="13" s="1"/>
  <c r="AQ148" i="13" s="1"/>
  <c r="AQ149" i="13" s="1"/>
  <c r="AQ150" i="13" s="1"/>
  <c r="AQ151" i="13" s="1"/>
  <c r="AQ152" i="13" s="1"/>
  <c r="AQ153" i="13" s="1"/>
  <c r="AH161" i="13" s="1"/>
  <c r="CM139" i="14"/>
  <c r="CM140" i="14" s="1"/>
  <c r="CM141" i="14" s="1"/>
  <c r="CM142" i="14" s="1"/>
  <c r="CM143" i="14" s="1"/>
  <c r="CM144" i="14" s="1"/>
  <c r="CM145" i="14" s="1"/>
  <c r="CM146" i="14" s="1"/>
  <c r="CM147" i="14" s="1"/>
  <c r="CM148" i="14" s="1"/>
  <c r="CM149" i="14" s="1"/>
  <c r="CM150" i="14" s="1"/>
  <c r="CM151" i="14" s="1"/>
  <c r="CM152" i="14" s="1"/>
  <c r="CM153" i="14" s="1"/>
  <c r="AJ161" i="14" s="1"/>
  <c r="BO139" i="15"/>
  <c r="BO140" i="15" s="1"/>
  <c r="BO141" i="15" s="1"/>
  <c r="BO142" i="15" s="1"/>
  <c r="BO143" i="15" s="1"/>
  <c r="BO144" i="15" s="1"/>
  <c r="BO145" i="15" s="1"/>
  <c r="BO146" i="15" s="1"/>
  <c r="BO147" i="15" s="1"/>
  <c r="BO148" i="15" s="1"/>
  <c r="BO149" i="15" s="1"/>
  <c r="BO150" i="15" s="1"/>
  <c r="BO151" i="15" s="1"/>
  <c r="BO152" i="15" s="1"/>
  <c r="BO153" i="15" s="1"/>
  <c r="AI161" i="15" s="1"/>
  <c r="DK139" i="16"/>
  <c r="DK140" i="16" s="1"/>
  <c r="DK141" i="16" s="1"/>
  <c r="DK142" i="16" s="1"/>
  <c r="DK143" i="16" s="1"/>
  <c r="DK144" i="16" s="1"/>
  <c r="DK145" i="16" s="1"/>
  <c r="DK146" i="16" s="1"/>
  <c r="DK147" i="16" s="1"/>
  <c r="DK148" i="16" s="1"/>
  <c r="DK149" i="16" s="1"/>
  <c r="DK150" i="16" s="1"/>
  <c r="DK151" i="16" s="1"/>
  <c r="DK152" i="16" s="1"/>
  <c r="DK153" i="16" s="1"/>
  <c r="AK161" i="16" s="1"/>
  <c r="AQ139" i="16"/>
  <c r="AQ140" i="16" s="1"/>
  <c r="AQ141" i="16" s="1"/>
  <c r="AQ142" i="16" s="1"/>
  <c r="AQ143" i="16" s="1"/>
  <c r="AQ144" i="16" s="1"/>
  <c r="AQ145" i="16" s="1"/>
  <c r="AQ146" i="16" s="1"/>
  <c r="AQ147" i="16" s="1"/>
  <c r="AQ148" i="16" s="1"/>
  <c r="AQ149" i="16" s="1"/>
  <c r="AQ150" i="16" s="1"/>
  <c r="AQ151" i="16" s="1"/>
  <c r="AQ152" i="16" s="1"/>
  <c r="AQ153" i="16" s="1"/>
  <c r="AH161" i="16" s="1"/>
  <c r="CM139" i="13"/>
  <c r="CM140" i="13" s="1"/>
  <c r="CM141" i="13" s="1"/>
  <c r="CM142" i="13" s="1"/>
  <c r="CM143" i="13" s="1"/>
  <c r="CM144" i="13" s="1"/>
  <c r="CM145" i="13" s="1"/>
  <c r="CM146" i="13" s="1"/>
  <c r="CM147" i="13" s="1"/>
  <c r="CM148" i="13" s="1"/>
  <c r="CM149" i="13" s="1"/>
  <c r="CM150" i="13" s="1"/>
  <c r="CM151" i="13" s="1"/>
  <c r="CM152" i="13" s="1"/>
  <c r="CM153" i="13" s="1"/>
  <c r="AJ161" i="13" s="1"/>
  <c r="DK139" i="14"/>
  <c r="DK140" i="14" s="1"/>
  <c r="DK141" i="14" s="1"/>
  <c r="DK142" i="14" s="1"/>
  <c r="DK143" i="14" s="1"/>
  <c r="DK144" i="14" s="1"/>
  <c r="DK145" i="14" s="1"/>
  <c r="DK146" i="14" s="1"/>
  <c r="DK147" i="14" s="1"/>
  <c r="DK148" i="14" s="1"/>
  <c r="DK149" i="14" s="1"/>
  <c r="DK150" i="14" s="1"/>
  <c r="DK151" i="14" s="1"/>
  <c r="DK152" i="14" s="1"/>
  <c r="DK153" i="14" s="1"/>
  <c r="AK161" i="14" s="1"/>
  <c r="DK139" i="13"/>
  <c r="DK140" i="13" s="1"/>
  <c r="DK141" i="13" s="1"/>
  <c r="DK142" i="13" s="1"/>
  <c r="DK143" i="13" s="1"/>
  <c r="DK144" i="13" s="1"/>
  <c r="DK145" i="13" s="1"/>
  <c r="DK146" i="13" s="1"/>
  <c r="DK147" i="13" s="1"/>
  <c r="DK148" i="13" s="1"/>
  <c r="DK149" i="13" s="1"/>
  <c r="DK150" i="13" s="1"/>
  <c r="DK151" i="13" s="1"/>
  <c r="DK152" i="13" s="1"/>
  <c r="DK153" i="13" s="1"/>
  <c r="AK161" i="13" s="1"/>
  <c r="BO141" i="13"/>
  <c r="BO142" i="13" s="1"/>
  <c r="BO143" i="13" s="1"/>
  <c r="BO144" i="13" s="1"/>
  <c r="BO145" i="13" s="1"/>
  <c r="BO146" i="13" s="1"/>
  <c r="BO147" i="13" s="1"/>
  <c r="BO148" i="13" s="1"/>
  <c r="BO149" i="13" s="1"/>
  <c r="BO150" i="13" s="1"/>
  <c r="BO151" i="13" s="1"/>
  <c r="BO152" i="13" s="1"/>
  <c r="BO153" i="13" s="1"/>
  <c r="AI161" i="13" s="1"/>
  <c r="S140" i="14"/>
  <c r="S141" i="14" s="1"/>
  <c r="S142" i="14" s="1"/>
  <c r="S143" i="14" s="1"/>
  <c r="S144" i="14" s="1"/>
  <c r="S145" i="14" s="1"/>
  <c r="S146" i="14" s="1"/>
  <c r="S147" i="14" s="1"/>
  <c r="S148" i="14" s="1"/>
  <c r="S149" i="14" s="1"/>
  <c r="S150" i="14" s="1"/>
  <c r="S151" i="14" s="1"/>
  <c r="S152" i="14" s="1"/>
  <c r="S153" i="14" s="1"/>
  <c r="AG161" i="14" s="1"/>
  <c r="D151" i="9"/>
  <c r="L151" i="9" s="1"/>
  <c r="J8" i="17"/>
  <c r="J12" i="17"/>
  <c r="J16" i="17"/>
  <c r="J20" i="17"/>
  <c r="J10" i="17"/>
  <c r="J18" i="17"/>
  <c r="J11" i="17"/>
  <c r="J19" i="17"/>
  <c r="J9" i="17"/>
  <c r="J13" i="17"/>
  <c r="J17" i="17"/>
  <c r="J21" i="17"/>
  <c r="J14" i="17"/>
  <c r="J22" i="17"/>
  <c r="J15" i="17"/>
  <c r="J7" i="17"/>
  <c r="DC128" i="16"/>
  <c r="DC124" i="16"/>
  <c r="DC120" i="16"/>
  <c r="DC116" i="16"/>
  <c r="CE127" i="16"/>
  <c r="CE123" i="16"/>
  <c r="CE119" i="16"/>
  <c r="CE115" i="16"/>
  <c r="BG126" i="16"/>
  <c r="BG122" i="16"/>
  <c r="BG118" i="16"/>
  <c r="BG114" i="16"/>
  <c r="AI125" i="16"/>
  <c r="AI121" i="16"/>
  <c r="AI117" i="16"/>
  <c r="K128" i="16"/>
  <c r="K124" i="16"/>
  <c r="K120" i="16"/>
  <c r="K116" i="16"/>
  <c r="DC127" i="15"/>
  <c r="DC123" i="15"/>
  <c r="DC119" i="15"/>
  <c r="DC115" i="15"/>
  <c r="CE126" i="15"/>
  <c r="CE122" i="15"/>
  <c r="CE118" i="15"/>
  <c r="CE114" i="15"/>
  <c r="BG125" i="15"/>
  <c r="BG121" i="15"/>
  <c r="BG117" i="15"/>
  <c r="AI128" i="15"/>
  <c r="AI124" i="15"/>
  <c r="AI120" i="15"/>
  <c r="AI116" i="15"/>
  <c r="K127" i="15"/>
  <c r="K123" i="15"/>
  <c r="K119" i="15"/>
  <c r="K115" i="15"/>
  <c r="DC126" i="14"/>
  <c r="DC122" i="14"/>
  <c r="DC118" i="14"/>
  <c r="DC114" i="14"/>
  <c r="CE125" i="14"/>
  <c r="CE121" i="14"/>
  <c r="CE117" i="14"/>
  <c r="BG128" i="14"/>
  <c r="BG124" i="14"/>
  <c r="BG120" i="14"/>
  <c r="BG116" i="14"/>
  <c r="AI127" i="14"/>
  <c r="AI123" i="14"/>
  <c r="AI119" i="14"/>
  <c r="AI115" i="14"/>
  <c r="K126" i="14"/>
  <c r="K122" i="14"/>
  <c r="K118" i="14"/>
  <c r="K114" i="14"/>
  <c r="DC125" i="13"/>
  <c r="DC121" i="13"/>
  <c r="DC117" i="13"/>
  <c r="CE128" i="13"/>
  <c r="CE124" i="13"/>
  <c r="CE120" i="13"/>
  <c r="CE116" i="13"/>
  <c r="BG127" i="13"/>
  <c r="BG123" i="13"/>
  <c r="BG119" i="13"/>
  <c r="BG115" i="13"/>
  <c r="AI126" i="13"/>
  <c r="AI122" i="13"/>
  <c r="AI118" i="13"/>
  <c r="AI114" i="13"/>
  <c r="K118" i="13"/>
  <c r="K122" i="13"/>
  <c r="K126" i="13"/>
  <c r="DC126" i="16"/>
  <c r="DC122" i="16"/>
  <c r="DC118" i="16"/>
  <c r="DC114" i="16"/>
  <c r="CE125" i="16"/>
  <c r="CE121" i="16"/>
  <c r="CE117" i="16"/>
  <c r="BG128" i="16"/>
  <c r="BG124" i="16"/>
  <c r="BG120" i="16"/>
  <c r="BG116" i="16"/>
  <c r="AI127" i="16"/>
  <c r="AI123" i="16"/>
  <c r="AI119" i="16"/>
  <c r="AI115" i="16"/>
  <c r="K126" i="16"/>
  <c r="K122" i="16"/>
  <c r="K118" i="16"/>
  <c r="K114" i="16"/>
  <c r="DC125" i="15"/>
  <c r="DC121" i="15"/>
  <c r="DC117" i="15"/>
  <c r="CE128" i="15"/>
  <c r="CE124" i="15"/>
  <c r="CE120" i="15"/>
  <c r="CE116" i="15"/>
  <c r="BG127" i="15"/>
  <c r="BG123" i="15"/>
  <c r="BG119" i="15"/>
  <c r="BG115" i="15"/>
  <c r="AI126" i="15"/>
  <c r="AI122" i="15"/>
  <c r="AI118" i="15"/>
  <c r="AI114" i="15"/>
  <c r="K125" i="15"/>
  <c r="K121" i="15"/>
  <c r="K117" i="15"/>
  <c r="DC128" i="14"/>
  <c r="DC124" i="14"/>
  <c r="DC120" i="14"/>
  <c r="DC116" i="14"/>
  <c r="CE127" i="14"/>
  <c r="CE123" i="14"/>
  <c r="CE119" i="14"/>
  <c r="CE115" i="14"/>
  <c r="BG126" i="14"/>
  <c r="BG122" i="14"/>
  <c r="BG118" i="14"/>
  <c r="BG114" i="14"/>
  <c r="AI125" i="14"/>
  <c r="AI121" i="14"/>
  <c r="AI117" i="14"/>
  <c r="K128" i="14"/>
  <c r="K124" i="14"/>
  <c r="K120" i="14"/>
  <c r="K116" i="14"/>
  <c r="DC127" i="13"/>
  <c r="DC123" i="13"/>
  <c r="DC119" i="13"/>
  <c r="DC115" i="13"/>
  <c r="CE126" i="13"/>
  <c r="CE122" i="13"/>
  <c r="CE118" i="13"/>
  <c r="CE114" i="13"/>
  <c r="BG125" i="13"/>
  <c r="BG121" i="13"/>
  <c r="BG117" i="13"/>
  <c r="AI128" i="13"/>
  <c r="AI124" i="13"/>
  <c r="AI120" i="13"/>
  <c r="AI116" i="13"/>
  <c r="K116" i="13"/>
  <c r="K120" i="13"/>
  <c r="K124" i="13"/>
  <c r="K128" i="13"/>
  <c r="DC125" i="16"/>
  <c r="DC121" i="16"/>
  <c r="DC127" i="16"/>
  <c r="DC115" i="16"/>
  <c r="CE122" i="16"/>
  <c r="CE114" i="16"/>
  <c r="BG121" i="16"/>
  <c r="AI128" i="16"/>
  <c r="AI120" i="16"/>
  <c r="K127" i="16"/>
  <c r="K119" i="16"/>
  <c r="DC126" i="15"/>
  <c r="DC118" i="15"/>
  <c r="CE125" i="15"/>
  <c r="CE117" i="15"/>
  <c r="BG124" i="15"/>
  <c r="BG116" i="15"/>
  <c r="AI123" i="15"/>
  <c r="AI115" i="15"/>
  <c r="K122" i="15"/>
  <c r="K114" i="15"/>
  <c r="DC121" i="14"/>
  <c r="CE128" i="14"/>
  <c r="CE120" i="14"/>
  <c r="BG127" i="14"/>
  <c r="BG119" i="14"/>
  <c r="AI126" i="14"/>
  <c r="AI118" i="14"/>
  <c r="K125" i="14"/>
  <c r="K117" i="14"/>
  <c r="DC124" i="13"/>
  <c r="DC116" i="13"/>
  <c r="CE123" i="13"/>
  <c r="CE115" i="13"/>
  <c r="BG122" i="13"/>
  <c r="BG114" i="13"/>
  <c r="AI121" i="13"/>
  <c r="K115" i="13"/>
  <c r="K123" i="13"/>
  <c r="DC123" i="16"/>
  <c r="CE128" i="16"/>
  <c r="CE120" i="16"/>
  <c r="BG127" i="16"/>
  <c r="BG119" i="16"/>
  <c r="AI126" i="16"/>
  <c r="AI118" i="16"/>
  <c r="K125" i="16"/>
  <c r="K117" i="16"/>
  <c r="DC124" i="15"/>
  <c r="DC116" i="15"/>
  <c r="CE123" i="15"/>
  <c r="CE115" i="15"/>
  <c r="BG122" i="15"/>
  <c r="BG114" i="15"/>
  <c r="AI121" i="15"/>
  <c r="K128" i="15"/>
  <c r="K120" i="15"/>
  <c r="DC127" i="14"/>
  <c r="DC119" i="14"/>
  <c r="CE126" i="14"/>
  <c r="CE118" i="14"/>
  <c r="BG125" i="14"/>
  <c r="BG117" i="14"/>
  <c r="AI124" i="14"/>
  <c r="AI116" i="14"/>
  <c r="K123" i="14"/>
  <c r="K115" i="14"/>
  <c r="DC122" i="13"/>
  <c r="DC114" i="13"/>
  <c r="CE121" i="13"/>
  <c r="BG128" i="13"/>
  <c r="BG120" i="13"/>
  <c r="AI127" i="13"/>
  <c r="AI119" i="13"/>
  <c r="K117" i="13"/>
  <c r="K125" i="13"/>
  <c r="DC119" i="16"/>
  <c r="CE126" i="16"/>
  <c r="CE118" i="16"/>
  <c r="DC117" i="16"/>
  <c r="BG123" i="16"/>
  <c r="AI122" i="16"/>
  <c r="K121" i="16"/>
  <c r="DC120" i="15"/>
  <c r="CE119" i="15"/>
  <c r="BG118" i="15"/>
  <c r="AI117" i="15"/>
  <c r="K116" i="15"/>
  <c r="DC115" i="14"/>
  <c r="CE114" i="14"/>
  <c r="AI128" i="14"/>
  <c r="K127" i="14"/>
  <c r="DC126" i="13"/>
  <c r="CE125" i="13"/>
  <c r="BG124" i="13"/>
  <c r="AI123" i="13"/>
  <c r="K121" i="13"/>
  <c r="AI125" i="15"/>
  <c r="CE124" i="16"/>
  <c r="BG117" i="16"/>
  <c r="AI116" i="16"/>
  <c r="K115" i="16"/>
  <c r="DC114" i="15"/>
  <c r="BG128" i="15"/>
  <c r="AI127" i="15"/>
  <c r="K126" i="15"/>
  <c r="DC125" i="14"/>
  <c r="CE124" i="14"/>
  <c r="BG123" i="14"/>
  <c r="AI122" i="14"/>
  <c r="K121" i="14"/>
  <c r="DC120" i="13"/>
  <c r="CE119" i="13"/>
  <c r="BG118" i="13"/>
  <c r="AI117" i="13"/>
  <c r="K127" i="13"/>
  <c r="CE116" i="16"/>
  <c r="BG115" i="16"/>
  <c r="AI114" i="16"/>
  <c r="DC128" i="15"/>
  <c r="CE127" i="15"/>
  <c r="BG126" i="15"/>
  <c r="K124" i="15"/>
  <c r="DC123" i="14"/>
  <c r="CE122" i="14"/>
  <c r="BG121" i="14"/>
  <c r="AI120" i="14"/>
  <c r="K119" i="14"/>
  <c r="DC118" i="13"/>
  <c r="CE117" i="13"/>
  <c r="BG116" i="13"/>
  <c r="AI115" i="13"/>
  <c r="K114" i="13"/>
  <c r="BG125" i="16"/>
  <c r="AI124" i="16"/>
  <c r="K123" i="16"/>
  <c r="DC122" i="15"/>
  <c r="CE121" i="15"/>
  <c r="BG120" i="15"/>
  <c r="AI119" i="15"/>
  <c r="K118" i="15"/>
  <c r="DC117" i="14"/>
  <c r="CE116" i="14"/>
  <c r="BG115" i="14"/>
  <c r="AI114" i="14"/>
  <c r="DC128" i="13"/>
  <c r="CE127" i="13"/>
  <c r="BG126" i="13"/>
  <c r="AI125" i="13"/>
  <c r="K119" i="13"/>
  <c r="E44" i="22"/>
  <c r="H14" i="23" s="1"/>
  <c r="J14" i="23" s="1"/>
  <c r="E52" i="22"/>
  <c r="H22" i="23" s="1"/>
  <c r="J22" i="23" s="1"/>
  <c r="E40" i="22"/>
  <c r="H10" i="23" s="1"/>
  <c r="J10" i="23" s="1"/>
  <c r="E41" i="22"/>
  <c r="H11" i="23" s="1"/>
  <c r="J11" i="23" s="1"/>
  <c r="E50" i="22"/>
  <c r="H20" i="23" s="1"/>
  <c r="J20" i="23" s="1"/>
  <c r="E43" i="22"/>
  <c r="H13" i="23" s="1"/>
  <c r="J13" i="23" s="1"/>
  <c r="E45" i="22"/>
  <c r="H15" i="23" s="1"/>
  <c r="J15" i="23" s="1"/>
  <c r="E47" i="22"/>
  <c r="H17" i="23" s="1"/>
  <c r="J17" i="23" s="1"/>
  <c r="E49" i="22"/>
  <c r="H19" i="23" s="1"/>
  <c r="J19" i="23" s="1"/>
  <c r="E46" i="22"/>
  <c r="H16" i="23" s="1"/>
  <c r="J16" i="23" s="1"/>
  <c r="E39" i="22"/>
  <c r="H9" i="23" s="1"/>
  <c r="J9" i="23" s="1"/>
  <c r="E48" i="22"/>
  <c r="H18" i="23" s="1"/>
  <c r="J18" i="23" s="1"/>
  <c r="E38" i="22"/>
  <c r="H8" i="23" s="1"/>
  <c r="J8" i="23" s="1"/>
  <c r="E42" i="22"/>
  <c r="H12" i="23" s="1"/>
  <c r="J12" i="23" s="1"/>
  <c r="E51" i="22"/>
  <c r="H21" i="23" s="1"/>
  <c r="J21" i="23" s="1"/>
  <c r="R63" i="2"/>
  <c r="S21" i="8" s="1"/>
  <c r="K187" i="3"/>
  <c r="I67" i="1" s="1"/>
  <c r="I187" i="3"/>
  <c r="H67" i="1" s="1"/>
  <c r="R134" i="3"/>
  <c r="H187" i="3" s="1"/>
  <c r="G65" i="1" s="1"/>
  <c r="G67" i="1" s="1"/>
  <c r="K180" i="3"/>
  <c r="I59" i="1" s="1"/>
  <c r="I180" i="3"/>
  <c r="H59" i="1" s="1"/>
  <c r="H180" i="3"/>
  <c r="G59" i="1" s="1"/>
  <c r="G180" i="3"/>
  <c r="F59" i="1" s="1"/>
  <c r="F180" i="3"/>
  <c r="E59" i="1" s="1"/>
  <c r="K179" i="3"/>
  <c r="I58" i="1" s="1"/>
  <c r="I179" i="3"/>
  <c r="H58" i="1" s="1"/>
  <c r="G179" i="3"/>
  <c r="F58" i="1" s="1"/>
  <c r="F179" i="3"/>
  <c r="E58" i="1" s="1"/>
  <c r="K178" i="3"/>
  <c r="I178" i="3"/>
  <c r="K177" i="3"/>
  <c r="I56" i="1" s="1"/>
  <c r="I177" i="3"/>
  <c r="H56" i="1" s="1"/>
  <c r="H177" i="3"/>
  <c r="G56" i="1" s="1"/>
  <c r="G177" i="3"/>
  <c r="F56" i="1" s="1"/>
  <c r="F177" i="3"/>
  <c r="E56" i="1" s="1"/>
  <c r="K173" i="3"/>
  <c r="I52" i="1" s="1"/>
  <c r="I173" i="3"/>
  <c r="H52" i="1" s="1"/>
  <c r="H173" i="3"/>
  <c r="G52" i="1" s="1"/>
  <c r="G173" i="3"/>
  <c r="F52" i="1" s="1"/>
  <c r="F173" i="3"/>
  <c r="E52" i="1" s="1"/>
  <c r="R141" i="3"/>
  <c r="S140" i="3"/>
  <c r="S141" i="3" s="1"/>
  <c r="M134" i="3"/>
  <c r="G187" i="3" s="1"/>
  <c r="F65" i="1" s="1"/>
  <c r="F67" i="1" s="1"/>
  <c r="H134" i="3"/>
  <c r="S133" i="3"/>
  <c r="N133" i="3"/>
  <c r="I133" i="3"/>
  <c r="Q125" i="3"/>
  <c r="N125" i="3"/>
  <c r="L125" i="3"/>
  <c r="I125" i="3"/>
  <c r="G125" i="3"/>
  <c r="AC105" i="3"/>
  <c r="AB105" i="3"/>
  <c r="W105" i="3"/>
  <c r="R105" i="3"/>
  <c r="N104" i="3"/>
  <c r="I104" i="3"/>
  <c r="N103" i="3"/>
  <c r="I103" i="3"/>
  <c r="K176" i="3"/>
  <c r="S89" i="3"/>
  <c r="S105" i="3" s="1"/>
  <c r="Q105" i="3"/>
  <c r="H176" i="3" s="1"/>
  <c r="N80" i="3"/>
  <c r="I80" i="3"/>
  <c r="AC74" i="3"/>
  <c r="AA74" i="3"/>
  <c r="V74" i="3"/>
  <c r="S74" i="3"/>
  <c r="Q74" i="3"/>
  <c r="G74" i="3"/>
  <c r="G81" i="3" s="1"/>
  <c r="AB71" i="3"/>
  <c r="W71" i="3"/>
  <c r="AC71" i="3"/>
  <c r="K174" i="3"/>
  <c r="I53" i="1" s="1"/>
  <c r="X61" i="3"/>
  <c r="X71" i="3" s="1"/>
  <c r="V71" i="3"/>
  <c r="I174" i="3" s="1"/>
  <c r="H53" i="1" s="1"/>
  <c r="M71" i="3"/>
  <c r="L71" i="3"/>
  <c r="G174" i="3" s="1"/>
  <c r="F53" i="1" s="1"/>
  <c r="I57" i="3"/>
  <c r="I71" i="3" s="1"/>
  <c r="G71" i="3"/>
  <c r="F174" i="3" s="1"/>
  <c r="E53" i="1" s="1"/>
  <c r="S56" i="3"/>
  <c r="AB48" i="3"/>
  <c r="W48" i="3"/>
  <c r="M48" i="3"/>
  <c r="H48" i="3"/>
  <c r="AC48" i="3"/>
  <c r="X39" i="3"/>
  <c r="X48" i="3" s="1"/>
  <c r="R48" i="3"/>
  <c r="N39" i="3"/>
  <c r="I39" i="3"/>
  <c r="AB35" i="3"/>
  <c r="W35" i="3"/>
  <c r="S32" i="3"/>
  <c r="N32" i="3"/>
  <c r="I32" i="3"/>
  <c r="R35" i="3"/>
  <c r="N25" i="3"/>
  <c r="I25" i="3"/>
  <c r="AC15" i="3"/>
  <c r="X15" i="3"/>
  <c r="N15" i="3"/>
  <c r="I15" i="3"/>
  <c r="F187" i="3" l="1"/>
  <c r="E65" i="1" s="1"/>
  <c r="E67" i="1" s="1"/>
  <c r="K186" i="3"/>
  <c r="I55" i="1"/>
  <c r="G55" i="1"/>
  <c r="N74" i="3"/>
  <c r="N81" i="3" s="1"/>
  <c r="M81" i="3"/>
  <c r="X74" i="3"/>
  <c r="X81" i="3" s="1"/>
  <c r="W81" i="3"/>
  <c r="W8" i="3" s="1"/>
  <c r="I74" i="3"/>
  <c r="H81" i="3"/>
  <c r="S81" i="3"/>
  <c r="L119" i="13"/>
  <c r="DD117" i="14"/>
  <c r="BH125" i="16"/>
  <c r="BH126" i="15"/>
  <c r="BH118" i="13"/>
  <c r="L126" i="15"/>
  <c r="AJ125" i="15"/>
  <c r="CF114" i="14"/>
  <c r="AJ122" i="16"/>
  <c r="AJ119" i="13"/>
  <c r="L123" i="14"/>
  <c r="DD127" i="14"/>
  <c r="DD116" i="15"/>
  <c r="CF120" i="16"/>
  <c r="CF115" i="13"/>
  <c r="BH119" i="14"/>
  <c r="AJ123" i="15"/>
  <c r="L127" i="16"/>
  <c r="DD121" i="16"/>
  <c r="AJ124" i="13"/>
  <c r="CF126" i="13"/>
  <c r="L128" i="14"/>
  <c r="CF115" i="14"/>
  <c r="L117" i="15"/>
  <c r="BH119" i="15"/>
  <c r="DD121" i="15"/>
  <c r="BH124" i="16"/>
  <c r="DD126" i="16"/>
  <c r="BH115" i="13"/>
  <c r="DD117" i="13"/>
  <c r="AJ119" i="14"/>
  <c r="BH120" i="14"/>
  <c r="DD122" i="14"/>
  <c r="AJ124" i="15"/>
  <c r="CF126" i="15"/>
  <c r="L128" i="16"/>
  <c r="BH114" i="16"/>
  <c r="CF115" i="16"/>
  <c r="AJ125" i="13"/>
  <c r="L118" i="15"/>
  <c r="L114" i="13"/>
  <c r="CF127" i="15"/>
  <c r="CF119" i="13"/>
  <c r="AJ127" i="15"/>
  <c r="L121" i="13"/>
  <c r="CF119" i="15"/>
  <c r="DD119" i="16"/>
  <c r="DD114" i="13"/>
  <c r="CF118" i="14"/>
  <c r="BH122" i="15"/>
  <c r="AJ126" i="16"/>
  <c r="AJ121" i="13"/>
  <c r="L125" i="14"/>
  <c r="L114" i="15"/>
  <c r="BH116" i="15"/>
  <c r="AJ120" i="16"/>
  <c r="CF122" i="16"/>
  <c r="DD125" i="16"/>
  <c r="L116" i="13"/>
  <c r="AJ128" i="13"/>
  <c r="CF114" i="13"/>
  <c r="DD115" i="13"/>
  <c r="AJ117" i="14"/>
  <c r="BH118" i="14"/>
  <c r="CF119" i="14"/>
  <c r="DD120" i="14"/>
  <c r="L121" i="15"/>
  <c r="AJ122" i="15"/>
  <c r="BH123" i="15"/>
  <c r="CF124" i="15"/>
  <c r="DD125" i="15"/>
  <c r="L126" i="16"/>
  <c r="AJ127" i="16"/>
  <c r="BH128" i="16"/>
  <c r="DD114" i="16"/>
  <c r="L126" i="13"/>
  <c r="AJ118" i="13"/>
  <c r="BH119" i="13"/>
  <c r="CF120" i="13"/>
  <c r="DD121" i="13"/>
  <c r="L122" i="14"/>
  <c r="AJ123" i="14"/>
  <c r="BH124" i="14"/>
  <c r="CF125" i="14"/>
  <c r="DD126" i="14"/>
  <c r="L127" i="15"/>
  <c r="AJ128" i="15"/>
  <c r="CF114" i="15"/>
  <c r="DD115" i="15"/>
  <c r="L116" i="16"/>
  <c r="AJ117" i="16"/>
  <c r="BH118" i="16"/>
  <c r="CF119" i="16"/>
  <c r="DD120" i="16"/>
  <c r="BH126" i="13"/>
  <c r="BH115" i="14"/>
  <c r="AJ119" i="15"/>
  <c r="L123" i="16"/>
  <c r="AJ115" i="13"/>
  <c r="L119" i="14"/>
  <c r="DD123" i="14"/>
  <c r="DD128" i="15"/>
  <c r="L127" i="13"/>
  <c r="DD120" i="13"/>
  <c r="CF124" i="14"/>
  <c r="BH128" i="15"/>
  <c r="BH117" i="16"/>
  <c r="AJ123" i="13"/>
  <c r="L127" i="14"/>
  <c r="L116" i="15"/>
  <c r="DD120" i="15"/>
  <c r="DD117" i="16"/>
  <c r="L125" i="13"/>
  <c r="BH120" i="13"/>
  <c r="DD122" i="13"/>
  <c r="AJ124" i="14"/>
  <c r="CF126" i="14"/>
  <c r="L128" i="15"/>
  <c r="CF115" i="15"/>
  <c r="L117" i="16"/>
  <c r="BH119" i="16"/>
  <c r="DD123" i="16"/>
  <c r="BH114" i="13"/>
  <c r="DD116" i="13"/>
  <c r="AJ118" i="14"/>
  <c r="CF120" i="14"/>
  <c r="L122" i="15"/>
  <c r="BH124" i="15"/>
  <c r="DD126" i="15"/>
  <c r="AJ128" i="16"/>
  <c r="DD115" i="16"/>
  <c r="L128" i="13"/>
  <c r="AJ116" i="13"/>
  <c r="BH117" i="13"/>
  <c r="CF118" i="13"/>
  <c r="DD119" i="13"/>
  <c r="L120" i="14"/>
  <c r="AJ121" i="14"/>
  <c r="BH122" i="14"/>
  <c r="CF123" i="14"/>
  <c r="DD124" i="14"/>
  <c r="L125" i="15"/>
  <c r="AJ126" i="15"/>
  <c r="BH127" i="15"/>
  <c r="CF128" i="15"/>
  <c r="L114" i="16"/>
  <c r="AJ115" i="16"/>
  <c r="BH116" i="16"/>
  <c r="CF117" i="16"/>
  <c r="DD118" i="16"/>
  <c r="L122" i="13"/>
  <c r="AJ122" i="13"/>
  <c r="BH123" i="13"/>
  <c r="CF124" i="13"/>
  <c r="DD125" i="13"/>
  <c r="L126" i="14"/>
  <c r="AJ127" i="14"/>
  <c r="BH128" i="14"/>
  <c r="DD114" i="14"/>
  <c r="L115" i="15"/>
  <c r="AJ116" i="15"/>
  <c r="BH117" i="15"/>
  <c r="CF118" i="15"/>
  <c r="DD119" i="15"/>
  <c r="L120" i="16"/>
  <c r="AJ121" i="16"/>
  <c r="BH122" i="16"/>
  <c r="CF123" i="16"/>
  <c r="DD124" i="16"/>
  <c r="DD128" i="13"/>
  <c r="CF121" i="15"/>
  <c r="CF117" i="13"/>
  <c r="BH121" i="14"/>
  <c r="BH115" i="16"/>
  <c r="AJ122" i="14"/>
  <c r="L115" i="16"/>
  <c r="CF125" i="13"/>
  <c r="BH118" i="15"/>
  <c r="CF126" i="16"/>
  <c r="CF121" i="13"/>
  <c r="BH125" i="14"/>
  <c r="BH114" i="15"/>
  <c r="AJ118" i="16"/>
  <c r="L115" i="13"/>
  <c r="L117" i="14"/>
  <c r="DD121" i="14"/>
  <c r="CF125" i="15"/>
  <c r="CF114" i="16"/>
  <c r="L120" i="13"/>
  <c r="BH125" i="13"/>
  <c r="DD127" i="13"/>
  <c r="BH114" i="14"/>
  <c r="DD116" i="14"/>
  <c r="AJ118" i="15"/>
  <c r="CF120" i="15"/>
  <c r="L122" i="16"/>
  <c r="AJ123" i="16"/>
  <c r="CF125" i="16"/>
  <c r="AJ114" i="13"/>
  <c r="CF116" i="13"/>
  <c r="L118" i="14"/>
  <c r="CF121" i="14"/>
  <c r="L123" i="15"/>
  <c r="BH125" i="15"/>
  <c r="DD127" i="15"/>
  <c r="DD116" i="16"/>
  <c r="AJ114" i="14"/>
  <c r="DD122" i="15"/>
  <c r="DD118" i="13"/>
  <c r="CF122" i="14"/>
  <c r="CF116" i="16"/>
  <c r="BH123" i="14"/>
  <c r="AJ116" i="16"/>
  <c r="DD126" i="13"/>
  <c r="DD115" i="14"/>
  <c r="BH123" i="16"/>
  <c r="AJ127" i="13"/>
  <c r="AJ116" i="14"/>
  <c r="L120" i="15"/>
  <c r="DD124" i="15"/>
  <c r="CF128" i="16"/>
  <c r="CF123" i="13"/>
  <c r="BH127" i="14"/>
  <c r="DD118" i="15"/>
  <c r="L116" i="14"/>
  <c r="CF127" i="13"/>
  <c r="CF116" i="14"/>
  <c r="BH120" i="15"/>
  <c r="AJ124" i="16"/>
  <c r="BH116" i="13"/>
  <c r="AJ120" i="14"/>
  <c r="L124" i="15"/>
  <c r="AJ114" i="16"/>
  <c r="AJ117" i="13"/>
  <c r="L121" i="14"/>
  <c r="DD125" i="14"/>
  <c r="DD114" i="15"/>
  <c r="CF124" i="16"/>
  <c r="BH124" i="13"/>
  <c r="AJ128" i="14"/>
  <c r="AJ117" i="15"/>
  <c r="L121" i="16"/>
  <c r="CF118" i="16"/>
  <c r="L117" i="13"/>
  <c r="BH128" i="13"/>
  <c r="L115" i="14"/>
  <c r="BH117" i="14"/>
  <c r="DD119" i="14"/>
  <c r="AJ121" i="15"/>
  <c r="CF123" i="15"/>
  <c r="L125" i="16"/>
  <c r="BH127" i="16"/>
  <c r="L123" i="13"/>
  <c r="BH122" i="13"/>
  <c r="DD124" i="13"/>
  <c r="AJ126" i="14"/>
  <c r="CF128" i="14"/>
  <c r="AJ115" i="15"/>
  <c r="CF117" i="15"/>
  <c r="L119" i="16"/>
  <c r="BH121" i="16"/>
  <c r="DD127" i="16"/>
  <c r="L124" i="13"/>
  <c r="AJ120" i="13"/>
  <c r="BH121" i="13"/>
  <c r="CF122" i="13"/>
  <c r="DD123" i="13"/>
  <c r="L124" i="14"/>
  <c r="AJ125" i="14"/>
  <c r="BH126" i="14"/>
  <c r="CF127" i="14"/>
  <c r="DD128" i="14"/>
  <c r="AJ114" i="15"/>
  <c r="BH115" i="15"/>
  <c r="CF116" i="15"/>
  <c r="DD117" i="15"/>
  <c r="L118" i="16"/>
  <c r="AJ119" i="16"/>
  <c r="BH120" i="16"/>
  <c r="CF121" i="16"/>
  <c r="DD122" i="16"/>
  <c r="L118" i="13"/>
  <c r="AJ126" i="13"/>
  <c r="BH127" i="13"/>
  <c r="CF128" i="13"/>
  <c r="L114" i="14"/>
  <c r="AJ115" i="14"/>
  <c r="BH116" i="14"/>
  <c r="CF117" i="14"/>
  <c r="DD118" i="14"/>
  <c r="L119" i="15"/>
  <c r="AJ120" i="15"/>
  <c r="BH121" i="15"/>
  <c r="CF122" i="15"/>
  <c r="DD123" i="15"/>
  <c r="L124" i="16"/>
  <c r="AJ125" i="16"/>
  <c r="BH126" i="16"/>
  <c r="CF127" i="16"/>
  <c r="DD128" i="16"/>
  <c r="H172" i="3"/>
  <c r="G51" i="1" s="1"/>
  <c r="AA48" i="3"/>
  <c r="K172" i="3" s="1"/>
  <c r="I51" i="1" s="1"/>
  <c r="G39" i="3"/>
  <c r="G48" i="3" s="1"/>
  <c r="V39" i="3"/>
  <c r="V48" i="3" s="1"/>
  <c r="H51" i="1" s="1"/>
  <c r="L39" i="3"/>
  <c r="L48" i="3" s="1"/>
  <c r="G172" i="3" s="1"/>
  <c r="F51" i="1" s="1"/>
  <c r="Q140" i="3"/>
  <c r="Q141" i="3" s="1"/>
  <c r="H179" i="3" s="1"/>
  <c r="G58" i="1" s="1"/>
  <c r="L74" i="3"/>
  <c r="W44" i="10"/>
  <c r="AB44" i="10" s="1"/>
  <c r="W52" i="10"/>
  <c r="AB52" i="10" s="1"/>
  <c r="W54" i="10"/>
  <c r="AB54" i="10" s="1"/>
  <c r="W47" i="10"/>
  <c r="AB47" i="10" s="1"/>
  <c r="W45" i="10"/>
  <c r="AB45" i="10" s="1"/>
  <c r="W53" i="10"/>
  <c r="AB53" i="10" s="1"/>
  <c r="W46" i="10"/>
  <c r="AB46" i="10" s="1"/>
  <c r="W40" i="10"/>
  <c r="AB40" i="10" s="1"/>
  <c r="W48" i="10"/>
  <c r="AB48" i="10" s="1"/>
  <c r="W42" i="10"/>
  <c r="AB42" i="10" s="1"/>
  <c r="W50" i="10"/>
  <c r="AB50" i="10" s="1"/>
  <c r="W41" i="10"/>
  <c r="AB41" i="10" s="1"/>
  <c r="W49" i="10"/>
  <c r="AB49" i="10" s="1"/>
  <c r="W43" i="10"/>
  <c r="AB43" i="10" s="1"/>
  <c r="W51" i="10"/>
  <c r="AB51" i="10" s="1"/>
  <c r="L134" i="3"/>
  <c r="G178" i="3" s="1"/>
  <c r="G184" i="3" s="1"/>
  <c r="H105" i="3"/>
  <c r="Q71" i="3"/>
  <c r="H174" i="3" s="1"/>
  <c r="G53" i="1" s="1"/>
  <c r="Q134" i="3"/>
  <c r="H178" i="3" s="1"/>
  <c r="G57" i="1" s="1"/>
  <c r="AA35" i="3"/>
  <c r="K171" i="3" s="1"/>
  <c r="I50" i="1" s="1"/>
  <c r="AB8" i="3"/>
  <c r="I184" i="3"/>
  <c r="H75" i="1" s="1"/>
  <c r="H57" i="1"/>
  <c r="K184" i="3"/>
  <c r="I75" i="1" s="1"/>
  <c r="I57" i="1"/>
  <c r="G35" i="3"/>
  <c r="F171" i="3" s="1"/>
  <c r="E50" i="1" s="1"/>
  <c r="S35" i="3"/>
  <c r="G105" i="3"/>
  <c r="F176" i="3" s="1"/>
  <c r="AA81" i="3"/>
  <c r="I81" i="3"/>
  <c r="AC81" i="3"/>
  <c r="M105" i="3"/>
  <c r="I64" i="1"/>
  <c r="I66" i="1" s="1"/>
  <c r="I68" i="1" s="1"/>
  <c r="Q35" i="3"/>
  <c r="H171" i="3" s="1"/>
  <c r="G50" i="1" s="1"/>
  <c r="L35" i="3"/>
  <c r="G171" i="3" s="1"/>
  <c r="F50" i="1" s="1"/>
  <c r="N48" i="3"/>
  <c r="S71" i="3"/>
  <c r="V81" i="3"/>
  <c r="R81" i="3"/>
  <c r="V105" i="3"/>
  <c r="N57" i="3"/>
  <c r="N71" i="3" s="1"/>
  <c r="X105" i="3"/>
  <c r="G134" i="3"/>
  <c r="F178" i="3" s="1"/>
  <c r="N134" i="3"/>
  <c r="AC35" i="3"/>
  <c r="L105" i="3"/>
  <c r="G176" i="3" s="1"/>
  <c r="I35" i="3"/>
  <c r="X35" i="3"/>
  <c r="R71" i="3"/>
  <c r="Q81" i="3"/>
  <c r="N84" i="3"/>
  <c r="N105" i="3" s="1"/>
  <c r="I134" i="3"/>
  <c r="V35" i="3"/>
  <c r="I171" i="3" s="1"/>
  <c r="S125" i="3"/>
  <c r="S134" i="3" s="1"/>
  <c r="N35" i="3"/>
  <c r="S48" i="3"/>
  <c r="I48" i="3"/>
  <c r="H71" i="3"/>
  <c r="F186" i="3" s="1"/>
  <c r="M35" i="3"/>
  <c r="I84" i="3"/>
  <c r="I105" i="3" s="1"/>
  <c r="G186" i="3" l="1"/>
  <c r="H186" i="3"/>
  <c r="I186" i="3"/>
  <c r="H50" i="1"/>
  <c r="F55" i="1"/>
  <c r="E55" i="1"/>
  <c r="L81" i="3"/>
  <c r="G175" i="3" s="1"/>
  <c r="G64" i="1"/>
  <c r="G66" i="1" s="1"/>
  <c r="G68" i="1" s="1"/>
  <c r="F172" i="3"/>
  <c r="E51" i="1" s="1"/>
  <c r="F61" i="1"/>
  <c r="F75" i="1" s="1"/>
  <c r="F28" i="8" s="1"/>
  <c r="H8" i="3"/>
  <c r="R8" i="3"/>
  <c r="X51" i="10"/>
  <c r="E73" i="22" s="1"/>
  <c r="Q19" i="23" s="1"/>
  <c r="X53" i="10"/>
  <c r="E75" i="22" s="1"/>
  <c r="Q21" i="23" s="1"/>
  <c r="X49" i="10"/>
  <c r="E71" i="22" s="1"/>
  <c r="Q17" i="23" s="1"/>
  <c r="X50" i="10"/>
  <c r="E72" i="22" s="1"/>
  <c r="Q18" i="23" s="1"/>
  <c r="X47" i="10"/>
  <c r="E69" i="22" s="1"/>
  <c r="Q15" i="23" s="1"/>
  <c r="X43" i="10"/>
  <c r="E65" i="22" s="1"/>
  <c r="Q11" i="23" s="1"/>
  <c r="X45" i="10"/>
  <c r="E67" i="22" s="1"/>
  <c r="Q13" i="23" s="1"/>
  <c r="X54" i="10"/>
  <c r="E76" i="22" s="1"/>
  <c r="Q22" i="23" s="1"/>
  <c r="X48" i="10"/>
  <c r="E70" i="22" s="1"/>
  <c r="Q16" i="23" s="1"/>
  <c r="X52" i="10"/>
  <c r="E74" i="22" s="1"/>
  <c r="Q20" i="23" s="1"/>
  <c r="X46" i="10"/>
  <c r="E68" i="22" s="1"/>
  <c r="Q14" i="23" s="1"/>
  <c r="X41" i="10"/>
  <c r="E63" i="22" s="1"/>
  <c r="Q9" i="23" s="1"/>
  <c r="X42" i="10"/>
  <c r="E64" i="22" s="1"/>
  <c r="Q10" i="23" s="1"/>
  <c r="X40" i="10"/>
  <c r="E62" i="22" s="1"/>
  <c r="Q8" i="23" s="1"/>
  <c r="X44" i="10"/>
  <c r="E66" i="22" s="1"/>
  <c r="Q12" i="23" s="1"/>
  <c r="F57" i="1"/>
  <c r="H184" i="3"/>
  <c r="I176" i="3"/>
  <c r="H55" i="1" s="1"/>
  <c r="W10" i="3"/>
  <c r="M8" i="3"/>
  <c r="F184" i="3"/>
  <c r="E57" i="1"/>
  <c r="I175" i="3"/>
  <c r="F175" i="3"/>
  <c r="E54" i="1" s="1"/>
  <c r="H10" i="3"/>
  <c r="H175" i="3"/>
  <c r="R10" i="3"/>
  <c r="K175" i="3"/>
  <c r="AB10" i="3"/>
  <c r="AB9" i="3"/>
  <c r="W9" i="3"/>
  <c r="M9" i="3"/>
  <c r="R9" i="3"/>
  <c r="H9" i="3"/>
  <c r="F64" i="1"/>
  <c r="F66" i="1" s="1"/>
  <c r="F68" i="1" s="1"/>
  <c r="H64" i="1"/>
  <c r="H66" i="1" s="1"/>
  <c r="H68" i="1" s="1"/>
  <c r="E64" i="1"/>
  <c r="E66" i="1" s="1"/>
  <c r="E68" i="1" s="1"/>
  <c r="H183" i="3" l="1"/>
  <c r="G60" i="1" s="1"/>
  <c r="G54" i="1"/>
  <c r="I181" i="3"/>
  <c r="H54" i="1"/>
  <c r="K183" i="3"/>
  <c r="I60" i="1" s="1"/>
  <c r="I54" i="1"/>
  <c r="G183" i="3"/>
  <c r="F60" i="1" s="1"/>
  <c r="F62" i="1" s="1"/>
  <c r="F54" i="1"/>
  <c r="M10" i="3"/>
  <c r="F183" i="3"/>
  <c r="E60" i="1" s="1"/>
  <c r="E74" i="1" s="1"/>
  <c r="E27" i="8" s="1"/>
  <c r="K181" i="3"/>
  <c r="H181" i="3"/>
  <c r="I183" i="3"/>
  <c r="H60" i="1" s="1"/>
  <c r="G181" i="3"/>
  <c r="F181" i="3"/>
  <c r="G61" i="1"/>
  <c r="G75" i="1" s="1"/>
  <c r="G28" i="8" s="1"/>
  <c r="E61" i="1"/>
  <c r="E75" i="1" s="1"/>
  <c r="E28" i="8" s="1"/>
  <c r="W11" i="3"/>
  <c r="R11" i="3"/>
  <c r="H11" i="3"/>
  <c r="AB11" i="3"/>
  <c r="M11" i="3"/>
  <c r="F74" i="1" l="1"/>
  <c r="F27" i="8" s="1"/>
  <c r="E62" i="1"/>
  <c r="G73" i="1"/>
  <c r="G26" i="8" s="1"/>
  <c r="H62" i="1"/>
  <c r="H74" i="1"/>
  <c r="H27" i="8" s="1"/>
  <c r="I62" i="1"/>
  <c r="I74" i="1"/>
  <c r="I27" i="8" s="1"/>
  <c r="G62" i="1"/>
  <c r="G74" i="1"/>
  <c r="G27" i="8" s="1"/>
  <c r="H21" i="1"/>
  <c r="H16" i="8" s="1"/>
  <c r="G19" i="1"/>
  <c r="G14" i="8" s="1"/>
  <c r="F19" i="1"/>
  <c r="F14" i="8" s="1"/>
  <c r="E19" i="1"/>
  <c r="E14" i="8" s="1"/>
  <c r="E72" i="1"/>
  <c r="E25" i="8" s="1"/>
  <c r="H45" i="1"/>
  <c r="F76" i="1" l="1"/>
  <c r="F29" i="8" s="1"/>
  <c r="F72" i="1"/>
  <c r="F25" i="8" s="1"/>
  <c r="I45" i="1"/>
  <c r="I22" i="8" s="1"/>
  <c r="I80" i="1"/>
  <c r="I37" i="8" s="1"/>
  <c r="H80" i="1"/>
  <c r="H37" i="8" s="1"/>
  <c r="H82" i="1"/>
  <c r="H39" i="8" s="1"/>
  <c r="I76" i="1"/>
  <c r="H76" i="1"/>
  <c r="G76" i="1"/>
  <c r="G72" i="1"/>
  <c r="G25" i="8" s="1"/>
  <c r="I72" i="1"/>
  <c r="I25" i="8" s="1"/>
  <c r="E22" i="1"/>
  <c r="E17" i="8" s="1"/>
  <c r="E73" i="1"/>
  <c r="E26" i="8" s="1"/>
  <c r="F73" i="1"/>
  <c r="F26" i="8" s="1"/>
  <c r="H72" i="1"/>
  <c r="H25" i="8" s="1"/>
  <c r="F22" i="1"/>
  <c r="F17" i="8" s="1"/>
  <c r="G22" i="1"/>
  <c r="G17" i="8" s="1"/>
  <c r="E42" i="1"/>
  <c r="E45" i="1" s="1"/>
  <c r="F42" i="1"/>
  <c r="F46" i="1" s="1"/>
  <c r="F23" i="8" s="1"/>
  <c r="E76" i="1"/>
  <c r="E20" i="1"/>
  <c r="E15" i="8" s="1"/>
  <c r="G42" i="1"/>
  <c r="G46" i="1" s="1"/>
  <c r="G23" i="8" s="1"/>
  <c r="G20" i="1"/>
  <c r="I19" i="1"/>
  <c r="I14" i="8" s="1"/>
  <c r="H19" i="1"/>
  <c r="H14" i="8" s="1"/>
  <c r="G21" i="1"/>
  <c r="G16" i="8" s="1"/>
  <c r="F21" i="1"/>
  <c r="F16" i="8" s="1"/>
  <c r="H23" i="1"/>
  <c r="H18" i="8" s="1"/>
  <c r="G28" i="18" s="1"/>
  <c r="I23" i="1"/>
  <c r="I18" i="8" s="1"/>
  <c r="H28" i="18" s="1"/>
  <c r="E21" i="1"/>
  <c r="E16" i="8" s="1"/>
  <c r="F20" i="1"/>
  <c r="F15" i="8" s="1"/>
  <c r="E20" i="18" l="1"/>
  <c r="E46" i="1"/>
  <c r="E23" i="8" s="1"/>
  <c r="E22" i="8"/>
  <c r="F45" i="1"/>
  <c r="F22" i="8" s="1"/>
  <c r="G45" i="1"/>
  <c r="G22" i="8" s="1"/>
  <c r="G41" i="9"/>
  <c r="G39" i="9"/>
  <c r="G51" i="9"/>
  <c r="G47" i="9"/>
  <c r="G43" i="9"/>
  <c r="H147" i="9" s="1"/>
  <c r="G50" i="9"/>
  <c r="G46" i="9"/>
  <c r="G42" i="9"/>
  <c r="G48" i="9"/>
  <c r="H152" i="9" s="1"/>
  <c r="G49" i="9"/>
  <c r="G53" i="9"/>
  <c r="H157" i="9" s="1"/>
  <c r="G40" i="9"/>
  <c r="G45" i="9"/>
  <c r="G52" i="9"/>
  <c r="G44" i="9"/>
  <c r="G54" i="9"/>
  <c r="G29" i="8"/>
  <c r="F20" i="18"/>
  <c r="H29" i="8"/>
  <c r="G96" i="9" s="1"/>
  <c r="G20" i="18"/>
  <c r="I29" i="8"/>
  <c r="G131" i="9" s="1"/>
  <c r="H20" i="18"/>
  <c r="E29" i="8"/>
  <c r="D20" i="18"/>
  <c r="G15" i="8"/>
  <c r="H81" i="1"/>
  <c r="H22" i="8"/>
  <c r="E95" i="9"/>
  <c r="E103" i="9"/>
  <c r="E96" i="9"/>
  <c r="E104" i="9"/>
  <c r="E99" i="9"/>
  <c r="E97" i="9"/>
  <c r="F149" i="9" s="1"/>
  <c r="E105" i="9"/>
  <c r="E106" i="9"/>
  <c r="E94" i="9"/>
  <c r="E102" i="9"/>
  <c r="F154" i="9" s="1"/>
  <c r="E98" i="9"/>
  <c r="E92" i="9"/>
  <c r="F144" i="9" s="1"/>
  <c r="E100" i="9"/>
  <c r="E101" i="9"/>
  <c r="E91" i="9"/>
  <c r="E93" i="9"/>
  <c r="H43" i="1"/>
  <c r="H20" i="8" s="1"/>
  <c r="E121" i="9"/>
  <c r="E129" i="9"/>
  <c r="F155" i="9" s="1"/>
  <c r="E132" i="9"/>
  <c r="E125" i="9"/>
  <c r="E122" i="9"/>
  <c r="E130" i="9"/>
  <c r="E124" i="9"/>
  <c r="F150" i="9" s="1"/>
  <c r="E123" i="9"/>
  <c r="E131" i="9"/>
  <c r="E117" i="9"/>
  <c r="E120" i="9"/>
  <c r="E128" i="9"/>
  <c r="E119" i="9"/>
  <c r="F145" i="9" s="1"/>
  <c r="E127" i="9"/>
  <c r="E126" i="9"/>
  <c r="E118" i="9"/>
  <c r="I81" i="1"/>
  <c r="G44" i="1"/>
  <c r="G21" i="8" s="1"/>
  <c r="G82" i="1"/>
  <c r="F44" i="1"/>
  <c r="F82" i="1"/>
  <c r="I82" i="1"/>
  <c r="I39" i="8" s="1"/>
  <c r="G23" i="1"/>
  <c r="G18" i="8" s="1"/>
  <c r="F28" i="18" s="1"/>
  <c r="F23" i="1"/>
  <c r="F18" i="8" s="1"/>
  <c r="E28" i="18" s="1"/>
  <c r="F89" i="1"/>
  <c r="F44" i="8" s="1"/>
  <c r="G89" i="1"/>
  <c r="G44" i="8" s="1"/>
  <c r="I47" i="1"/>
  <c r="I88" i="1"/>
  <c r="I43" i="8" s="1"/>
  <c r="I43" i="1"/>
  <c r="H88" i="1"/>
  <c r="H43" i="8" s="1"/>
  <c r="H47" i="1"/>
  <c r="E23" i="1"/>
  <c r="E18" i="8" s="1"/>
  <c r="D28" i="18" s="1"/>
  <c r="DA152" i="16" l="1"/>
  <c r="CC152" i="16"/>
  <c r="AG152" i="16"/>
  <c r="CC152" i="15"/>
  <c r="AG152" i="15"/>
  <c r="AG152" i="13"/>
  <c r="I152" i="13"/>
  <c r="BE152" i="16"/>
  <c r="AG152" i="14"/>
  <c r="DA152" i="13"/>
  <c r="I152" i="16"/>
  <c r="DA152" i="14"/>
  <c r="CC152" i="14"/>
  <c r="BE152" i="13"/>
  <c r="DA152" i="15"/>
  <c r="BE152" i="15"/>
  <c r="I152" i="15"/>
  <c r="BE152" i="14"/>
  <c r="CC152" i="13"/>
  <c r="I152" i="14"/>
  <c r="E89" i="1"/>
  <c r="E44" i="8" s="1"/>
  <c r="F88" i="1"/>
  <c r="F43" i="8" s="1"/>
  <c r="E44" i="1"/>
  <c r="E21" i="8" s="1"/>
  <c r="E82" i="1"/>
  <c r="E33" i="8" s="1"/>
  <c r="E39" i="8" s="1"/>
  <c r="F47" i="1"/>
  <c r="E16" i="18" s="1"/>
  <c r="F43" i="1"/>
  <c r="F20" i="8" s="1"/>
  <c r="G47" i="1"/>
  <c r="F16" i="18" s="1"/>
  <c r="F81" i="1"/>
  <c r="F32" i="8" s="1"/>
  <c r="F38" i="8" s="1"/>
  <c r="E81" i="1"/>
  <c r="E32" i="8" s="1"/>
  <c r="E38" i="8" s="1"/>
  <c r="E43" i="1"/>
  <c r="E20" i="8" s="1"/>
  <c r="E88" i="1"/>
  <c r="E43" i="8" s="1"/>
  <c r="E47" i="1"/>
  <c r="D16" i="18" s="1"/>
  <c r="G43" i="1"/>
  <c r="G20" i="8" s="1"/>
  <c r="G81" i="1"/>
  <c r="G32" i="8" s="1"/>
  <c r="G38" i="8" s="1"/>
  <c r="G88" i="1"/>
  <c r="G43" i="8" s="1"/>
  <c r="K8" i="17"/>
  <c r="K12" i="17"/>
  <c r="K16" i="17"/>
  <c r="K20" i="17"/>
  <c r="K14" i="17"/>
  <c r="K22" i="17"/>
  <c r="K11" i="17"/>
  <c r="K19" i="17"/>
  <c r="K9" i="17"/>
  <c r="K13" i="17"/>
  <c r="K17" i="17"/>
  <c r="K21" i="17"/>
  <c r="K10" i="17"/>
  <c r="K18" i="17"/>
  <c r="K15" i="17"/>
  <c r="K7" i="17"/>
  <c r="H8" i="17"/>
  <c r="H12" i="17"/>
  <c r="H16" i="17"/>
  <c r="H20" i="17"/>
  <c r="H10" i="17"/>
  <c r="H18" i="17"/>
  <c r="H11" i="17"/>
  <c r="H19" i="17"/>
  <c r="H9" i="17"/>
  <c r="H13" i="17"/>
  <c r="H17" i="17"/>
  <c r="H21" i="17"/>
  <c r="H14" i="17"/>
  <c r="H22" i="17"/>
  <c r="H15" i="17"/>
  <c r="H7" i="17"/>
  <c r="G105" i="9"/>
  <c r="G98" i="9"/>
  <c r="G100" i="9"/>
  <c r="G104" i="9"/>
  <c r="G106" i="9"/>
  <c r="G27" i="9"/>
  <c r="G20" i="9"/>
  <c r="G23" i="9"/>
  <c r="H153" i="9" s="1"/>
  <c r="G24" i="9"/>
  <c r="G103" i="9"/>
  <c r="G121" i="9"/>
  <c r="G76" i="9"/>
  <c r="G65" i="9"/>
  <c r="G102" i="9"/>
  <c r="H154" i="9" s="1"/>
  <c r="DL74" i="16" s="1"/>
  <c r="G21" i="9"/>
  <c r="G93" i="9"/>
  <c r="G18" i="9"/>
  <c r="H148" i="9" s="1"/>
  <c r="G127" i="9"/>
  <c r="G122" i="9"/>
  <c r="G72" i="9"/>
  <c r="G118" i="9"/>
  <c r="G79" i="9"/>
  <c r="G101" i="9"/>
  <c r="G97" i="9"/>
  <c r="H149" i="9" s="1"/>
  <c r="AL69" i="16" s="1"/>
  <c r="G125" i="9"/>
  <c r="G14" i="9"/>
  <c r="G74" i="9"/>
  <c r="G75" i="9"/>
  <c r="G117" i="9"/>
  <c r="G22" i="9"/>
  <c r="G77" i="9"/>
  <c r="G123" i="9"/>
  <c r="G25" i="9"/>
  <c r="G69" i="9"/>
  <c r="G132" i="9"/>
  <c r="G70" i="9"/>
  <c r="G128" i="9"/>
  <c r="G126" i="9"/>
  <c r="G13" i="9"/>
  <c r="H143" i="9" s="1"/>
  <c r="DL63" i="16" s="1"/>
  <c r="G73" i="9"/>
  <c r="H151" i="9" s="1"/>
  <c r="G94" i="9"/>
  <c r="G92" i="9"/>
  <c r="H144" i="9" s="1"/>
  <c r="DL64" i="16" s="1"/>
  <c r="G129" i="9"/>
  <c r="G130" i="9"/>
  <c r="G16" i="9"/>
  <c r="G19" i="9"/>
  <c r="G68" i="9"/>
  <c r="H146" i="9" s="1"/>
  <c r="G71" i="9"/>
  <c r="G91" i="9"/>
  <c r="G99" i="9"/>
  <c r="G119" i="9"/>
  <c r="G124" i="9"/>
  <c r="G17" i="9"/>
  <c r="G26" i="9"/>
  <c r="G66" i="9"/>
  <c r="G78" i="9"/>
  <c r="H156" i="9" s="1"/>
  <c r="G95" i="9"/>
  <c r="G120" i="9"/>
  <c r="G15" i="9"/>
  <c r="G28" i="9"/>
  <c r="H158" i="9" s="1"/>
  <c r="G67" i="9"/>
  <c r="G80" i="9"/>
  <c r="I24" i="8"/>
  <c r="F130" i="9" s="1"/>
  <c r="H16" i="18"/>
  <c r="H24" i="8"/>
  <c r="F91" i="9" s="1"/>
  <c r="G16" i="18"/>
  <c r="F24" i="8"/>
  <c r="F33" i="8"/>
  <c r="F39" i="8" s="1"/>
  <c r="G33" i="8"/>
  <c r="G39" i="8" s="1"/>
  <c r="I32" i="8"/>
  <c r="I38" i="8" s="1"/>
  <c r="H32" i="8"/>
  <c r="H38" i="8" s="1"/>
  <c r="G87" i="1"/>
  <c r="G42" i="8" s="1"/>
  <c r="F87" i="1"/>
  <c r="F42" i="8" s="1"/>
  <c r="F21" i="8"/>
  <c r="E43" i="9"/>
  <c r="F147" i="9" s="1"/>
  <c r="E51" i="9"/>
  <c r="E46" i="9"/>
  <c r="E44" i="9"/>
  <c r="E52" i="9"/>
  <c r="E45" i="9"/>
  <c r="E53" i="9"/>
  <c r="F157" i="9" s="1"/>
  <c r="E54" i="9"/>
  <c r="E42" i="9"/>
  <c r="E50" i="9"/>
  <c r="E48" i="9"/>
  <c r="F152" i="9" s="1"/>
  <c r="E40" i="9"/>
  <c r="E49" i="9"/>
  <c r="E39" i="9"/>
  <c r="E47" i="9"/>
  <c r="E41" i="9"/>
  <c r="I86" i="1"/>
  <c r="I41" i="8" s="1"/>
  <c r="I20" i="8"/>
  <c r="I83" i="1"/>
  <c r="E69" i="9"/>
  <c r="E77" i="9"/>
  <c r="E73" i="9"/>
  <c r="F151" i="9" s="1"/>
  <c r="E70" i="9"/>
  <c r="E78" i="9"/>
  <c r="F156" i="9" s="1"/>
  <c r="E72" i="9"/>
  <c r="E71" i="9"/>
  <c r="E79" i="9"/>
  <c r="E68" i="9"/>
  <c r="F146" i="9" s="1"/>
  <c r="E76" i="9"/>
  <c r="E80" i="9"/>
  <c r="E66" i="9"/>
  <c r="E75" i="9"/>
  <c r="E65" i="9"/>
  <c r="E67" i="9"/>
  <c r="E74" i="9"/>
  <c r="F80" i="1"/>
  <c r="G80" i="1"/>
  <c r="H86" i="1"/>
  <c r="H41" i="8" s="1"/>
  <c r="H79" i="1"/>
  <c r="H83" i="1"/>
  <c r="I79" i="1"/>
  <c r="H90" i="1"/>
  <c r="H45" i="8" s="1"/>
  <c r="I90" i="1"/>
  <c r="I45" i="8" s="1"/>
  <c r="R12" i="8"/>
  <c r="K10" i="2"/>
  <c r="DA149" i="16" l="1"/>
  <c r="CC149" i="16"/>
  <c r="AG149" i="16"/>
  <c r="CC149" i="15"/>
  <c r="AG149" i="15"/>
  <c r="CC149" i="14"/>
  <c r="BE149" i="14"/>
  <c r="CC149" i="13"/>
  <c r="BE149" i="16"/>
  <c r="DA149" i="14"/>
  <c r="I149" i="14"/>
  <c r="AG149" i="13"/>
  <c r="I149" i="13"/>
  <c r="I149" i="16"/>
  <c r="I149" i="15"/>
  <c r="DA149" i="13"/>
  <c r="DA149" i="15"/>
  <c r="BE149" i="15"/>
  <c r="BE149" i="13"/>
  <c r="AG149" i="14"/>
  <c r="CC138" i="16"/>
  <c r="AG138" i="16"/>
  <c r="I138" i="16"/>
  <c r="CC138" i="15"/>
  <c r="BE138" i="13"/>
  <c r="DA138" i="16"/>
  <c r="BE138" i="16"/>
  <c r="BE138" i="14"/>
  <c r="CC138" i="13"/>
  <c r="AG138" i="15"/>
  <c r="I138" i="15"/>
  <c r="DA138" i="14"/>
  <c r="I138" i="14"/>
  <c r="AG138" i="13"/>
  <c r="I138" i="13"/>
  <c r="DA138" i="15"/>
  <c r="BE138" i="15"/>
  <c r="CC138" i="14"/>
  <c r="DA138" i="13"/>
  <c r="AG138" i="14"/>
  <c r="DA146" i="16"/>
  <c r="CC146" i="16"/>
  <c r="AG146" i="16"/>
  <c r="I146" i="16"/>
  <c r="CC146" i="15"/>
  <c r="AG146" i="15"/>
  <c r="I146" i="14"/>
  <c r="BE146" i="13"/>
  <c r="BE146" i="16"/>
  <c r="AG146" i="14"/>
  <c r="I146" i="15"/>
  <c r="CC146" i="14"/>
  <c r="CC146" i="13"/>
  <c r="AG146" i="13"/>
  <c r="I146" i="13"/>
  <c r="DA146" i="15"/>
  <c r="DA146" i="14"/>
  <c r="DA146" i="13"/>
  <c r="BE146" i="15"/>
  <c r="BE146" i="14"/>
  <c r="CC139" i="16"/>
  <c r="AG139" i="16"/>
  <c r="I139" i="16"/>
  <c r="CC139" i="15"/>
  <c r="DA139" i="16"/>
  <c r="CC139" i="14"/>
  <c r="AG139" i="14"/>
  <c r="I139" i="14"/>
  <c r="DA139" i="13"/>
  <c r="BE139" i="16"/>
  <c r="BE139" i="14"/>
  <c r="CC139" i="13"/>
  <c r="BE139" i="13"/>
  <c r="AG139" i="15"/>
  <c r="I139" i="15"/>
  <c r="DA139" i="14"/>
  <c r="DA139" i="15"/>
  <c r="BE139" i="15"/>
  <c r="I139" i="13"/>
  <c r="AG139" i="13"/>
  <c r="H150" i="9"/>
  <c r="DL70" i="16" s="1"/>
  <c r="DA145" i="16"/>
  <c r="CC145" i="16"/>
  <c r="AG145" i="16"/>
  <c r="I145" i="16"/>
  <c r="CC145" i="15"/>
  <c r="AG145" i="15"/>
  <c r="AG145" i="14"/>
  <c r="BE145" i="16"/>
  <c r="CC145" i="14"/>
  <c r="CC145" i="13"/>
  <c r="AG145" i="13"/>
  <c r="I145" i="13"/>
  <c r="I145" i="15"/>
  <c r="DA145" i="14"/>
  <c r="BE145" i="14"/>
  <c r="I145" i="14"/>
  <c r="DA145" i="13"/>
  <c r="DA145" i="15"/>
  <c r="BE145" i="15"/>
  <c r="BE145" i="13"/>
  <c r="DA151" i="16"/>
  <c r="CC151" i="16"/>
  <c r="AG151" i="16"/>
  <c r="CC151" i="15"/>
  <c r="AG151" i="15"/>
  <c r="AG151" i="14"/>
  <c r="DA151" i="13"/>
  <c r="BE151" i="16"/>
  <c r="CC151" i="14"/>
  <c r="I151" i="14"/>
  <c r="BE151" i="13"/>
  <c r="I151" i="16"/>
  <c r="I151" i="15"/>
  <c r="DA151" i="14"/>
  <c r="BE151" i="14"/>
  <c r="CC151" i="13"/>
  <c r="DA151" i="15"/>
  <c r="I151" i="13"/>
  <c r="BE151" i="15"/>
  <c r="AG151" i="13"/>
  <c r="DA144" i="16"/>
  <c r="CC144" i="16"/>
  <c r="AG144" i="16"/>
  <c r="I144" i="16"/>
  <c r="CC144" i="15"/>
  <c r="AG144" i="15"/>
  <c r="CC144" i="14"/>
  <c r="AG144" i="14"/>
  <c r="I144" i="14"/>
  <c r="AG144" i="13"/>
  <c r="I144" i="13"/>
  <c r="BE144" i="16"/>
  <c r="I144" i="15"/>
  <c r="DA144" i="14"/>
  <c r="BE144" i="14"/>
  <c r="DA144" i="13"/>
  <c r="CC144" i="13"/>
  <c r="BE144" i="13"/>
  <c r="DA144" i="15"/>
  <c r="BE144" i="15"/>
  <c r="H145" i="9"/>
  <c r="AL65" i="16" s="1"/>
  <c r="CC140" i="16"/>
  <c r="AG140" i="16"/>
  <c r="I140" i="16"/>
  <c r="CC140" i="15"/>
  <c r="DA140" i="16"/>
  <c r="CC140" i="14"/>
  <c r="AG140" i="13"/>
  <c r="I140" i="13"/>
  <c r="BE140" i="16"/>
  <c r="BE140" i="14"/>
  <c r="AG140" i="14"/>
  <c r="DA140" i="13"/>
  <c r="AG140" i="15"/>
  <c r="I140" i="15"/>
  <c r="DA140" i="14"/>
  <c r="I140" i="14"/>
  <c r="CC140" i="13"/>
  <c r="BE140" i="13"/>
  <c r="DA140" i="15"/>
  <c r="BE140" i="15"/>
  <c r="H155" i="9"/>
  <c r="AL75" i="16" s="1"/>
  <c r="DA150" i="16"/>
  <c r="CC150" i="16"/>
  <c r="AG150" i="16"/>
  <c r="CC150" i="15"/>
  <c r="AG150" i="15"/>
  <c r="AG150" i="14"/>
  <c r="BE150" i="13"/>
  <c r="BE150" i="16"/>
  <c r="CC150" i="14"/>
  <c r="BE150" i="14"/>
  <c r="CC150" i="13"/>
  <c r="I150" i="16"/>
  <c r="I150" i="15"/>
  <c r="DA150" i="14"/>
  <c r="AG150" i="13"/>
  <c r="I150" i="13"/>
  <c r="DA150" i="15"/>
  <c r="BE150" i="15"/>
  <c r="I150" i="14"/>
  <c r="DA150" i="13"/>
  <c r="DA153" i="16"/>
  <c r="CC153" i="16"/>
  <c r="AG153" i="16"/>
  <c r="CC153" i="15"/>
  <c r="AG153" i="15"/>
  <c r="I153" i="15"/>
  <c r="BE153" i="14"/>
  <c r="I153" i="14"/>
  <c r="CC153" i="13"/>
  <c r="BE153" i="16"/>
  <c r="I153" i="16"/>
  <c r="AG153" i="13"/>
  <c r="I153" i="13"/>
  <c r="AG153" i="14"/>
  <c r="DA153" i="13"/>
  <c r="DA153" i="15"/>
  <c r="BE153" i="15"/>
  <c r="DA153" i="14"/>
  <c r="CC153" i="14"/>
  <c r="BE153" i="13"/>
  <c r="DA143" i="16"/>
  <c r="CC143" i="16"/>
  <c r="AG143" i="16"/>
  <c r="I143" i="16"/>
  <c r="CC143" i="15"/>
  <c r="AG143" i="15"/>
  <c r="DA143" i="14"/>
  <c r="BE143" i="14"/>
  <c r="DA143" i="13"/>
  <c r="CC143" i="13"/>
  <c r="BE143" i="16"/>
  <c r="I143" i="15"/>
  <c r="BE143" i="13"/>
  <c r="DA143" i="15"/>
  <c r="BE143" i="15"/>
  <c r="AG143" i="13"/>
  <c r="CC143" i="14"/>
  <c r="AG143" i="14"/>
  <c r="I143" i="13"/>
  <c r="I143" i="14"/>
  <c r="DA142" i="16"/>
  <c r="CC142" i="16"/>
  <c r="AG142" i="16"/>
  <c r="I142" i="16"/>
  <c r="CC142" i="15"/>
  <c r="AG142" i="15"/>
  <c r="I142" i="15"/>
  <c r="DA142" i="14"/>
  <c r="CC142" i="13"/>
  <c r="BE142" i="13"/>
  <c r="BE142" i="16"/>
  <c r="CC142" i="14"/>
  <c r="I142" i="14"/>
  <c r="AG142" i="13"/>
  <c r="I142" i="13"/>
  <c r="DA142" i="15"/>
  <c r="BE142" i="15"/>
  <c r="DA142" i="13"/>
  <c r="AG142" i="14"/>
  <c r="BE142" i="14"/>
  <c r="DA141" i="16"/>
  <c r="CC141" i="16"/>
  <c r="AG141" i="16"/>
  <c r="I141" i="16"/>
  <c r="CC141" i="15"/>
  <c r="I141" i="14"/>
  <c r="BE141" i="16"/>
  <c r="CC141" i="14"/>
  <c r="AG141" i="13"/>
  <c r="I141" i="13"/>
  <c r="AG141" i="15"/>
  <c r="BE141" i="14"/>
  <c r="AG141" i="14"/>
  <c r="DA141" i="13"/>
  <c r="I141" i="15"/>
  <c r="DA141" i="14"/>
  <c r="CC141" i="13"/>
  <c r="BE141" i="13"/>
  <c r="DA141" i="15"/>
  <c r="BE141" i="15"/>
  <c r="DA147" i="16"/>
  <c r="CC147" i="16"/>
  <c r="AG147" i="16"/>
  <c r="I147" i="16"/>
  <c r="CC147" i="15"/>
  <c r="AG147" i="15"/>
  <c r="I147" i="15"/>
  <c r="DA147" i="13"/>
  <c r="BE147" i="16"/>
  <c r="AG147" i="14"/>
  <c r="BE147" i="13"/>
  <c r="I147" i="14"/>
  <c r="DA147" i="15"/>
  <c r="DA147" i="14"/>
  <c r="AG147" i="13"/>
  <c r="BE147" i="15"/>
  <c r="CC147" i="14"/>
  <c r="CC147" i="13"/>
  <c r="BE147" i="14"/>
  <c r="I147" i="13"/>
  <c r="DA148" i="16"/>
  <c r="CC148" i="16"/>
  <c r="AG148" i="16"/>
  <c r="CC148" i="15"/>
  <c r="AG148" i="15"/>
  <c r="DA148" i="14"/>
  <c r="I148" i="14"/>
  <c r="CC148" i="13"/>
  <c r="AG148" i="13"/>
  <c r="I148" i="13"/>
  <c r="BE148" i="16"/>
  <c r="I148" i="15"/>
  <c r="DA148" i="13"/>
  <c r="I148" i="16"/>
  <c r="AG148" i="14"/>
  <c r="BE148" i="13"/>
  <c r="DA148" i="15"/>
  <c r="BE148" i="15"/>
  <c r="CC148" i="14"/>
  <c r="BE148" i="14"/>
  <c r="CZ151" i="15"/>
  <c r="DB151" i="15" s="1"/>
  <c r="CB151" i="15"/>
  <c r="CD151" i="15" s="1"/>
  <c r="H151" i="15"/>
  <c r="J151" i="15" s="1"/>
  <c r="CB151" i="14"/>
  <c r="BD151" i="14"/>
  <c r="BF151" i="14" s="1"/>
  <c r="CB151" i="13"/>
  <c r="CD151" i="13" s="1"/>
  <c r="BD151" i="16"/>
  <c r="CZ151" i="13"/>
  <c r="H151" i="13"/>
  <c r="H151" i="16"/>
  <c r="J151" i="16" s="1"/>
  <c r="AF151" i="15"/>
  <c r="AH151" i="15" s="1"/>
  <c r="CZ151" i="14"/>
  <c r="DB151" i="14" s="1"/>
  <c r="AF151" i="13"/>
  <c r="BD151" i="15"/>
  <c r="AF151" i="14"/>
  <c r="H151" i="14"/>
  <c r="J151" i="14" s="1"/>
  <c r="BD151" i="13"/>
  <c r="BF151" i="13" s="1"/>
  <c r="CZ151" i="16"/>
  <c r="AF151" i="16"/>
  <c r="CB151" i="16"/>
  <c r="CD151" i="16" s="1"/>
  <c r="G79" i="1"/>
  <c r="G30" i="8" s="1"/>
  <c r="G36" i="8" s="1"/>
  <c r="F90" i="1"/>
  <c r="F45" i="8" s="1"/>
  <c r="F86" i="1"/>
  <c r="F41" i="8" s="1"/>
  <c r="G86" i="1"/>
  <c r="G41" i="8" s="1"/>
  <c r="F83" i="1"/>
  <c r="F34" i="8" s="1"/>
  <c r="F40" i="8" s="1"/>
  <c r="E87" i="1"/>
  <c r="E42" i="8" s="1"/>
  <c r="E80" i="1"/>
  <c r="E31" i="8" s="1"/>
  <c r="E37" i="8" s="1"/>
  <c r="G24" i="8"/>
  <c r="F70" i="9" s="1"/>
  <c r="H70" i="9" s="1"/>
  <c r="F79" i="1"/>
  <c r="F30" i="8" s="1"/>
  <c r="F36" i="8" s="1"/>
  <c r="G83" i="1"/>
  <c r="G34" i="8" s="1"/>
  <c r="G40" i="8" s="1"/>
  <c r="K39" i="2"/>
  <c r="K57" i="2"/>
  <c r="G90" i="1"/>
  <c r="G45" i="8" s="1"/>
  <c r="E24" i="8"/>
  <c r="F18" i="9" s="1"/>
  <c r="E83" i="1"/>
  <c r="E34" i="8" s="1"/>
  <c r="E40" i="8" s="1"/>
  <c r="E79" i="1"/>
  <c r="E30" i="8" s="1"/>
  <c r="E36" i="8" s="1"/>
  <c r="E86" i="1"/>
  <c r="E41" i="8" s="1"/>
  <c r="E90" i="1"/>
  <c r="E45" i="8" s="1"/>
  <c r="L74" i="13"/>
  <c r="AL64" i="13"/>
  <c r="L74" i="14"/>
  <c r="AL64" i="15"/>
  <c r="AL63" i="15"/>
  <c r="AL64" i="16"/>
  <c r="AL63" i="14"/>
  <c r="AL64" i="14"/>
  <c r="AL74" i="13"/>
  <c r="AL74" i="16"/>
  <c r="BL63" i="14"/>
  <c r="L64" i="13"/>
  <c r="AL74" i="14"/>
  <c r="L63" i="13"/>
  <c r="AL63" i="16"/>
  <c r="BL69" i="15"/>
  <c r="AL69" i="14"/>
  <c r="BL64" i="13"/>
  <c r="BL64" i="14"/>
  <c r="L64" i="14"/>
  <c r="BL64" i="15"/>
  <c r="BL64" i="16"/>
  <c r="L69" i="15"/>
  <c r="CL69" i="15"/>
  <c r="BL69" i="13"/>
  <c r="BL69" i="14"/>
  <c r="CL69" i="16"/>
  <c r="BL74" i="13"/>
  <c r="BL74" i="14"/>
  <c r="BL74" i="15"/>
  <c r="L74" i="15"/>
  <c r="BL74" i="16"/>
  <c r="L63" i="14"/>
  <c r="BL63" i="13"/>
  <c r="CL63" i="14"/>
  <c r="DL63" i="14"/>
  <c r="BL63" i="16"/>
  <c r="L69" i="14"/>
  <c r="AL69" i="13"/>
  <c r="CL64" i="13"/>
  <c r="DL64" i="14"/>
  <c r="L64" i="15"/>
  <c r="CL64" i="15"/>
  <c r="CL64" i="16"/>
  <c r="L69" i="16"/>
  <c r="DL69" i="15"/>
  <c r="CL69" i="13"/>
  <c r="DL69" i="14"/>
  <c r="DL69" i="16"/>
  <c r="CL74" i="13"/>
  <c r="DL74" i="14"/>
  <c r="DL74" i="15"/>
  <c r="L74" i="16"/>
  <c r="CL74" i="16"/>
  <c r="L63" i="15"/>
  <c r="CL63" i="13"/>
  <c r="DL63" i="15"/>
  <c r="BL63" i="15"/>
  <c r="CL63" i="16"/>
  <c r="BL69" i="16"/>
  <c r="DL64" i="13"/>
  <c r="CL64" i="14"/>
  <c r="L64" i="16"/>
  <c r="DL64" i="15"/>
  <c r="AL69" i="15"/>
  <c r="L69" i="13"/>
  <c r="DL69" i="13"/>
  <c r="CL69" i="14"/>
  <c r="DL74" i="13"/>
  <c r="CL74" i="14"/>
  <c r="CL74" i="15"/>
  <c r="AL74" i="15"/>
  <c r="L63" i="16"/>
  <c r="DL63" i="13"/>
  <c r="AL63" i="13"/>
  <c r="CL63" i="15"/>
  <c r="G14" i="17"/>
  <c r="G11" i="17"/>
  <c r="G15" i="17"/>
  <c r="G19" i="17"/>
  <c r="G7" i="17"/>
  <c r="G8" i="17"/>
  <c r="G12" i="17"/>
  <c r="G16" i="17"/>
  <c r="G20" i="17"/>
  <c r="G9" i="17"/>
  <c r="G13" i="17"/>
  <c r="G17" i="17"/>
  <c r="G21" i="17"/>
  <c r="G10" i="17"/>
  <c r="G18" i="17"/>
  <c r="G22" i="17"/>
  <c r="DL78" i="16"/>
  <c r="CL78" i="16"/>
  <c r="BL78" i="16"/>
  <c r="AL78" i="16"/>
  <c r="AL78" i="15"/>
  <c r="L78" i="16"/>
  <c r="L78" i="15"/>
  <c r="L78" i="14"/>
  <c r="L78" i="13"/>
  <c r="DL78" i="15"/>
  <c r="CL78" i="14"/>
  <c r="DL78" i="14"/>
  <c r="BL78" i="14"/>
  <c r="AL78" i="14"/>
  <c r="DL78" i="13"/>
  <c r="CL78" i="13"/>
  <c r="BL78" i="13"/>
  <c r="AL78" i="13"/>
  <c r="CL78" i="15"/>
  <c r="BL78" i="15"/>
  <c r="DL65" i="16"/>
  <c r="BL65" i="15"/>
  <c r="L65" i="15"/>
  <c r="DL65" i="13"/>
  <c r="DL77" i="16"/>
  <c r="CL77" i="16"/>
  <c r="BL77" i="16"/>
  <c r="AL77" i="16"/>
  <c r="CL77" i="14"/>
  <c r="DL77" i="14"/>
  <c r="BL77" i="14"/>
  <c r="AL77" i="14"/>
  <c r="DL77" i="13"/>
  <c r="CL77" i="13"/>
  <c r="BL77" i="13"/>
  <c r="AL77" i="13"/>
  <c r="DL77" i="15"/>
  <c r="CL77" i="15"/>
  <c r="BL77" i="15"/>
  <c r="AL77" i="15"/>
  <c r="L77" i="16"/>
  <c r="L77" i="15"/>
  <c r="L77" i="14"/>
  <c r="L77" i="13"/>
  <c r="DL76" i="16"/>
  <c r="CL76" i="16"/>
  <c r="BL76" i="16"/>
  <c r="AL76" i="16"/>
  <c r="AL76" i="15"/>
  <c r="L76" i="16"/>
  <c r="L76" i="15"/>
  <c r="L76" i="14"/>
  <c r="BL76" i="14"/>
  <c r="AL76" i="14"/>
  <c r="DL76" i="13"/>
  <c r="CL76" i="13"/>
  <c r="BL76" i="13"/>
  <c r="DL76" i="15"/>
  <c r="L76" i="13"/>
  <c r="AL76" i="13"/>
  <c r="CL76" i="15"/>
  <c r="BL76" i="15"/>
  <c r="CL76" i="14"/>
  <c r="DL76" i="14"/>
  <c r="DL73" i="16"/>
  <c r="AL73" i="16"/>
  <c r="CL73" i="16"/>
  <c r="BL73" i="16"/>
  <c r="DL73" i="13"/>
  <c r="CL73" i="13"/>
  <c r="BL73" i="13"/>
  <c r="L73" i="13"/>
  <c r="DL73" i="15"/>
  <c r="CL73" i="15"/>
  <c r="BL73" i="15"/>
  <c r="AL73" i="15"/>
  <c r="L73" i="14"/>
  <c r="CL73" i="14"/>
  <c r="DL73" i="14"/>
  <c r="BL73" i="14"/>
  <c r="AL73" i="14"/>
  <c r="AL73" i="13"/>
  <c r="L73" i="16"/>
  <c r="L73" i="15"/>
  <c r="DL72" i="16"/>
  <c r="CL72" i="16"/>
  <c r="BL72" i="16"/>
  <c r="AL72" i="16"/>
  <c r="AL72" i="15"/>
  <c r="L72" i="16"/>
  <c r="L72" i="15"/>
  <c r="L72" i="14"/>
  <c r="L72" i="13"/>
  <c r="BL72" i="13"/>
  <c r="DL72" i="15"/>
  <c r="CL72" i="13"/>
  <c r="AL72" i="13"/>
  <c r="CL72" i="15"/>
  <c r="BL72" i="15"/>
  <c r="CL72" i="14"/>
  <c r="DL72" i="14"/>
  <c r="BL72" i="14"/>
  <c r="AL72" i="14"/>
  <c r="DL72" i="13"/>
  <c r="DL71" i="16"/>
  <c r="CL71" i="16"/>
  <c r="BL71" i="16"/>
  <c r="AL71" i="16"/>
  <c r="DL71" i="15"/>
  <c r="BL71" i="15"/>
  <c r="L71" i="13"/>
  <c r="CL71" i="14"/>
  <c r="DL71" i="14"/>
  <c r="BL71" i="14"/>
  <c r="AL71" i="14"/>
  <c r="DL71" i="13"/>
  <c r="CL71" i="13"/>
  <c r="BL71" i="13"/>
  <c r="AL71" i="13"/>
  <c r="CL71" i="15"/>
  <c r="AL71" i="15"/>
  <c r="L71" i="16"/>
  <c r="L71" i="15"/>
  <c r="L71" i="14"/>
  <c r="DL68" i="16"/>
  <c r="CL68" i="16"/>
  <c r="BL68" i="16"/>
  <c r="AL68" i="16"/>
  <c r="AL68" i="15"/>
  <c r="L68" i="16"/>
  <c r="L68" i="15"/>
  <c r="L68" i="14"/>
  <c r="BL68" i="15"/>
  <c r="DL68" i="14"/>
  <c r="DL68" i="13"/>
  <c r="BL68" i="13"/>
  <c r="DL68" i="15"/>
  <c r="L68" i="13"/>
  <c r="BL68" i="14"/>
  <c r="AL68" i="14"/>
  <c r="AL68" i="13"/>
  <c r="CL68" i="15"/>
  <c r="CL68" i="14"/>
  <c r="CL68" i="13"/>
  <c r="DL67" i="16"/>
  <c r="CL67" i="16"/>
  <c r="BL67" i="16"/>
  <c r="AL67" i="16"/>
  <c r="DL67" i="15"/>
  <c r="BL67" i="15"/>
  <c r="CL67" i="13"/>
  <c r="BL67" i="13"/>
  <c r="AL67" i="13"/>
  <c r="L67" i="13"/>
  <c r="CL67" i="14"/>
  <c r="DL67" i="14"/>
  <c r="BL67" i="14"/>
  <c r="AL67" i="14"/>
  <c r="DL67" i="13"/>
  <c r="CL67" i="15"/>
  <c r="AL67" i="15"/>
  <c r="L67" i="16"/>
  <c r="L67" i="15"/>
  <c r="L67" i="14"/>
  <c r="DL66" i="16"/>
  <c r="CL66" i="16"/>
  <c r="BL66" i="16"/>
  <c r="AL66" i="16"/>
  <c r="AL66" i="15"/>
  <c r="L66" i="16"/>
  <c r="L66" i="15"/>
  <c r="L66" i="14"/>
  <c r="AL66" i="14"/>
  <c r="BL66" i="13"/>
  <c r="AL66" i="13"/>
  <c r="BL66" i="15"/>
  <c r="L66" i="13"/>
  <c r="DL66" i="15"/>
  <c r="CL66" i="14"/>
  <c r="BL66" i="14"/>
  <c r="DL66" i="13"/>
  <c r="CL66" i="13"/>
  <c r="CL66" i="15"/>
  <c r="DL66" i="14"/>
  <c r="F132" i="9"/>
  <c r="F126" i="9"/>
  <c r="H91" i="9"/>
  <c r="F122" i="9"/>
  <c r="F127" i="9"/>
  <c r="F128" i="9"/>
  <c r="F118" i="9"/>
  <c r="F120" i="9"/>
  <c r="F124" i="9"/>
  <c r="F117" i="9"/>
  <c r="F125" i="9"/>
  <c r="F131" i="9"/>
  <c r="F119" i="9"/>
  <c r="F129" i="9"/>
  <c r="F123" i="9"/>
  <c r="F121" i="9"/>
  <c r="F102" i="9"/>
  <c r="F97" i="9"/>
  <c r="F104" i="9"/>
  <c r="H104" i="9" s="1"/>
  <c r="F96" i="9"/>
  <c r="H96" i="9" s="1"/>
  <c r="F94" i="9"/>
  <c r="H94" i="9" s="1"/>
  <c r="H130" i="9"/>
  <c r="F103" i="9"/>
  <c r="H103" i="9" s="1"/>
  <c r="F106" i="9"/>
  <c r="H106" i="9" s="1"/>
  <c r="F95" i="9"/>
  <c r="H95" i="9" s="1"/>
  <c r="F93" i="9"/>
  <c r="H93" i="9" s="1"/>
  <c r="M93" i="9" s="1"/>
  <c r="N93" i="9" s="1"/>
  <c r="O93" i="9" s="1"/>
  <c r="F98" i="9"/>
  <c r="H98" i="9" s="1"/>
  <c r="F101" i="9"/>
  <c r="H101" i="9" s="1"/>
  <c r="F105" i="9"/>
  <c r="H105" i="9" s="1"/>
  <c r="F100" i="9"/>
  <c r="H100" i="9" s="1"/>
  <c r="F92" i="9"/>
  <c r="F99" i="9"/>
  <c r="H99" i="9" s="1"/>
  <c r="M99" i="9" s="1"/>
  <c r="N99" i="9" s="1"/>
  <c r="O99" i="9" s="1"/>
  <c r="H30" i="8"/>
  <c r="H36" i="8" s="1"/>
  <c r="G31" i="8"/>
  <c r="G37" i="8" s="1"/>
  <c r="I30" i="8"/>
  <c r="I36" i="8" s="1"/>
  <c r="H34" i="8"/>
  <c r="H40" i="8" s="1"/>
  <c r="F31" i="8"/>
  <c r="F37" i="8" s="1"/>
  <c r="I34" i="8"/>
  <c r="I40" i="8" s="1"/>
  <c r="E16" i="9"/>
  <c r="E24" i="9"/>
  <c r="E17" i="9"/>
  <c r="E25" i="9"/>
  <c r="E27" i="9"/>
  <c r="E18" i="9"/>
  <c r="F148" i="9" s="1"/>
  <c r="E26" i="9"/>
  <c r="E15" i="9"/>
  <c r="E23" i="9"/>
  <c r="F153" i="9" s="1"/>
  <c r="E19" i="9"/>
  <c r="E13" i="9"/>
  <c r="F143" i="9" s="1"/>
  <c r="E21" i="9"/>
  <c r="E14" i="9"/>
  <c r="E22" i="9"/>
  <c r="E28" i="9"/>
  <c r="F158" i="9" s="1"/>
  <c r="E20" i="9"/>
  <c r="F44" i="9"/>
  <c r="H44" i="9" s="1"/>
  <c r="F52" i="9"/>
  <c r="H52" i="9" s="1"/>
  <c r="M52" i="9" s="1"/>
  <c r="N52" i="9" s="1"/>
  <c r="O52" i="9" s="1"/>
  <c r="F39" i="9"/>
  <c r="H39" i="9" s="1"/>
  <c r="M39" i="9" s="1"/>
  <c r="N39" i="9" s="1"/>
  <c r="O39" i="9" s="1"/>
  <c r="F48" i="9"/>
  <c r="F45" i="9"/>
  <c r="H45" i="9" s="1"/>
  <c r="F53" i="9"/>
  <c r="F46" i="9"/>
  <c r="H46" i="9" s="1"/>
  <c r="F54" i="9"/>
  <c r="H54" i="9" s="1"/>
  <c r="M54" i="9" s="1"/>
  <c r="N54" i="9" s="1"/>
  <c r="O54" i="9" s="1"/>
  <c r="F43" i="9"/>
  <c r="F51" i="9"/>
  <c r="H51" i="9" s="1"/>
  <c r="F47" i="9"/>
  <c r="H47" i="9" s="1"/>
  <c r="M47" i="9" s="1"/>
  <c r="N47" i="9" s="1"/>
  <c r="O47" i="9" s="1"/>
  <c r="F40" i="9"/>
  <c r="H40" i="9" s="1"/>
  <c r="M40" i="9" s="1"/>
  <c r="N40" i="9" s="1"/>
  <c r="O40" i="9" s="1"/>
  <c r="F42" i="9"/>
  <c r="H42" i="9" s="1"/>
  <c r="F49" i="9"/>
  <c r="H49" i="9" s="1"/>
  <c r="F50" i="9"/>
  <c r="H50" i="9" s="1"/>
  <c r="F41" i="9"/>
  <c r="H41" i="9" s="1"/>
  <c r="K63" i="2"/>
  <c r="Q21" i="8" s="1"/>
  <c r="K66" i="2"/>
  <c r="K14" i="2"/>
  <c r="Q12" i="8" s="1"/>
  <c r="J14" i="2"/>
  <c r="R14" i="2"/>
  <c r="S12" i="8" s="1"/>
  <c r="Y13" i="2"/>
  <c r="AL70" i="14" l="1"/>
  <c r="AL70" i="13"/>
  <c r="AL70" i="16"/>
  <c r="DL70" i="14"/>
  <c r="DL70" i="13"/>
  <c r="L70" i="15"/>
  <c r="CL70" i="14"/>
  <c r="BL70" i="14"/>
  <c r="CL70" i="13"/>
  <c r="L70" i="16"/>
  <c r="CL70" i="16"/>
  <c r="CL70" i="15"/>
  <c r="L70" i="14"/>
  <c r="BL70" i="13"/>
  <c r="BL70" i="16"/>
  <c r="AH151" i="13"/>
  <c r="DL70" i="15"/>
  <c r="BL70" i="15"/>
  <c r="L70" i="13"/>
  <c r="AL70" i="15"/>
  <c r="BF151" i="16"/>
  <c r="DL65" i="14"/>
  <c r="BL65" i="16"/>
  <c r="BL65" i="13"/>
  <c r="AL65" i="15"/>
  <c r="CL65" i="13"/>
  <c r="CL65" i="14"/>
  <c r="L65" i="13"/>
  <c r="CL65" i="16"/>
  <c r="CD151" i="14"/>
  <c r="CF151" i="14" s="1"/>
  <c r="BL65" i="14"/>
  <c r="L65" i="16"/>
  <c r="DL65" i="15"/>
  <c r="AL75" i="13"/>
  <c r="BL75" i="15"/>
  <c r="J41" i="9"/>
  <c r="M41" i="9"/>
  <c r="N41" i="9" s="1"/>
  <c r="O41" i="9" s="1"/>
  <c r="L35" i="18" s="1"/>
  <c r="J46" i="9"/>
  <c r="M46" i="9"/>
  <c r="N46" i="9" s="1"/>
  <c r="O46" i="9" s="1"/>
  <c r="L40" i="18" s="1"/>
  <c r="J105" i="9"/>
  <c r="M105" i="9"/>
  <c r="N105" i="9" s="1"/>
  <c r="O105" i="9" s="1"/>
  <c r="N47" i="18" s="1"/>
  <c r="J95" i="9"/>
  <c r="M95" i="9"/>
  <c r="N95" i="9" s="1"/>
  <c r="O95" i="9" s="1"/>
  <c r="N37" i="18" s="1"/>
  <c r="J94" i="9"/>
  <c r="M94" i="9"/>
  <c r="N94" i="9" s="1"/>
  <c r="O94" i="9" s="1"/>
  <c r="N36" i="18" s="1"/>
  <c r="J70" i="9"/>
  <c r="M70" i="9"/>
  <c r="N70" i="9" s="1"/>
  <c r="O70" i="9" s="1"/>
  <c r="M38" i="18" s="1"/>
  <c r="J100" i="9"/>
  <c r="M100" i="9"/>
  <c r="N100" i="9" s="1"/>
  <c r="O100" i="9" s="1"/>
  <c r="N42" i="18" s="1"/>
  <c r="J130" i="9"/>
  <c r="M130" i="9"/>
  <c r="J50" i="9"/>
  <c r="M50" i="9"/>
  <c r="N50" i="9" s="1"/>
  <c r="O50" i="9" s="1"/>
  <c r="L44" i="18" s="1"/>
  <c r="J49" i="9"/>
  <c r="M49" i="9"/>
  <c r="N49" i="9" s="1"/>
  <c r="O49" i="9" s="1"/>
  <c r="L43" i="18" s="1"/>
  <c r="J51" i="9"/>
  <c r="M51" i="9"/>
  <c r="N51" i="9" s="1"/>
  <c r="O51" i="9" s="1"/>
  <c r="L45" i="18" s="1"/>
  <c r="I101" i="9"/>
  <c r="M101" i="9"/>
  <c r="N101" i="9" s="1"/>
  <c r="O101" i="9" s="1"/>
  <c r="J106" i="9"/>
  <c r="M106" i="9"/>
  <c r="N106" i="9" s="1"/>
  <c r="O106" i="9" s="1"/>
  <c r="J96" i="9"/>
  <c r="M96" i="9"/>
  <c r="N96" i="9" s="1"/>
  <c r="O96" i="9" s="1"/>
  <c r="N38" i="18" s="1"/>
  <c r="J42" i="9"/>
  <c r="M42" i="9"/>
  <c r="N42" i="9" s="1"/>
  <c r="O42" i="9" s="1"/>
  <c r="L36" i="18" s="1"/>
  <c r="J45" i="9"/>
  <c r="M45" i="9"/>
  <c r="N45" i="9" s="1"/>
  <c r="O45" i="9" s="1"/>
  <c r="L39" i="18" s="1"/>
  <c r="J44" i="9"/>
  <c r="M44" i="9"/>
  <c r="N44" i="9" s="1"/>
  <c r="O44" i="9" s="1"/>
  <c r="L38" i="18" s="1"/>
  <c r="J98" i="9"/>
  <c r="M98" i="9"/>
  <c r="N98" i="9" s="1"/>
  <c r="O98" i="9" s="1"/>
  <c r="N40" i="18" s="1"/>
  <c r="J103" i="9"/>
  <c r="M103" i="9"/>
  <c r="N103" i="9" s="1"/>
  <c r="O103" i="9" s="1"/>
  <c r="J104" i="9"/>
  <c r="M104" i="9"/>
  <c r="N104" i="9" s="1"/>
  <c r="O104" i="9" s="1"/>
  <c r="I91" i="9"/>
  <c r="M91" i="9"/>
  <c r="N91" i="9" s="1"/>
  <c r="O91" i="9" s="1"/>
  <c r="L75" i="13"/>
  <c r="CL75" i="14"/>
  <c r="J151" i="13"/>
  <c r="L151" i="13" s="1"/>
  <c r="L75" i="15"/>
  <c r="DL75" i="13"/>
  <c r="BL75" i="16"/>
  <c r="L75" i="16"/>
  <c r="AL75" i="14"/>
  <c r="CL75" i="16"/>
  <c r="DB151" i="13"/>
  <c r="DC151" i="13" s="1"/>
  <c r="AL75" i="15"/>
  <c r="BL75" i="13"/>
  <c r="BL75" i="14"/>
  <c r="DL75" i="15"/>
  <c r="DL75" i="16"/>
  <c r="AH151" i="16"/>
  <c r="AH151" i="14"/>
  <c r="AI151" i="14" s="1"/>
  <c r="L75" i="14"/>
  <c r="CL75" i="15"/>
  <c r="CL75" i="13"/>
  <c r="DL75" i="14"/>
  <c r="AL65" i="13"/>
  <c r="AL65" i="14"/>
  <c r="L65" i="14"/>
  <c r="CL65" i="15"/>
  <c r="DB151" i="16"/>
  <c r="DC151" i="16" s="1"/>
  <c r="BF151" i="15"/>
  <c r="BG151" i="15" s="1"/>
  <c r="H121" i="9"/>
  <c r="CZ142" i="16"/>
  <c r="DB142" i="16" s="1"/>
  <c r="CB142" i="16"/>
  <c r="CD142" i="16" s="1"/>
  <c r="AF142" i="16"/>
  <c r="AH142" i="16" s="1"/>
  <c r="AF142" i="15"/>
  <c r="AH142" i="15" s="1"/>
  <c r="H142" i="15"/>
  <c r="J142" i="15" s="1"/>
  <c r="CZ142" i="14"/>
  <c r="DB142" i="14" s="1"/>
  <c r="H142" i="16"/>
  <c r="J142" i="16" s="1"/>
  <c r="AF142" i="14"/>
  <c r="AH142" i="14" s="1"/>
  <c r="H142" i="14"/>
  <c r="J142" i="14" s="1"/>
  <c r="CZ142" i="13"/>
  <c r="DB142" i="13" s="1"/>
  <c r="CB142" i="13"/>
  <c r="CD142" i="13" s="1"/>
  <c r="CB142" i="14"/>
  <c r="CD142" i="14" s="1"/>
  <c r="AF142" i="13"/>
  <c r="AH142" i="13" s="1"/>
  <c r="H142" i="13"/>
  <c r="J142" i="13" s="1"/>
  <c r="BD142" i="15"/>
  <c r="BF142" i="15" s="1"/>
  <c r="CZ142" i="15"/>
  <c r="DB142" i="15" s="1"/>
  <c r="BD142" i="13"/>
  <c r="BF142" i="13" s="1"/>
  <c r="CB142" i="15"/>
  <c r="CD142" i="15" s="1"/>
  <c r="BD142" i="16"/>
  <c r="BF142" i="16" s="1"/>
  <c r="BD142" i="14"/>
  <c r="BF142" i="14" s="1"/>
  <c r="H131" i="9"/>
  <c r="BD152" i="16"/>
  <c r="BF152" i="16" s="1"/>
  <c r="BD152" i="15"/>
  <c r="BF152" i="15" s="1"/>
  <c r="H152" i="15"/>
  <c r="J152" i="15" s="1"/>
  <c r="CZ152" i="14"/>
  <c r="DB152" i="14" s="1"/>
  <c r="CB152" i="14"/>
  <c r="CD152" i="14" s="1"/>
  <c r="BD152" i="14"/>
  <c r="BF152" i="14" s="1"/>
  <c r="H152" i="14"/>
  <c r="J152" i="14" s="1"/>
  <c r="CB152" i="13"/>
  <c r="CD152" i="13" s="1"/>
  <c r="H152" i="16"/>
  <c r="J152" i="16" s="1"/>
  <c r="CZ152" i="15"/>
  <c r="DB152" i="15" s="1"/>
  <c r="AF152" i="15"/>
  <c r="AH152" i="15" s="1"/>
  <c r="CZ152" i="13"/>
  <c r="DB152" i="13" s="1"/>
  <c r="AF152" i="13"/>
  <c r="AH152" i="13" s="1"/>
  <c r="H152" i="13"/>
  <c r="J152" i="13" s="1"/>
  <c r="CZ152" i="16"/>
  <c r="DB152" i="16" s="1"/>
  <c r="CB152" i="16"/>
  <c r="CD152" i="16" s="1"/>
  <c r="AF152" i="16"/>
  <c r="AH152" i="16" s="1"/>
  <c r="AF152" i="14"/>
  <c r="AH152" i="14" s="1"/>
  <c r="BD152" i="13"/>
  <c r="BF152" i="13" s="1"/>
  <c r="CB152" i="15"/>
  <c r="CD152" i="15" s="1"/>
  <c r="H120" i="9"/>
  <c r="M120" i="9" s="1"/>
  <c r="H141" i="15"/>
  <c r="J141" i="15" s="1"/>
  <c r="CZ141" i="14"/>
  <c r="DB141" i="14" s="1"/>
  <c r="CB141" i="14"/>
  <c r="CD141" i="14" s="1"/>
  <c r="H141" i="14"/>
  <c r="J141" i="14" s="1"/>
  <c r="BD141" i="16"/>
  <c r="BF141" i="16" s="1"/>
  <c r="CZ141" i="15"/>
  <c r="DB141" i="15" s="1"/>
  <c r="CB141" i="15"/>
  <c r="CD141" i="15" s="1"/>
  <c r="AF141" i="14"/>
  <c r="AH141" i="14" s="1"/>
  <c r="CZ141" i="13"/>
  <c r="DB141" i="13" s="1"/>
  <c r="CB141" i="13"/>
  <c r="CD141" i="13" s="1"/>
  <c r="H141" i="13"/>
  <c r="J141" i="13" s="1"/>
  <c r="H141" i="16"/>
  <c r="J141" i="16" s="1"/>
  <c r="AF141" i="15"/>
  <c r="AH141" i="15" s="1"/>
  <c r="AF141" i="13"/>
  <c r="AH141" i="13" s="1"/>
  <c r="CZ141" i="16"/>
  <c r="DB141" i="16" s="1"/>
  <c r="CB141" i="16"/>
  <c r="CD141" i="16" s="1"/>
  <c r="AF141" i="16"/>
  <c r="AH141" i="16" s="1"/>
  <c r="BD141" i="13"/>
  <c r="BF141" i="13" s="1"/>
  <c r="BD141" i="15"/>
  <c r="BF141" i="15" s="1"/>
  <c r="BD141" i="14"/>
  <c r="BF141" i="14" s="1"/>
  <c r="H122" i="9"/>
  <c r="H143" i="16"/>
  <c r="J143" i="16" s="1"/>
  <c r="CZ143" i="15"/>
  <c r="DB143" i="15" s="1"/>
  <c r="H143" i="15"/>
  <c r="J143" i="15" s="1"/>
  <c r="H143" i="14"/>
  <c r="J143" i="14" s="1"/>
  <c r="CZ143" i="13"/>
  <c r="DB143" i="13" s="1"/>
  <c r="CZ143" i="16"/>
  <c r="DB143" i="16" s="1"/>
  <c r="CB143" i="16"/>
  <c r="CD143" i="16" s="1"/>
  <c r="AF143" i="16"/>
  <c r="AH143" i="16" s="1"/>
  <c r="BD143" i="15"/>
  <c r="BF143" i="15" s="1"/>
  <c r="CB143" i="14"/>
  <c r="CD143" i="14" s="1"/>
  <c r="AF143" i="13"/>
  <c r="AH143" i="13" s="1"/>
  <c r="BD143" i="16"/>
  <c r="BF143" i="16" s="1"/>
  <c r="CB143" i="15"/>
  <c r="CD143" i="15" s="1"/>
  <c r="AF143" i="15"/>
  <c r="AH143" i="15" s="1"/>
  <c r="CB143" i="13"/>
  <c r="CD143" i="13" s="1"/>
  <c r="BD143" i="13"/>
  <c r="BF143" i="13" s="1"/>
  <c r="AF143" i="14"/>
  <c r="AH143" i="14" s="1"/>
  <c r="H143" i="13"/>
  <c r="J143" i="13" s="1"/>
  <c r="BD143" i="14"/>
  <c r="BF143" i="14" s="1"/>
  <c r="CZ143" i="14"/>
  <c r="DB143" i="14" s="1"/>
  <c r="H123" i="9"/>
  <c r="M123" i="9" s="1"/>
  <c r="BD144" i="16"/>
  <c r="BF144" i="16" s="1"/>
  <c r="CB144" i="15"/>
  <c r="CD144" i="15" s="1"/>
  <c r="BD144" i="15"/>
  <c r="BF144" i="15" s="1"/>
  <c r="H144" i="13"/>
  <c r="J144" i="13" s="1"/>
  <c r="CZ144" i="16"/>
  <c r="DB144" i="16" s="1"/>
  <c r="CB144" i="16"/>
  <c r="CD144" i="16" s="1"/>
  <c r="AF144" i="16"/>
  <c r="AH144" i="16" s="1"/>
  <c r="CB144" i="14"/>
  <c r="CD144" i="14" s="1"/>
  <c r="H144" i="14"/>
  <c r="J144" i="14" s="1"/>
  <c r="CZ144" i="13"/>
  <c r="DB144" i="13" s="1"/>
  <c r="H144" i="15"/>
  <c r="J144" i="15" s="1"/>
  <c r="AF144" i="13"/>
  <c r="AH144" i="13" s="1"/>
  <c r="CZ144" i="15"/>
  <c r="DB144" i="15" s="1"/>
  <c r="AF144" i="15"/>
  <c r="AH144" i="15" s="1"/>
  <c r="CB144" i="13"/>
  <c r="CD144" i="13" s="1"/>
  <c r="BD144" i="13"/>
  <c r="BF144" i="13" s="1"/>
  <c r="AF144" i="14"/>
  <c r="AH144" i="14" s="1"/>
  <c r="H144" i="16"/>
  <c r="J144" i="16" s="1"/>
  <c r="BD144" i="14"/>
  <c r="BF144" i="14" s="1"/>
  <c r="CZ144" i="14"/>
  <c r="DB144" i="14" s="1"/>
  <c r="H125" i="9"/>
  <c r="CZ146" i="16"/>
  <c r="DB146" i="16" s="1"/>
  <c r="CB146" i="16"/>
  <c r="CD146" i="16" s="1"/>
  <c r="AF146" i="16"/>
  <c r="AH146" i="16" s="1"/>
  <c r="AF146" i="15"/>
  <c r="AH146" i="15" s="1"/>
  <c r="AF146" i="14"/>
  <c r="AH146" i="14" s="1"/>
  <c r="BD146" i="16"/>
  <c r="BF146" i="16" s="1"/>
  <c r="CZ146" i="15"/>
  <c r="DB146" i="15" s="1"/>
  <c r="CB146" i="15"/>
  <c r="CD146" i="15" s="1"/>
  <c r="H146" i="15"/>
  <c r="J146" i="15" s="1"/>
  <c r="CB146" i="14"/>
  <c r="CD146" i="14" s="1"/>
  <c r="CZ146" i="13"/>
  <c r="DB146" i="13" s="1"/>
  <c r="H146" i="13"/>
  <c r="J146" i="13" s="1"/>
  <c r="H146" i="16"/>
  <c r="J146" i="16" s="1"/>
  <c r="AF146" i="13"/>
  <c r="AH146" i="13" s="1"/>
  <c r="BD146" i="13"/>
  <c r="BF146" i="13" s="1"/>
  <c r="BD146" i="15"/>
  <c r="BF146" i="15" s="1"/>
  <c r="H146" i="14"/>
  <c r="J146" i="14" s="1"/>
  <c r="BD146" i="14"/>
  <c r="BF146" i="14" s="1"/>
  <c r="CZ146" i="14"/>
  <c r="DB146" i="14" s="1"/>
  <c r="CB146" i="13"/>
  <c r="CD146" i="13" s="1"/>
  <c r="H118" i="9"/>
  <c r="CZ139" i="16"/>
  <c r="DB139" i="16" s="1"/>
  <c r="H139" i="16"/>
  <c r="J139" i="16" s="1"/>
  <c r="CZ139" i="15"/>
  <c r="DB139" i="15" s="1"/>
  <c r="AF139" i="15"/>
  <c r="AH139" i="15" s="1"/>
  <c r="CB139" i="16"/>
  <c r="CD139" i="16" s="1"/>
  <c r="AF139" i="16"/>
  <c r="AH139" i="16" s="1"/>
  <c r="BD139" i="15"/>
  <c r="BF139" i="15" s="1"/>
  <c r="BD139" i="14"/>
  <c r="BF139" i="14" s="1"/>
  <c r="AF139" i="14"/>
  <c r="AH139" i="14" s="1"/>
  <c r="H139" i="14"/>
  <c r="J139" i="14" s="1"/>
  <c r="CZ139" i="13"/>
  <c r="DB139" i="13" s="1"/>
  <c r="CB139" i="13"/>
  <c r="CD139" i="13" s="1"/>
  <c r="BD139" i="16"/>
  <c r="BF139" i="16" s="1"/>
  <c r="CB139" i="15"/>
  <c r="CD139" i="15" s="1"/>
  <c r="CB139" i="14"/>
  <c r="CD139" i="14" s="1"/>
  <c r="AF139" i="13"/>
  <c r="AH139" i="13" s="1"/>
  <c r="BD139" i="13"/>
  <c r="BF139" i="13" s="1"/>
  <c r="H139" i="13"/>
  <c r="J139" i="13" s="1"/>
  <c r="H139" i="15"/>
  <c r="J139" i="15" s="1"/>
  <c r="CZ139" i="14"/>
  <c r="DB139" i="14" s="1"/>
  <c r="CZ150" i="16"/>
  <c r="DB150" i="16" s="1"/>
  <c r="CB150" i="16"/>
  <c r="CD150" i="16" s="1"/>
  <c r="AF150" i="16"/>
  <c r="AH150" i="16" s="1"/>
  <c r="H150" i="16"/>
  <c r="J150" i="16" s="1"/>
  <c r="AF150" i="15"/>
  <c r="AH150" i="15" s="1"/>
  <c r="BD150" i="14"/>
  <c r="BF150" i="14" s="1"/>
  <c r="CB150" i="13"/>
  <c r="CD150" i="13" s="1"/>
  <c r="CB150" i="15"/>
  <c r="CD150" i="15" s="1"/>
  <c r="BD150" i="15"/>
  <c r="BF150" i="15" s="1"/>
  <c r="CZ150" i="13"/>
  <c r="DB150" i="13" s="1"/>
  <c r="BD150" i="16"/>
  <c r="BF150" i="16" s="1"/>
  <c r="CZ150" i="15"/>
  <c r="DB150" i="15" s="1"/>
  <c r="AF150" i="13"/>
  <c r="AH150" i="13" s="1"/>
  <c r="BD150" i="13"/>
  <c r="BF150" i="13" s="1"/>
  <c r="H150" i="13"/>
  <c r="J150" i="13" s="1"/>
  <c r="AF150" i="14"/>
  <c r="AH150" i="14" s="1"/>
  <c r="CZ150" i="14"/>
  <c r="DB150" i="14" s="1"/>
  <c r="H150" i="15"/>
  <c r="J150" i="15" s="1"/>
  <c r="CB150" i="14"/>
  <c r="CD150" i="14" s="1"/>
  <c r="H150" i="14"/>
  <c r="J150" i="14" s="1"/>
  <c r="H117" i="9"/>
  <c r="CB138" i="16"/>
  <c r="CD138" i="16" s="1"/>
  <c r="AF138" i="16"/>
  <c r="AH138" i="16" s="1"/>
  <c r="BD138" i="14"/>
  <c r="BF138" i="14" s="1"/>
  <c r="CB138" i="13"/>
  <c r="CD138" i="13" s="1"/>
  <c r="H138" i="15"/>
  <c r="J138" i="15" s="1"/>
  <c r="AF138" i="14"/>
  <c r="AH138" i="14" s="1"/>
  <c r="CZ138" i="13"/>
  <c r="DB138" i="13" s="1"/>
  <c r="BD138" i="15"/>
  <c r="BF138" i="15" s="1"/>
  <c r="CB138" i="14"/>
  <c r="CD138" i="14" s="1"/>
  <c r="AF138" i="13"/>
  <c r="AH138" i="13" s="1"/>
  <c r="CZ138" i="16"/>
  <c r="DB138" i="16" s="1"/>
  <c r="BD138" i="16"/>
  <c r="BF138" i="16" s="1"/>
  <c r="CZ138" i="15"/>
  <c r="DB138" i="15" s="1"/>
  <c r="CB138" i="15"/>
  <c r="CD138" i="15" s="1"/>
  <c r="H138" i="14"/>
  <c r="J138" i="14" s="1"/>
  <c r="BD138" i="13"/>
  <c r="BF138" i="13" s="1"/>
  <c r="H138" i="13"/>
  <c r="J138" i="13" s="1"/>
  <c r="H138" i="16"/>
  <c r="J138" i="16" s="1"/>
  <c r="AF138" i="15"/>
  <c r="AH138" i="15" s="1"/>
  <c r="CZ138" i="14"/>
  <c r="DB138" i="14" s="1"/>
  <c r="H128" i="9"/>
  <c r="M128" i="9" s="1"/>
  <c r="BD149" i="14"/>
  <c r="BF149" i="14" s="1"/>
  <c r="CB149" i="13"/>
  <c r="CD149" i="13" s="1"/>
  <c r="CZ149" i="16"/>
  <c r="DB149" i="16" s="1"/>
  <c r="CB149" i="16"/>
  <c r="CD149" i="16" s="1"/>
  <c r="AF149" i="16"/>
  <c r="AH149" i="16" s="1"/>
  <c r="H149" i="15"/>
  <c r="J149" i="15" s="1"/>
  <c r="CZ149" i="13"/>
  <c r="DB149" i="13" s="1"/>
  <c r="CB149" i="15"/>
  <c r="CD149" i="15" s="1"/>
  <c r="BD149" i="15"/>
  <c r="BF149" i="15" s="1"/>
  <c r="H149" i="14"/>
  <c r="J149" i="14" s="1"/>
  <c r="AF149" i="13"/>
  <c r="AH149" i="13" s="1"/>
  <c r="BD149" i="16"/>
  <c r="BF149" i="16" s="1"/>
  <c r="H149" i="16"/>
  <c r="J149" i="16" s="1"/>
  <c r="CZ149" i="15"/>
  <c r="DB149" i="15" s="1"/>
  <c r="AF149" i="15"/>
  <c r="AH149" i="15" s="1"/>
  <c r="BD149" i="13"/>
  <c r="BF149" i="13" s="1"/>
  <c r="AF149" i="14"/>
  <c r="AH149" i="14" s="1"/>
  <c r="CZ149" i="14"/>
  <c r="DB149" i="14" s="1"/>
  <c r="CB149" i="14"/>
  <c r="CD149" i="14" s="1"/>
  <c r="H149" i="13"/>
  <c r="J149" i="13" s="1"/>
  <c r="H126" i="9"/>
  <c r="H147" i="16"/>
  <c r="J147" i="16" s="1"/>
  <c r="CZ147" i="15"/>
  <c r="DB147" i="15" s="1"/>
  <c r="H147" i="14"/>
  <c r="J147" i="14" s="1"/>
  <c r="AF147" i="15"/>
  <c r="AH147" i="15" s="1"/>
  <c r="H147" i="15"/>
  <c r="J147" i="15" s="1"/>
  <c r="CB147" i="14"/>
  <c r="CD147" i="14" s="1"/>
  <c r="CZ147" i="13"/>
  <c r="DB147" i="13" s="1"/>
  <c r="AF147" i="13"/>
  <c r="AH147" i="13" s="1"/>
  <c r="H147" i="13"/>
  <c r="J147" i="13" s="1"/>
  <c r="CZ147" i="16"/>
  <c r="DB147" i="16" s="1"/>
  <c r="CB147" i="16"/>
  <c r="CD147" i="16" s="1"/>
  <c r="AF147" i="16"/>
  <c r="AH147" i="16" s="1"/>
  <c r="BD147" i="15"/>
  <c r="BF147" i="15" s="1"/>
  <c r="CB147" i="15"/>
  <c r="CD147" i="15" s="1"/>
  <c r="BD147" i="13"/>
  <c r="BF147" i="13" s="1"/>
  <c r="BD147" i="16"/>
  <c r="BF147" i="16" s="1"/>
  <c r="BD147" i="14"/>
  <c r="BF147" i="14" s="1"/>
  <c r="AF147" i="14"/>
  <c r="AH147" i="14" s="1"/>
  <c r="CZ147" i="14"/>
  <c r="DB147" i="14" s="1"/>
  <c r="CB147" i="13"/>
  <c r="CD147" i="13" s="1"/>
  <c r="CE151" i="16"/>
  <c r="CF151" i="16"/>
  <c r="K151" i="14"/>
  <c r="L151" i="14"/>
  <c r="DC151" i="14"/>
  <c r="DD151" i="14"/>
  <c r="BD140" i="16"/>
  <c r="BF140" i="16" s="1"/>
  <c r="CB140" i="15"/>
  <c r="CD140" i="15" s="1"/>
  <c r="BD140" i="15"/>
  <c r="BF140" i="15" s="1"/>
  <c r="H140" i="15"/>
  <c r="J140" i="15" s="1"/>
  <c r="CZ140" i="14"/>
  <c r="DB140" i="14" s="1"/>
  <c r="CB140" i="14"/>
  <c r="CD140" i="14" s="1"/>
  <c r="H140" i="13"/>
  <c r="J140" i="13" s="1"/>
  <c r="CZ140" i="16"/>
  <c r="DB140" i="16" s="1"/>
  <c r="AF140" i="14"/>
  <c r="AH140" i="14" s="1"/>
  <c r="CZ140" i="13"/>
  <c r="DB140" i="13" s="1"/>
  <c r="CB140" i="13"/>
  <c r="CD140" i="13" s="1"/>
  <c r="CZ140" i="15"/>
  <c r="DB140" i="15" s="1"/>
  <c r="H140" i="14"/>
  <c r="J140" i="14" s="1"/>
  <c r="AF140" i="13"/>
  <c r="AH140" i="13" s="1"/>
  <c r="H140" i="16"/>
  <c r="J140" i="16" s="1"/>
  <c r="BD140" i="13"/>
  <c r="BF140" i="13" s="1"/>
  <c r="CB140" i="16"/>
  <c r="CD140" i="16" s="1"/>
  <c r="AF140" i="15"/>
  <c r="AH140" i="15" s="1"/>
  <c r="BD140" i="14"/>
  <c r="BF140" i="14" s="1"/>
  <c r="AF140" i="16"/>
  <c r="AH140" i="16" s="1"/>
  <c r="AF145" i="14"/>
  <c r="AH145" i="14" s="1"/>
  <c r="BD145" i="15"/>
  <c r="BF145" i="15" s="1"/>
  <c r="CB145" i="14"/>
  <c r="CD145" i="14" s="1"/>
  <c r="CZ145" i="13"/>
  <c r="DB145" i="13" s="1"/>
  <c r="BD145" i="16"/>
  <c r="BF145" i="16" s="1"/>
  <c r="CZ145" i="15"/>
  <c r="DB145" i="15" s="1"/>
  <c r="CB145" i="15"/>
  <c r="CD145" i="15" s="1"/>
  <c r="AF145" i="15"/>
  <c r="AH145" i="15" s="1"/>
  <c r="H145" i="15"/>
  <c r="J145" i="15" s="1"/>
  <c r="H145" i="14"/>
  <c r="J145" i="14" s="1"/>
  <c r="AF145" i="13"/>
  <c r="AH145" i="13" s="1"/>
  <c r="H145" i="16"/>
  <c r="J145" i="16" s="1"/>
  <c r="CB145" i="16"/>
  <c r="CD145" i="16" s="1"/>
  <c r="BD145" i="13"/>
  <c r="BF145" i="13" s="1"/>
  <c r="CZ145" i="16"/>
  <c r="DB145" i="16" s="1"/>
  <c r="AF145" i="16"/>
  <c r="AH145" i="16" s="1"/>
  <c r="BD145" i="14"/>
  <c r="BF145" i="14" s="1"/>
  <c r="H145" i="13"/>
  <c r="J145" i="13" s="1"/>
  <c r="CZ145" i="14"/>
  <c r="DB145" i="14" s="1"/>
  <c r="CB145" i="13"/>
  <c r="CD145" i="13" s="1"/>
  <c r="H127" i="9"/>
  <c r="BD148" i="16"/>
  <c r="BF148" i="16" s="1"/>
  <c r="CB148" i="15"/>
  <c r="CD148" i="15" s="1"/>
  <c r="BD148" i="15"/>
  <c r="BF148" i="15" s="1"/>
  <c r="BD148" i="14"/>
  <c r="BF148" i="14" s="1"/>
  <c r="H148" i="13"/>
  <c r="J148" i="13" s="1"/>
  <c r="H148" i="15"/>
  <c r="J148" i="15" s="1"/>
  <c r="CZ148" i="13"/>
  <c r="DB148" i="13" s="1"/>
  <c r="CZ148" i="16"/>
  <c r="DB148" i="16" s="1"/>
  <c r="CB148" i="16"/>
  <c r="CD148" i="16" s="1"/>
  <c r="AF148" i="16"/>
  <c r="AH148" i="16" s="1"/>
  <c r="H148" i="14"/>
  <c r="J148" i="14" s="1"/>
  <c r="AF148" i="13"/>
  <c r="AH148" i="13" s="1"/>
  <c r="H148" i="16"/>
  <c r="J148" i="16" s="1"/>
  <c r="BD148" i="13"/>
  <c r="BF148" i="13" s="1"/>
  <c r="AF148" i="14"/>
  <c r="AH148" i="14" s="1"/>
  <c r="CZ148" i="14"/>
  <c r="DB148" i="14" s="1"/>
  <c r="CZ148" i="15"/>
  <c r="DB148" i="15" s="1"/>
  <c r="AF148" i="15"/>
  <c r="AH148" i="15" s="1"/>
  <c r="CB148" i="14"/>
  <c r="CD148" i="14" s="1"/>
  <c r="CB148" i="13"/>
  <c r="CD148" i="13" s="1"/>
  <c r="H132" i="9"/>
  <c r="H153" i="16"/>
  <c r="J153" i="16" s="1"/>
  <c r="H153" i="15"/>
  <c r="J153" i="15" s="1"/>
  <c r="CZ153" i="14"/>
  <c r="DB153" i="14" s="1"/>
  <c r="CB153" i="14"/>
  <c r="CD153" i="14" s="1"/>
  <c r="BD153" i="14"/>
  <c r="BF153" i="14" s="1"/>
  <c r="H153" i="14"/>
  <c r="J153" i="14" s="1"/>
  <c r="CB153" i="13"/>
  <c r="CD153" i="13" s="1"/>
  <c r="CZ153" i="13"/>
  <c r="DB153" i="13" s="1"/>
  <c r="CZ153" i="16"/>
  <c r="DB153" i="16" s="1"/>
  <c r="CB153" i="16"/>
  <c r="CD153" i="16" s="1"/>
  <c r="AF153" i="16"/>
  <c r="AH153" i="16" s="1"/>
  <c r="AF153" i="13"/>
  <c r="AH153" i="13" s="1"/>
  <c r="CB153" i="15"/>
  <c r="CD153" i="15" s="1"/>
  <c r="BD153" i="15"/>
  <c r="BF153" i="15" s="1"/>
  <c r="BD153" i="16"/>
  <c r="BF153" i="16" s="1"/>
  <c r="AF153" i="14"/>
  <c r="AH153" i="14" s="1"/>
  <c r="BD153" i="13"/>
  <c r="BF153" i="13" s="1"/>
  <c r="H153" i="13"/>
  <c r="J153" i="13" s="1"/>
  <c r="CZ153" i="15"/>
  <c r="DB153" i="15" s="1"/>
  <c r="AF153" i="15"/>
  <c r="AH153" i="15" s="1"/>
  <c r="AI151" i="15"/>
  <c r="AJ151" i="15"/>
  <c r="BH151" i="16"/>
  <c r="BG151" i="16"/>
  <c r="K151" i="15"/>
  <c r="L151" i="15"/>
  <c r="K151" i="16"/>
  <c r="L151" i="16"/>
  <c r="CE151" i="13"/>
  <c r="CF151" i="13"/>
  <c r="CE151" i="15"/>
  <c r="CF151" i="15"/>
  <c r="BG151" i="13"/>
  <c r="BH151" i="13"/>
  <c r="BG151" i="14"/>
  <c r="BH151" i="14"/>
  <c r="DC151" i="15"/>
  <c r="DD151" i="15"/>
  <c r="F16" i="9"/>
  <c r="H16" i="9" s="1"/>
  <c r="F76" i="9"/>
  <c r="H76" i="9" s="1"/>
  <c r="M76" i="9" s="1"/>
  <c r="N76" i="9" s="1"/>
  <c r="O76" i="9" s="1"/>
  <c r="F75" i="9"/>
  <c r="H75" i="9" s="1"/>
  <c r="F80" i="9"/>
  <c r="H80" i="9" s="1"/>
  <c r="F72" i="9"/>
  <c r="H72" i="9" s="1"/>
  <c r="F77" i="9"/>
  <c r="H77" i="9" s="1"/>
  <c r="F79" i="9"/>
  <c r="H79" i="9" s="1"/>
  <c r="F69" i="9"/>
  <c r="H69" i="9" s="1"/>
  <c r="M69" i="9" s="1"/>
  <c r="N69" i="9" s="1"/>
  <c r="O69" i="9" s="1"/>
  <c r="F71" i="9"/>
  <c r="H71" i="9" s="1"/>
  <c r="F68" i="9"/>
  <c r="G146" i="9" s="1"/>
  <c r="I146" i="9" s="1"/>
  <c r="N146" i="9" s="1"/>
  <c r="O146" i="9" s="1"/>
  <c r="P146" i="9" s="1"/>
  <c r="F74" i="9"/>
  <c r="H74" i="9" s="1"/>
  <c r="F66" i="9"/>
  <c r="H66" i="9" s="1"/>
  <c r="F78" i="9"/>
  <c r="H78" i="9" s="1"/>
  <c r="F67" i="9"/>
  <c r="H67" i="9" s="1"/>
  <c r="F73" i="9"/>
  <c r="H73" i="9" s="1"/>
  <c r="F65" i="9"/>
  <c r="H65" i="9" s="1"/>
  <c r="F17" i="9"/>
  <c r="H17" i="9" s="1"/>
  <c r="F20" i="9"/>
  <c r="H20" i="9" s="1"/>
  <c r="F26" i="9"/>
  <c r="H26" i="9" s="1"/>
  <c r="M26" i="9" s="1"/>
  <c r="N26" i="9" s="1"/>
  <c r="O26" i="9" s="1"/>
  <c r="P12" i="8"/>
  <c r="F23" i="9"/>
  <c r="H23" i="9" s="1"/>
  <c r="F13" i="9"/>
  <c r="H13" i="9" s="1"/>
  <c r="M13" i="9" s="1"/>
  <c r="N13" i="9" s="1"/>
  <c r="O13" i="9" s="1"/>
  <c r="F21" i="9"/>
  <c r="H21" i="9" s="1"/>
  <c r="F27" i="9"/>
  <c r="H27" i="9" s="1"/>
  <c r="F15" i="9"/>
  <c r="H15" i="9" s="1"/>
  <c r="F25" i="9"/>
  <c r="H25" i="9" s="1"/>
  <c r="F28" i="9"/>
  <c r="H28" i="9" s="1"/>
  <c r="F19" i="9"/>
  <c r="H19" i="9" s="1"/>
  <c r="F24" i="9"/>
  <c r="H24" i="9" s="1"/>
  <c r="F14" i="9"/>
  <c r="H14" i="9" s="1"/>
  <c r="F22" i="9"/>
  <c r="H22" i="9" s="1"/>
  <c r="H48" i="9"/>
  <c r="G152" i="9"/>
  <c r="H68" i="9"/>
  <c r="H129" i="9"/>
  <c r="G155" i="9"/>
  <c r="H53" i="9"/>
  <c r="G157" i="9"/>
  <c r="H97" i="9"/>
  <c r="G149" i="9"/>
  <c r="H43" i="9"/>
  <c r="M43" i="9" s="1"/>
  <c r="N43" i="9" s="1"/>
  <c r="O43" i="9" s="1"/>
  <c r="G147" i="9"/>
  <c r="H92" i="9"/>
  <c r="G144" i="9"/>
  <c r="H102" i="9"/>
  <c r="G154" i="9"/>
  <c r="H119" i="9"/>
  <c r="G145" i="9"/>
  <c r="H124" i="9"/>
  <c r="G150" i="9"/>
  <c r="I150" i="9" s="1"/>
  <c r="N150" i="9" s="1"/>
  <c r="O150" i="9" s="1"/>
  <c r="P150" i="9" s="1"/>
  <c r="H18" i="9"/>
  <c r="M18" i="9" s="1"/>
  <c r="N18" i="9" s="1"/>
  <c r="O18" i="9" s="1"/>
  <c r="G148" i="9"/>
  <c r="I18" i="17"/>
  <c r="L18" i="17" s="1"/>
  <c r="I17" i="17"/>
  <c r="M17" i="17" s="1"/>
  <c r="I14" i="17"/>
  <c r="L14" i="17" s="1"/>
  <c r="I13" i="17"/>
  <c r="L13" i="17" s="1"/>
  <c r="I10" i="17"/>
  <c r="M10" i="17" s="1"/>
  <c r="I19" i="17"/>
  <c r="L19" i="17" s="1"/>
  <c r="I22" i="17"/>
  <c r="M22" i="17" s="1"/>
  <c r="I16" i="17"/>
  <c r="L16" i="17" s="1"/>
  <c r="I20" i="17"/>
  <c r="L20" i="17" s="1"/>
  <c r="I12" i="17"/>
  <c r="L12" i="17" s="1"/>
  <c r="I21" i="17"/>
  <c r="L21" i="17" s="1"/>
  <c r="I9" i="17"/>
  <c r="L9" i="17" s="1"/>
  <c r="I8" i="17"/>
  <c r="L8" i="17" s="1"/>
  <c r="I11" i="17"/>
  <c r="L11" i="17" s="1"/>
  <c r="I15" i="17"/>
  <c r="L15" i="17" s="1"/>
  <c r="I7" i="17"/>
  <c r="L7" i="17" s="1"/>
  <c r="N7" i="17" s="1"/>
  <c r="J91" i="9"/>
  <c r="I105" i="9"/>
  <c r="I104" i="9"/>
  <c r="I96" i="9"/>
  <c r="I98" i="9"/>
  <c r="I106" i="9"/>
  <c r="I94" i="9"/>
  <c r="I130" i="9"/>
  <c r="I103" i="9"/>
  <c r="N15" i="23"/>
  <c r="M15" i="23"/>
  <c r="N20" i="23"/>
  <c r="M20" i="23"/>
  <c r="N8" i="23"/>
  <c r="M8" i="23"/>
  <c r="N16" i="23"/>
  <c r="M16" i="23"/>
  <c r="N13" i="23"/>
  <c r="M13" i="23"/>
  <c r="N17" i="23"/>
  <c r="M17" i="23"/>
  <c r="N11" i="23"/>
  <c r="M11" i="23"/>
  <c r="N21" i="23"/>
  <c r="M21" i="23"/>
  <c r="N19" i="23"/>
  <c r="M19" i="23"/>
  <c r="N18" i="23"/>
  <c r="M18" i="23"/>
  <c r="N12" i="23"/>
  <c r="M12" i="23"/>
  <c r="N9" i="23"/>
  <c r="M9" i="23"/>
  <c r="N10" i="23"/>
  <c r="M10" i="23"/>
  <c r="N22" i="23"/>
  <c r="M22" i="23"/>
  <c r="N14" i="23"/>
  <c r="M14" i="23"/>
  <c r="I99" i="9"/>
  <c r="J93" i="9"/>
  <c r="I95" i="9"/>
  <c r="I93" i="9"/>
  <c r="J99" i="9"/>
  <c r="I100" i="9"/>
  <c r="J101" i="9"/>
  <c r="I40" i="9"/>
  <c r="I47" i="9"/>
  <c r="I39" i="9"/>
  <c r="J39" i="9"/>
  <c r="I70" i="9"/>
  <c r="I52" i="9"/>
  <c r="I50" i="9"/>
  <c r="I46" i="9"/>
  <c r="I51" i="9"/>
  <c r="I41" i="9"/>
  <c r="I49" i="9"/>
  <c r="J47" i="9"/>
  <c r="I44" i="9"/>
  <c r="J52" i="9"/>
  <c r="J40" i="9"/>
  <c r="I54" i="9"/>
  <c r="I42" i="9"/>
  <c r="I45" i="9"/>
  <c r="J54" i="9"/>
  <c r="R13" i="2"/>
  <c r="K13" i="2"/>
  <c r="AE14" i="2"/>
  <c r="V12" i="8" s="1"/>
  <c r="AF14" i="2"/>
  <c r="W12" i="8" s="1"/>
  <c r="J16" i="2"/>
  <c r="J18" i="2" s="1"/>
  <c r="Q16" i="2"/>
  <c r="Q18" i="2" s="1"/>
  <c r="AI151" i="13" l="1"/>
  <c r="AJ151" i="13"/>
  <c r="CE151" i="14"/>
  <c r="G36" i="18"/>
  <c r="G48" i="18"/>
  <c r="G33" i="18"/>
  <c r="G45" i="18"/>
  <c r="N33" i="18"/>
  <c r="K151" i="13"/>
  <c r="G47" i="18"/>
  <c r="BH151" i="15"/>
  <c r="G43" i="18"/>
  <c r="J120" i="9"/>
  <c r="O36" i="18" s="1"/>
  <c r="DD151" i="16"/>
  <c r="H46" i="18"/>
  <c r="G40" i="18"/>
  <c r="G38" i="18"/>
  <c r="J92" i="9"/>
  <c r="M92" i="9"/>
  <c r="N92" i="9" s="1"/>
  <c r="O92" i="9" s="1"/>
  <c r="I48" i="9"/>
  <c r="M48" i="9"/>
  <c r="N48" i="9" s="1"/>
  <c r="O48" i="9" s="1"/>
  <c r="J80" i="9"/>
  <c r="M80" i="9"/>
  <c r="N80" i="9" s="1"/>
  <c r="O80" i="9" s="1"/>
  <c r="J132" i="9"/>
  <c r="M132" i="9"/>
  <c r="J118" i="9"/>
  <c r="M118" i="9"/>
  <c r="J119" i="9"/>
  <c r="M119" i="9"/>
  <c r="J28" i="9"/>
  <c r="M28" i="9"/>
  <c r="N28" i="9" s="1"/>
  <c r="O28" i="9" s="1"/>
  <c r="K48" i="18" s="1"/>
  <c r="Q22" i="17" s="1"/>
  <c r="J74" i="9"/>
  <c r="M74" i="9"/>
  <c r="N74" i="9" s="1"/>
  <c r="O74" i="9" s="1"/>
  <c r="J127" i="9"/>
  <c r="M127" i="9"/>
  <c r="J126" i="9"/>
  <c r="M126" i="9"/>
  <c r="J125" i="9"/>
  <c r="M125" i="9"/>
  <c r="J131" i="9"/>
  <c r="M131" i="9"/>
  <c r="N46" i="18"/>
  <c r="O46" i="18"/>
  <c r="J129" i="9"/>
  <c r="M129" i="9"/>
  <c r="I27" i="9"/>
  <c r="M27" i="9"/>
  <c r="N27" i="9" s="1"/>
  <c r="O27" i="9" s="1"/>
  <c r="J65" i="9"/>
  <c r="M65" i="9"/>
  <c r="N65" i="9" s="1"/>
  <c r="O65" i="9" s="1"/>
  <c r="I22" i="9"/>
  <c r="M22" i="9"/>
  <c r="N22" i="9" s="1"/>
  <c r="O22" i="9" s="1"/>
  <c r="J21" i="9"/>
  <c r="M21" i="9"/>
  <c r="N21" i="9" s="1"/>
  <c r="O21" i="9" s="1"/>
  <c r="K41" i="18" s="1"/>
  <c r="Q15" i="17" s="1"/>
  <c r="J73" i="9"/>
  <c r="M73" i="9"/>
  <c r="N73" i="9" s="1"/>
  <c r="O73" i="9" s="1"/>
  <c r="J75" i="9"/>
  <c r="M75" i="9"/>
  <c r="N75" i="9" s="1"/>
  <c r="O75" i="9" s="1"/>
  <c r="M43" i="18" s="1"/>
  <c r="G46" i="18"/>
  <c r="I124" i="9"/>
  <c r="M124" i="9"/>
  <c r="J102" i="9"/>
  <c r="M102" i="9"/>
  <c r="N102" i="9" s="1"/>
  <c r="O102" i="9" s="1"/>
  <c r="J53" i="9"/>
  <c r="M53" i="9"/>
  <c r="N53" i="9" s="1"/>
  <c r="O53" i="9" s="1"/>
  <c r="J68" i="9"/>
  <c r="M68" i="9"/>
  <c r="N68" i="9" s="1"/>
  <c r="O68" i="9" s="1"/>
  <c r="I14" i="9"/>
  <c r="M14" i="9"/>
  <c r="N14" i="9" s="1"/>
  <c r="O14" i="9" s="1"/>
  <c r="J25" i="9"/>
  <c r="M25" i="9"/>
  <c r="N25" i="9" s="1"/>
  <c r="O25" i="9" s="1"/>
  <c r="J20" i="9"/>
  <c r="M20" i="9"/>
  <c r="N20" i="9" s="1"/>
  <c r="O20" i="9" s="1"/>
  <c r="K40" i="18" s="1"/>
  <c r="Q14" i="17" s="1"/>
  <c r="J67" i="9"/>
  <c r="M67" i="9"/>
  <c r="N67" i="9" s="1"/>
  <c r="O67" i="9" s="1"/>
  <c r="J77" i="9"/>
  <c r="M77" i="9"/>
  <c r="N77" i="9" s="1"/>
  <c r="O77" i="9" s="1"/>
  <c r="DD151" i="13"/>
  <c r="J121" i="9"/>
  <c r="M121" i="9"/>
  <c r="J97" i="9"/>
  <c r="M97" i="9"/>
  <c r="N97" i="9" s="1"/>
  <c r="O97" i="9" s="1"/>
  <c r="J19" i="9"/>
  <c r="M19" i="9"/>
  <c r="N19" i="9" s="1"/>
  <c r="O19" i="9" s="1"/>
  <c r="K39" i="18" s="1"/>
  <c r="Q13" i="17" s="1"/>
  <c r="J66" i="9"/>
  <c r="M66" i="9"/>
  <c r="N66" i="9" s="1"/>
  <c r="O66" i="9" s="1"/>
  <c r="I97" i="9"/>
  <c r="J79" i="9"/>
  <c r="M79" i="9"/>
  <c r="N79" i="9" s="1"/>
  <c r="O79" i="9" s="1"/>
  <c r="J24" i="9"/>
  <c r="M24" i="9"/>
  <c r="N24" i="9" s="1"/>
  <c r="O24" i="9" s="1"/>
  <c r="J15" i="9"/>
  <c r="M15" i="9"/>
  <c r="N15" i="9" s="1"/>
  <c r="O15" i="9" s="1"/>
  <c r="K35" i="18" s="1"/>
  <c r="Q9" i="17" s="1"/>
  <c r="J23" i="9"/>
  <c r="M23" i="9"/>
  <c r="N23" i="9" s="1"/>
  <c r="O23" i="9" s="1"/>
  <c r="J17" i="9"/>
  <c r="M17" i="9"/>
  <c r="N17" i="9" s="1"/>
  <c r="O17" i="9" s="1"/>
  <c r="K37" i="18" s="1"/>
  <c r="Q11" i="17" s="1"/>
  <c r="I78" i="9"/>
  <c r="M78" i="9"/>
  <c r="N78" i="9" s="1"/>
  <c r="O78" i="9" s="1"/>
  <c r="J71" i="9"/>
  <c r="M71" i="9"/>
  <c r="N71" i="9" s="1"/>
  <c r="O71" i="9" s="1"/>
  <c r="J72" i="9"/>
  <c r="M72" i="9"/>
  <c r="N72" i="9" s="1"/>
  <c r="O72" i="9" s="1"/>
  <c r="J16" i="9"/>
  <c r="M16" i="9"/>
  <c r="N16" i="9" s="1"/>
  <c r="O16" i="9" s="1"/>
  <c r="K36" i="18" s="1"/>
  <c r="Q10" i="17" s="1"/>
  <c r="J117" i="9"/>
  <c r="M117" i="9"/>
  <c r="J122" i="9"/>
  <c r="M122" i="9"/>
  <c r="N45" i="18"/>
  <c r="N48" i="18"/>
  <c r="AJ151" i="16"/>
  <c r="I123" i="9"/>
  <c r="H39" i="18" s="1"/>
  <c r="AI151" i="16"/>
  <c r="J123" i="9"/>
  <c r="O39" i="18" s="1"/>
  <c r="J128" i="9"/>
  <c r="O44" i="18" s="1"/>
  <c r="I121" i="9"/>
  <c r="I128" i="9"/>
  <c r="H44" i="18" s="1"/>
  <c r="I16" i="9"/>
  <c r="I126" i="9"/>
  <c r="I131" i="9"/>
  <c r="H47" i="18" s="1"/>
  <c r="I67" i="9"/>
  <c r="I125" i="9"/>
  <c r="AJ151" i="14"/>
  <c r="J76" i="9"/>
  <c r="I20" i="9"/>
  <c r="I122" i="9"/>
  <c r="H38" i="18" s="1"/>
  <c r="I132" i="9"/>
  <c r="AI148" i="15"/>
  <c r="AJ148" i="15"/>
  <c r="AI148" i="16"/>
  <c r="AJ148" i="16"/>
  <c r="CE148" i="15"/>
  <c r="CF148" i="15"/>
  <c r="DC145" i="16"/>
  <c r="DD145" i="16"/>
  <c r="CF145" i="15"/>
  <c r="CE145" i="15"/>
  <c r="BG140" i="14"/>
  <c r="BH140" i="14"/>
  <c r="CE140" i="13"/>
  <c r="CF140" i="13"/>
  <c r="K140" i="13"/>
  <c r="L140" i="13"/>
  <c r="AJ147" i="14"/>
  <c r="AI147" i="14"/>
  <c r="DC147" i="16"/>
  <c r="DD147" i="16"/>
  <c r="DC147" i="15"/>
  <c r="DD147" i="15"/>
  <c r="AI149" i="15"/>
  <c r="AJ149" i="15"/>
  <c r="DC149" i="13"/>
  <c r="DD149" i="13"/>
  <c r="DL138" i="14"/>
  <c r="DC138" i="14"/>
  <c r="DM138" i="14" s="1"/>
  <c r="DD138" i="14"/>
  <c r="DN138" i="14" s="1"/>
  <c r="BP138" i="16"/>
  <c r="BH138" i="16"/>
  <c r="BR138" i="16" s="1"/>
  <c r="BG138" i="16"/>
  <c r="BQ138" i="16" s="1"/>
  <c r="AI150" i="13"/>
  <c r="AJ150" i="13"/>
  <c r="AI150" i="15"/>
  <c r="AJ150" i="15"/>
  <c r="BH139" i="13"/>
  <c r="BG139" i="13"/>
  <c r="AI139" i="14"/>
  <c r="AJ139" i="14"/>
  <c r="DD139" i="16"/>
  <c r="DC139" i="16"/>
  <c r="AI146" i="13"/>
  <c r="AJ146" i="13"/>
  <c r="CE146" i="16"/>
  <c r="CF146" i="16"/>
  <c r="CE144" i="13"/>
  <c r="CF144" i="13"/>
  <c r="AI144" i="16"/>
  <c r="AJ144" i="16"/>
  <c r="DC143" i="14"/>
  <c r="DD143" i="14"/>
  <c r="BG143" i="16"/>
  <c r="BH143" i="16"/>
  <c r="AI141" i="15"/>
  <c r="AJ141" i="15"/>
  <c r="BG141" i="16"/>
  <c r="BH141" i="16"/>
  <c r="AJ152" i="14"/>
  <c r="AI152" i="14"/>
  <c r="DC152" i="15"/>
  <c r="DD152" i="15"/>
  <c r="BG152" i="15"/>
  <c r="BH152" i="15"/>
  <c r="BG142" i="15"/>
  <c r="BH142" i="15"/>
  <c r="AI142" i="16"/>
  <c r="AJ142" i="16"/>
  <c r="I117" i="9"/>
  <c r="AI153" i="15"/>
  <c r="AJ153" i="15"/>
  <c r="CE153" i="14"/>
  <c r="CF153" i="14"/>
  <c r="K149" i="14"/>
  <c r="L149" i="14"/>
  <c r="CF149" i="13"/>
  <c r="CE149" i="13"/>
  <c r="T138" i="14"/>
  <c r="K138" i="14"/>
  <c r="U138" i="14" s="1"/>
  <c r="L138" i="14"/>
  <c r="V138" i="14" s="1"/>
  <c r="DL138" i="13"/>
  <c r="DC138" i="13"/>
  <c r="DM138" i="13" s="1"/>
  <c r="DD138" i="13"/>
  <c r="DN138" i="13" s="1"/>
  <c r="K150" i="14"/>
  <c r="L150" i="14"/>
  <c r="DC150" i="15"/>
  <c r="DD150" i="15"/>
  <c r="K150" i="16"/>
  <c r="L150" i="16"/>
  <c r="AI139" i="13"/>
  <c r="AJ139" i="13"/>
  <c r="BG139" i="14"/>
  <c r="BH139" i="14"/>
  <c r="K146" i="16"/>
  <c r="L146" i="16"/>
  <c r="AI146" i="14"/>
  <c r="AJ146" i="14"/>
  <c r="K144" i="16"/>
  <c r="L144" i="16"/>
  <c r="DC144" i="13"/>
  <c r="DD144" i="13"/>
  <c r="CE144" i="15"/>
  <c r="CF144" i="15"/>
  <c r="CE143" i="13"/>
  <c r="CF143" i="13"/>
  <c r="CE143" i="16"/>
  <c r="CF143" i="16"/>
  <c r="BG141" i="14"/>
  <c r="BH141" i="14"/>
  <c r="K141" i="16"/>
  <c r="L141" i="16"/>
  <c r="AI152" i="13"/>
  <c r="AJ152" i="13"/>
  <c r="CE152" i="14"/>
  <c r="CF152" i="14"/>
  <c r="BG152" i="16"/>
  <c r="BH152" i="16"/>
  <c r="K142" i="13"/>
  <c r="L142" i="13"/>
  <c r="DC142" i="14"/>
  <c r="DD142" i="14"/>
  <c r="DC153" i="15"/>
  <c r="DD153" i="15"/>
  <c r="BG153" i="16"/>
  <c r="BH153" i="16"/>
  <c r="AI153" i="16"/>
  <c r="AJ153" i="16"/>
  <c r="CE153" i="13"/>
  <c r="CF153" i="13"/>
  <c r="DD153" i="14"/>
  <c r="DC153" i="14"/>
  <c r="CE148" i="13"/>
  <c r="CF148" i="13"/>
  <c r="DC148" i="14"/>
  <c r="DD148" i="14"/>
  <c r="AI148" i="13"/>
  <c r="AJ148" i="13"/>
  <c r="DC148" i="16"/>
  <c r="DD148" i="16"/>
  <c r="BG148" i="14"/>
  <c r="BH148" i="14"/>
  <c r="BG145" i="14"/>
  <c r="BH145" i="14"/>
  <c r="CE145" i="16"/>
  <c r="CF145" i="16"/>
  <c r="K145" i="15"/>
  <c r="L145" i="15"/>
  <c r="BG145" i="16"/>
  <c r="BH145" i="16"/>
  <c r="AI145" i="14"/>
  <c r="AJ145" i="14"/>
  <c r="CE140" i="16"/>
  <c r="CF140" i="16"/>
  <c r="K140" i="14"/>
  <c r="L140" i="14"/>
  <c r="AI140" i="14"/>
  <c r="AJ140" i="14"/>
  <c r="DC140" i="14"/>
  <c r="DD140" i="14"/>
  <c r="BG140" i="16"/>
  <c r="BH140" i="16"/>
  <c r="CE147" i="13"/>
  <c r="CF147" i="13"/>
  <c r="BG147" i="16"/>
  <c r="BH147" i="16"/>
  <c r="AI147" i="16"/>
  <c r="AJ147" i="16"/>
  <c r="AI147" i="13"/>
  <c r="AJ147" i="13"/>
  <c r="AI147" i="15"/>
  <c r="AJ147" i="15"/>
  <c r="AI149" i="14"/>
  <c r="AJ149" i="14"/>
  <c r="K149" i="16"/>
  <c r="L149" i="16"/>
  <c r="BG149" i="15"/>
  <c r="BH149" i="15"/>
  <c r="AI149" i="16"/>
  <c r="AJ149" i="16"/>
  <c r="BG149" i="14"/>
  <c r="BH149" i="14"/>
  <c r="T138" i="16"/>
  <c r="K138" i="16"/>
  <c r="U138" i="16" s="1"/>
  <c r="L138" i="16"/>
  <c r="V138" i="16" s="1"/>
  <c r="CN138" i="15"/>
  <c r="CE138" i="15"/>
  <c r="CO138" i="15" s="1"/>
  <c r="CF138" i="15"/>
  <c r="CP138" i="15" s="1"/>
  <c r="AR138" i="13"/>
  <c r="AJ138" i="13"/>
  <c r="AT138" i="13" s="1"/>
  <c r="AT139" i="13" s="1"/>
  <c r="AI138" i="13"/>
  <c r="AS138" i="13" s="1"/>
  <c r="AR138" i="14"/>
  <c r="AI138" i="14"/>
  <c r="AS138" i="14" s="1"/>
  <c r="AJ138" i="14"/>
  <c r="AT138" i="14" s="1"/>
  <c r="AR138" i="16"/>
  <c r="AI138" i="16"/>
  <c r="AS138" i="16" s="1"/>
  <c r="AJ138" i="16"/>
  <c r="AT138" i="16" s="1"/>
  <c r="CE150" i="14"/>
  <c r="CF150" i="14"/>
  <c r="K150" i="13"/>
  <c r="L150" i="13"/>
  <c r="BH150" i="16"/>
  <c r="BG150" i="16"/>
  <c r="CE150" i="13"/>
  <c r="CF150" i="13"/>
  <c r="AI150" i="16"/>
  <c r="AJ150" i="16"/>
  <c r="K139" i="15"/>
  <c r="L139" i="15"/>
  <c r="CE139" i="14"/>
  <c r="CF139" i="14"/>
  <c r="DC139" i="13"/>
  <c r="DD139" i="13"/>
  <c r="BG139" i="15"/>
  <c r="BH139" i="15"/>
  <c r="DC139" i="15"/>
  <c r="DD139" i="15"/>
  <c r="CE146" i="13"/>
  <c r="CF146" i="13"/>
  <c r="BG146" i="15"/>
  <c r="BH146" i="15"/>
  <c r="K146" i="13"/>
  <c r="L146" i="13"/>
  <c r="CE146" i="15"/>
  <c r="CF146" i="15"/>
  <c r="AI146" i="15"/>
  <c r="AJ146" i="15"/>
  <c r="AI144" i="14"/>
  <c r="AJ144" i="14"/>
  <c r="DC144" i="15"/>
  <c r="DD144" i="15"/>
  <c r="K144" i="14"/>
  <c r="L144" i="14"/>
  <c r="DD144" i="16"/>
  <c r="DC144" i="16"/>
  <c r="BG144" i="16"/>
  <c r="BH144" i="16"/>
  <c r="K143" i="13"/>
  <c r="L143" i="13"/>
  <c r="AI143" i="15"/>
  <c r="AJ143" i="15"/>
  <c r="CE143" i="14"/>
  <c r="CF143" i="14"/>
  <c r="DC143" i="16"/>
  <c r="DD143" i="16"/>
  <c r="DC143" i="15"/>
  <c r="DD143" i="15"/>
  <c r="BH141" i="15"/>
  <c r="BG141" i="15"/>
  <c r="DC141" i="16"/>
  <c r="DD141" i="16"/>
  <c r="K141" i="13"/>
  <c r="L141" i="13"/>
  <c r="CE141" i="15"/>
  <c r="CF141" i="15"/>
  <c r="CE141" i="14"/>
  <c r="CF141" i="14"/>
  <c r="CE152" i="15"/>
  <c r="CF152" i="15"/>
  <c r="CE152" i="16"/>
  <c r="CF152" i="16"/>
  <c r="DC152" i="13"/>
  <c r="DD152" i="13"/>
  <c r="CF152" i="13"/>
  <c r="CE152" i="13"/>
  <c r="DC152" i="14"/>
  <c r="DD152" i="14"/>
  <c r="BG142" i="13"/>
  <c r="BH142" i="13"/>
  <c r="AI142" i="13"/>
  <c r="AJ142" i="13"/>
  <c r="K142" i="14"/>
  <c r="L142" i="14"/>
  <c r="K142" i="15"/>
  <c r="L142" i="15"/>
  <c r="DD142" i="16"/>
  <c r="DC142" i="16"/>
  <c r="BG153" i="13"/>
  <c r="BH153" i="13"/>
  <c r="CE153" i="15"/>
  <c r="CF153" i="15"/>
  <c r="DC153" i="16"/>
  <c r="DD153" i="16"/>
  <c r="BG153" i="14"/>
  <c r="BH153" i="14"/>
  <c r="K153" i="16"/>
  <c r="L153" i="16"/>
  <c r="BH148" i="13"/>
  <c r="BG148" i="13"/>
  <c r="K148" i="15"/>
  <c r="L148" i="15"/>
  <c r="DC145" i="14"/>
  <c r="DD145" i="14"/>
  <c r="AI145" i="13"/>
  <c r="AJ145" i="13"/>
  <c r="CE145" i="14"/>
  <c r="CF145" i="14"/>
  <c r="K140" i="16"/>
  <c r="L140" i="16"/>
  <c r="BG140" i="15"/>
  <c r="BH140" i="15"/>
  <c r="CE147" i="15"/>
  <c r="CF147" i="15"/>
  <c r="CE147" i="14"/>
  <c r="CF147" i="14"/>
  <c r="CE149" i="14"/>
  <c r="CF149" i="14"/>
  <c r="AI149" i="13"/>
  <c r="AJ149" i="13"/>
  <c r="DC149" i="16"/>
  <c r="DD149" i="16"/>
  <c r="BP138" i="13"/>
  <c r="BG138" i="13"/>
  <c r="BQ138" i="13" s="1"/>
  <c r="BQ139" i="13" s="1"/>
  <c r="BH138" i="13"/>
  <c r="BR138" i="13" s="1"/>
  <c r="BP138" i="15"/>
  <c r="BP139" i="15" s="1"/>
  <c r="BG138" i="15"/>
  <c r="BQ138" i="15" s="1"/>
  <c r="BH138" i="15"/>
  <c r="BR138" i="15" s="1"/>
  <c r="CN138" i="13"/>
  <c r="CE138" i="13"/>
  <c r="CO138" i="13" s="1"/>
  <c r="CF138" i="13"/>
  <c r="CP138" i="13" s="1"/>
  <c r="DC150" i="14"/>
  <c r="DD150" i="14"/>
  <c r="BG150" i="15"/>
  <c r="BH150" i="15"/>
  <c r="DC150" i="16"/>
  <c r="DD150" i="16"/>
  <c r="BG139" i="16"/>
  <c r="BH139" i="16"/>
  <c r="CF139" i="16"/>
  <c r="CE139" i="16"/>
  <c r="BG146" i="14"/>
  <c r="BH146" i="14"/>
  <c r="CE146" i="14"/>
  <c r="CF146" i="14"/>
  <c r="BH146" i="16"/>
  <c r="BG146" i="16"/>
  <c r="BG144" i="14"/>
  <c r="BH144" i="14"/>
  <c r="K144" i="15"/>
  <c r="L144" i="15"/>
  <c r="BG144" i="15"/>
  <c r="BH144" i="15"/>
  <c r="BG143" i="13"/>
  <c r="BH143" i="13"/>
  <c r="AI143" i="16"/>
  <c r="AJ143" i="16"/>
  <c r="K143" i="14"/>
  <c r="L143" i="14"/>
  <c r="AI141" i="16"/>
  <c r="AJ141" i="16"/>
  <c r="DC141" i="13"/>
  <c r="DD141" i="13"/>
  <c r="K141" i="15"/>
  <c r="L141" i="15"/>
  <c r="K152" i="13"/>
  <c r="L152" i="13"/>
  <c r="BG152" i="14"/>
  <c r="BH152" i="14"/>
  <c r="BG142" i="16"/>
  <c r="BH142" i="16"/>
  <c r="CE142" i="13"/>
  <c r="CF142" i="13"/>
  <c r="K142" i="16"/>
  <c r="L142" i="16"/>
  <c r="AI153" i="14"/>
  <c r="AJ153" i="14"/>
  <c r="AI153" i="13"/>
  <c r="AJ153" i="13"/>
  <c r="DC153" i="13"/>
  <c r="DD153" i="13"/>
  <c r="DC148" i="15"/>
  <c r="DD148" i="15"/>
  <c r="L148" i="16"/>
  <c r="K148" i="16"/>
  <c r="CE148" i="16"/>
  <c r="CF148" i="16"/>
  <c r="K148" i="13"/>
  <c r="L148" i="13"/>
  <c r="BG148" i="16"/>
  <c r="BH148" i="16"/>
  <c r="K145" i="13"/>
  <c r="L145" i="13"/>
  <c r="BG145" i="13"/>
  <c r="BH145" i="13"/>
  <c r="K145" i="14"/>
  <c r="L145" i="14"/>
  <c r="DC145" i="15"/>
  <c r="DD145" i="15"/>
  <c r="BG145" i="15"/>
  <c r="BH145" i="15"/>
  <c r="AI140" i="15"/>
  <c r="AJ140" i="15"/>
  <c r="AI140" i="13"/>
  <c r="AJ140" i="13"/>
  <c r="DC140" i="13"/>
  <c r="DD140" i="13"/>
  <c r="CE140" i="14"/>
  <c r="CF140" i="14"/>
  <c r="CE140" i="15"/>
  <c r="CF140" i="15"/>
  <c r="BG147" i="14"/>
  <c r="BH147" i="14"/>
  <c r="BG147" i="15"/>
  <c r="BH147" i="15"/>
  <c r="K147" i="13"/>
  <c r="L147" i="13"/>
  <c r="K147" i="15"/>
  <c r="L147" i="15"/>
  <c r="K147" i="16"/>
  <c r="L147" i="16"/>
  <c r="DC149" i="14"/>
  <c r="DD149" i="14"/>
  <c r="DC149" i="15"/>
  <c r="DD149" i="15"/>
  <c r="K149" i="15"/>
  <c r="L149" i="15"/>
  <c r="AR138" i="15"/>
  <c r="AJ138" i="15"/>
  <c r="AT138" i="15" s="1"/>
  <c r="AI138" i="15"/>
  <c r="AS138" i="15" s="1"/>
  <c r="DL138" i="16"/>
  <c r="DL139" i="16" s="1"/>
  <c r="DD138" i="16"/>
  <c r="DN138" i="16" s="1"/>
  <c r="DC138" i="16"/>
  <c r="DM138" i="16" s="1"/>
  <c r="BP138" i="14"/>
  <c r="BG138" i="14"/>
  <c r="BQ138" i="14" s="1"/>
  <c r="BH138" i="14"/>
  <c r="BR138" i="14" s="1"/>
  <c r="AI150" i="14"/>
  <c r="AJ150" i="14"/>
  <c r="CE150" i="15"/>
  <c r="CF150" i="15"/>
  <c r="DC139" i="14"/>
  <c r="DD139" i="14"/>
  <c r="CE139" i="13"/>
  <c r="CF139" i="13"/>
  <c r="AI139" i="15"/>
  <c r="AJ139" i="15"/>
  <c r="K146" i="14"/>
  <c r="L146" i="14"/>
  <c r="K146" i="15"/>
  <c r="L146" i="15"/>
  <c r="DC146" i="16"/>
  <c r="DD146" i="16"/>
  <c r="AI144" i="15"/>
  <c r="AJ144" i="15"/>
  <c r="CE144" i="16"/>
  <c r="CF144" i="16"/>
  <c r="BG143" i="14"/>
  <c r="BH143" i="14"/>
  <c r="AI143" i="13"/>
  <c r="AJ143" i="13"/>
  <c r="K143" i="15"/>
  <c r="L143" i="15"/>
  <c r="CE141" i="16"/>
  <c r="CF141" i="16"/>
  <c r="AI141" i="14"/>
  <c r="AJ141" i="14"/>
  <c r="K141" i="14"/>
  <c r="L141" i="14"/>
  <c r="AI152" i="16"/>
  <c r="AJ152" i="16"/>
  <c r="K152" i="16"/>
  <c r="L152" i="16"/>
  <c r="CE142" i="15"/>
  <c r="CF142" i="15"/>
  <c r="DC142" i="13"/>
  <c r="DD142" i="13"/>
  <c r="CE142" i="16"/>
  <c r="CF142" i="16"/>
  <c r="I118" i="9"/>
  <c r="H34" i="18" s="1"/>
  <c r="I120" i="9"/>
  <c r="H36" i="18" s="1"/>
  <c r="I127" i="9"/>
  <c r="L153" i="13"/>
  <c r="K153" i="13"/>
  <c r="BH153" i="15"/>
  <c r="BG153" i="15"/>
  <c r="CE153" i="16"/>
  <c r="CF153" i="16"/>
  <c r="K153" i="14"/>
  <c r="L153" i="14"/>
  <c r="K153" i="15"/>
  <c r="L153" i="15"/>
  <c r="CE148" i="14"/>
  <c r="CF148" i="14"/>
  <c r="AI148" i="14"/>
  <c r="AJ148" i="14"/>
  <c r="K148" i="14"/>
  <c r="L148" i="14"/>
  <c r="DC148" i="13"/>
  <c r="DD148" i="13"/>
  <c r="BG148" i="15"/>
  <c r="BH148" i="15"/>
  <c r="CE145" i="13"/>
  <c r="CF145" i="13"/>
  <c r="AI145" i="16"/>
  <c r="AJ145" i="16"/>
  <c r="K145" i="16"/>
  <c r="L145" i="16"/>
  <c r="AI145" i="15"/>
  <c r="AJ145" i="15"/>
  <c r="DC145" i="13"/>
  <c r="DD145" i="13"/>
  <c r="AI140" i="16"/>
  <c r="AJ140" i="16"/>
  <c r="BG140" i="13"/>
  <c r="BH140" i="13"/>
  <c r="DC140" i="15"/>
  <c r="DD140" i="15"/>
  <c r="DC140" i="16"/>
  <c r="DD140" i="16"/>
  <c r="K140" i="15"/>
  <c r="L140" i="15"/>
  <c r="DC147" i="14"/>
  <c r="DD147" i="14"/>
  <c r="BH147" i="13"/>
  <c r="BG147" i="13"/>
  <c r="CE147" i="16"/>
  <c r="CF147" i="16"/>
  <c r="DC147" i="13"/>
  <c r="DD147" i="13"/>
  <c r="K147" i="14"/>
  <c r="L147" i="14"/>
  <c r="L149" i="13"/>
  <c r="K149" i="13"/>
  <c r="BG149" i="13"/>
  <c r="BH149" i="13"/>
  <c r="BG149" i="16"/>
  <c r="BH149" i="16"/>
  <c r="CF149" i="15"/>
  <c r="CE149" i="15"/>
  <c r="CE149" i="16"/>
  <c r="CF149" i="16"/>
  <c r="T138" i="13"/>
  <c r="L138" i="13"/>
  <c r="V138" i="13" s="1"/>
  <c r="K138" i="13"/>
  <c r="U138" i="13" s="1"/>
  <c r="DL138" i="15"/>
  <c r="DC138" i="15"/>
  <c r="DM138" i="15" s="1"/>
  <c r="DD138" i="15"/>
  <c r="DN138" i="15" s="1"/>
  <c r="CN138" i="14"/>
  <c r="CE138" i="14"/>
  <c r="CO138" i="14" s="1"/>
  <c r="CF138" i="14"/>
  <c r="CP138" i="14" s="1"/>
  <c r="T138" i="15"/>
  <c r="K138" i="15"/>
  <c r="U138" i="15" s="1"/>
  <c r="L138" i="15"/>
  <c r="V138" i="15" s="1"/>
  <c r="CN138" i="16"/>
  <c r="CE138" i="16"/>
  <c r="CO138" i="16" s="1"/>
  <c r="CF138" i="16"/>
  <c r="CP138" i="16" s="1"/>
  <c r="K150" i="15"/>
  <c r="L150" i="15"/>
  <c r="BG150" i="13"/>
  <c r="BH150" i="13"/>
  <c r="DC150" i="13"/>
  <c r="DD150" i="13"/>
  <c r="BG150" i="14"/>
  <c r="BH150" i="14"/>
  <c r="CE150" i="16"/>
  <c r="CF150" i="16"/>
  <c r="K139" i="13"/>
  <c r="L139" i="13"/>
  <c r="CE139" i="15"/>
  <c r="CF139" i="15"/>
  <c r="K139" i="14"/>
  <c r="L139" i="14"/>
  <c r="AI139" i="16"/>
  <c r="AJ139" i="16"/>
  <c r="K139" i="16"/>
  <c r="L139" i="16"/>
  <c r="DC146" i="14"/>
  <c r="DD146" i="14"/>
  <c r="BG146" i="13"/>
  <c r="BH146" i="13"/>
  <c r="DC146" i="13"/>
  <c r="DD146" i="13"/>
  <c r="DC146" i="15"/>
  <c r="DD146" i="15"/>
  <c r="AI146" i="16"/>
  <c r="AJ146" i="16"/>
  <c r="DC144" i="14"/>
  <c r="DD144" i="14"/>
  <c r="BG144" i="13"/>
  <c r="BH144" i="13"/>
  <c r="AI144" i="13"/>
  <c r="AJ144" i="13"/>
  <c r="CE144" i="14"/>
  <c r="CF144" i="14"/>
  <c r="K144" i="13"/>
  <c r="L144" i="13"/>
  <c r="AI143" i="14"/>
  <c r="AJ143" i="14"/>
  <c r="CE143" i="15"/>
  <c r="CF143" i="15"/>
  <c r="BG143" i="15"/>
  <c r="BH143" i="15"/>
  <c r="DC143" i="13"/>
  <c r="DD143" i="13"/>
  <c r="K143" i="16"/>
  <c r="L143" i="16"/>
  <c r="BG141" i="13"/>
  <c r="BH141" i="13"/>
  <c r="AI141" i="13"/>
  <c r="AJ141" i="13"/>
  <c r="CE141" i="13"/>
  <c r="CF141" i="13"/>
  <c r="DC141" i="15"/>
  <c r="DD141" i="15"/>
  <c r="DC141" i="14"/>
  <c r="DD141" i="14"/>
  <c r="BH152" i="13"/>
  <c r="BG152" i="13"/>
  <c r="DC152" i="16"/>
  <c r="DD152" i="16"/>
  <c r="AI152" i="15"/>
  <c r="AJ152" i="15"/>
  <c r="K152" i="14"/>
  <c r="L152" i="14"/>
  <c r="K152" i="15"/>
  <c r="L152" i="15"/>
  <c r="BG142" i="14"/>
  <c r="BH142" i="14"/>
  <c r="DC142" i="15"/>
  <c r="DD142" i="15"/>
  <c r="CE142" i="14"/>
  <c r="CF142" i="14"/>
  <c r="AI142" i="14"/>
  <c r="AJ142" i="14"/>
  <c r="AI142" i="15"/>
  <c r="AJ142" i="15"/>
  <c r="I68" i="9"/>
  <c r="I76" i="9"/>
  <c r="I79" i="9"/>
  <c r="I75" i="9"/>
  <c r="I80" i="9"/>
  <c r="F48" i="18" s="1"/>
  <c r="I66" i="9"/>
  <c r="I72" i="9"/>
  <c r="G156" i="9"/>
  <c r="BK76" i="16" s="1"/>
  <c r="BM76" i="16" s="1"/>
  <c r="I71" i="9"/>
  <c r="I74" i="9"/>
  <c r="I77" i="9"/>
  <c r="I25" i="9"/>
  <c r="D45" i="18" s="1"/>
  <c r="P19" i="17" s="1"/>
  <c r="G143" i="9"/>
  <c r="AK63" i="16" s="1"/>
  <c r="AM63" i="16" s="1"/>
  <c r="J69" i="9"/>
  <c r="I69" i="9"/>
  <c r="F37" i="18" s="1"/>
  <c r="G151" i="9"/>
  <c r="CK71" i="16" s="1"/>
  <c r="CM71" i="16" s="1"/>
  <c r="J14" i="9"/>
  <c r="I17" i="9"/>
  <c r="I65" i="9"/>
  <c r="F33" i="18" s="1"/>
  <c r="I24" i="9"/>
  <c r="D44" i="18" s="1"/>
  <c r="P18" i="17" s="1"/>
  <c r="I15" i="9"/>
  <c r="J26" i="9"/>
  <c r="K46" i="18" s="1"/>
  <c r="Q20" i="17" s="1"/>
  <c r="I26" i="9"/>
  <c r="D46" i="18" s="1"/>
  <c r="P20" i="17" s="1"/>
  <c r="G153" i="9"/>
  <c r="BK73" i="16" s="1"/>
  <c r="BM73" i="16" s="1"/>
  <c r="I73" i="9"/>
  <c r="J22" i="9"/>
  <c r="I21" i="9"/>
  <c r="D41" i="18" s="1"/>
  <c r="P15" i="17" s="1"/>
  <c r="J43" i="9"/>
  <c r="L37" i="18" s="1"/>
  <c r="J27" i="9"/>
  <c r="K47" i="18" s="1"/>
  <c r="Q21" i="17" s="1"/>
  <c r="G158" i="9"/>
  <c r="CK78" i="16" s="1"/>
  <c r="CM78" i="16" s="1"/>
  <c r="J78" i="9"/>
  <c r="I19" i="9"/>
  <c r="I92" i="9"/>
  <c r="J48" i="9"/>
  <c r="I129" i="9"/>
  <c r="I43" i="9"/>
  <c r="E37" i="18" s="1"/>
  <c r="I119" i="9"/>
  <c r="I28" i="9"/>
  <c r="I23" i="9"/>
  <c r="I53" i="9"/>
  <c r="J124" i="9"/>
  <c r="M11" i="17"/>
  <c r="I102" i="9"/>
  <c r="M20" i="17"/>
  <c r="L10" i="17"/>
  <c r="J18" i="9"/>
  <c r="K38" i="18" s="1"/>
  <c r="Q12" i="17" s="1"/>
  <c r="L22" i="17"/>
  <c r="M21" i="17"/>
  <c r="I18" i="9"/>
  <c r="D38" i="18" s="1"/>
  <c r="P12" i="17" s="1"/>
  <c r="J13" i="9"/>
  <c r="K33" i="18" s="1"/>
  <c r="Q7" i="17" s="1"/>
  <c r="M14" i="17"/>
  <c r="I13" i="9"/>
  <c r="D33" i="18" s="1"/>
  <c r="P7" i="17" s="1"/>
  <c r="L17" i="17"/>
  <c r="M13" i="17"/>
  <c r="M16" i="17"/>
  <c r="M7" i="17"/>
  <c r="O7" i="17" s="1"/>
  <c r="M18" i="17"/>
  <c r="M9" i="17"/>
  <c r="CK65" i="16"/>
  <c r="CM65" i="16" s="1"/>
  <c r="AK65" i="16"/>
  <c r="AM65" i="16" s="1"/>
  <c r="DK65" i="16"/>
  <c r="DM65" i="16" s="1"/>
  <c r="BK65" i="16"/>
  <c r="BM65" i="16" s="1"/>
  <c r="CK65" i="14"/>
  <c r="CM65" i="14" s="1"/>
  <c r="DK65" i="14"/>
  <c r="DM65" i="14" s="1"/>
  <c r="BK65" i="14"/>
  <c r="BM65" i="14" s="1"/>
  <c r="AK65" i="14"/>
  <c r="AM65" i="14" s="1"/>
  <c r="DK65" i="13"/>
  <c r="DM65" i="13" s="1"/>
  <c r="CK65" i="13"/>
  <c r="CM65" i="13" s="1"/>
  <c r="BK65" i="13"/>
  <c r="BM65" i="13" s="1"/>
  <c r="AK65" i="13"/>
  <c r="AM65" i="13" s="1"/>
  <c r="DK65" i="15"/>
  <c r="BK65" i="15"/>
  <c r="K65" i="13"/>
  <c r="M65" i="13" s="1"/>
  <c r="R65" i="13" s="1"/>
  <c r="CK65" i="15"/>
  <c r="AK65" i="15"/>
  <c r="K65" i="16"/>
  <c r="M65" i="16" s="1"/>
  <c r="K65" i="15"/>
  <c r="M65" i="15" s="1"/>
  <c r="K65" i="14"/>
  <c r="M65" i="14" s="1"/>
  <c r="N8" i="17"/>
  <c r="N9" i="17" s="1"/>
  <c r="DK77" i="16"/>
  <c r="DM77" i="16" s="1"/>
  <c r="CK77" i="16"/>
  <c r="CM77" i="16" s="1"/>
  <c r="BK77" i="16"/>
  <c r="BM77" i="16" s="1"/>
  <c r="AK77" i="16"/>
  <c r="AM77" i="16" s="1"/>
  <c r="K77" i="13"/>
  <c r="M77" i="13" s="1"/>
  <c r="R77" i="13" s="1"/>
  <c r="CK77" i="14"/>
  <c r="CM77" i="14" s="1"/>
  <c r="DK77" i="14"/>
  <c r="DM77" i="14" s="1"/>
  <c r="BK77" i="14"/>
  <c r="BM77" i="14" s="1"/>
  <c r="AK77" i="14"/>
  <c r="AM77" i="14" s="1"/>
  <c r="DK77" i="13"/>
  <c r="DM77" i="13" s="1"/>
  <c r="CK77" i="13"/>
  <c r="CM77" i="13" s="1"/>
  <c r="BK77" i="13"/>
  <c r="BM77" i="13" s="1"/>
  <c r="AK77" i="13"/>
  <c r="AM77" i="13" s="1"/>
  <c r="DK77" i="15"/>
  <c r="CK77" i="15"/>
  <c r="BK77" i="15"/>
  <c r="AK77" i="15"/>
  <c r="K77" i="16"/>
  <c r="M77" i="16" s="1"/>
  <c r="K77" i="15"/>
  <c r="M77" i="15" s="1"/>
  <c r="K77" i="14"/>
  <c r="M77" i="14" s="1"/>
  <c r="I155" i="9"/>
  <c r="N155" i="9" s="1"/>
  <c r="O155" i="9" s="1"/>
  <c r="P155" i="9" s="1"/>
  <c r="DK75" i="16"/>
  <c r="DM75" i="16" s="1"/>
  <c r="CK75" i="16"/>
  <c r="CM75" i="16" s="1"/>
  <c r="BK75" i="16"/>
  <c r="BM75" i="16" s="1"/>
  <c r="AK75" i="16"/>
  <c r="AM75" i="16" s="1"/>
  <c r="AK75" i="15"/>
  <c r="DK75" i="15"/>
  <c r="BK75" i="15"/>
  <c r="K75" i="13"/>
  <c r="M75" i="13" s="1"/>
  <c r="R75" i="13" s="1"/>
  <c r="CK75" i="14"/>
  <c r="CM75" i="14" s="1"/>
  <c r="DK75" i="14"/>
  <c r="DM75" i="14" s="1"/>
  <c r="BK75" i="14"/>
  <c r="BM75" i="14" s="1"/>
  <c r="AK75" i="14"/>
  <c r="AM75" i="14" s="1"/>
  <c r="DK75" i="13"/>
  <c r="DM75" i="13" s="1"/>
  <c r="CK75" i="13"/>
  <c r="CM75" i="13" s="1"/>
  <c r="BK75" i="13"/>
  <c r="BM75" i="13" s="1"/>
  <c r="AK75" i="13"/>
  <c r="AM75" i="13" s="1"/>
  <c r="CK75" i="15"/>
  <c r="K75" i="16"/>
  <c r="M75" i="16" s="1"/>
  <c r="K75" i="15"/>
  <c r="M75" i="15" s="1"/>
  <c r="K75" i="14"/>
  <c r="M75" i="14" s="1"/>
  <c r="I154" i="9"/>
  <c r="N154" i="9" s="1"/>
  <c r="O154" i="9" s="1"/>
  <c r="P154" i="9" s="1"/>
  <c r="DK74" i="16"/>
  <c r="DM74" i="16" s="1"/>
  <c r="CK74" i="16"/>
  <c r="CM74" i="16" s="1"/>
  <c r="BK74" i="16"/>
  <c r="BM74" i="16" s="1"/>
  <c r="AK74" i="16"/>
  <c r="AM74" i="16" s="1"/>
  <c r="DK74" i="15"/>
  <c r="CK74" i="14"/>
  <c r="CM74" i="14" s="1"/>
  <c r="DK74" i="14"/>
  <c r="DM74" i="14" s="1"/>
  <c r="BK74" i="14"/>
  <c r="BM74" i="14" s="1"/>
  <c r="AK74" i="14"/>
  <c r="AM74" i="14" s="1"/>
  <c r="DK74" i="13"/>
  <c r="DM74" i="13" s="1"/>
  <c r="CK74" i="13"/>
  <c r="CM74" i="13" s="1"/>
  <c r="BK74" i="13"/>
  <c r="BM74" i="13" s="1"/>
  <c r="AK74" i="13"/>
  <c r="AM74" i="13" s="1"/>
  <c r="K74" i="13"/>
  <c r="M74" i="13" s="1"/>
  <c r="R74" i="13" s="1"/>
  <c r="CK74" i="15"/>
  <c r="AK74" i="15"/>
  <c r="K74" i="16"/>
  <c r="M74" i="16" s="1"/>
  <c r="K74" i="15"/>
  <c r="M74" i="15" s="1"/>
  <c r="K74" i="14"/>
  <c r="M74" i="14" s="1"/>
  <c r="BK74" i="15"/>
  <c r="CK72" i="16"/>
  <c r="CM72" i="16" s="1"/>
  <c r="DK72" i="16"/>
  <c r="DM72" i="16" s="1"/>
  <c r="BK72" i="16"/>
  <c r="BM72" i="16" s="1"/>
  <c r="AK72" i="16"/>
  <c r="AM72" i="16" s="1"/>
  <c r="BK72" i="15"/>
  <c r="CK72" i="14"/>
  <c r="CM72" i="14" s="1"/>
  <c r="DK72" i="14"/>
  <c r="DM72" i="14" s="1"/>
  <c r="BK72" i="14"/>
  <c r="BM72" i="14" s="1"/>
  <c r="AK72" i="14"/>
  <c r="AM72" i="14" s="1"/>
  <c r="DK72" i="13"/>
  <c r="DM72" i="13" s="1"/>
  <c r="CK72" i="13"/>
  <c r="CM72" i="13" s="1"/>
  <c r="BK72" i="13"/>
  <c r="BM72" i="13" s="1"/>
  <c r="AK72" i="13"/>
  <c r="AM72" i="13" s="1"/>
  <c r="AK72" i="15"/>
  <c r="K72" i="16"/>
  <c r="M72" i="16" s="1"/>
  <c r="K72" i="15"/>
  <c r="M72" i="15" s="1"/>
  <c r="K72" i="14"/>
  <c r="M72" i="14" s="1"/>
  <c r="DK72" i="15"/>
  <c r="K72" i="13"/>
  <c r="M72" i="13" s="1"/>
  <c r="R72" i="13" s="1"/>
  <c r="CK72" i="15"/>
  <c r="K150" i="9"/>
  <c r="CM70" i="15"/>
  <c r="BM70" i="15"/>
  <c r="DM70" i="15"/>
  <c r="AM70" i="15"/>
  <c r="CK70" i="16"/>
  <c r="CM70" i="16" s="1"/>
  <c r="DK70" i="16"/>
  <c r="DM70" i="16" s="1"/>
  <c r="BK70" i="16"/>
  <c r="BM70" i="16" s="1"/>
  <c r="AK70" i="16"/>
  <c r="AM70" i="16" s="1"/>
  <c r="DK70" i="15"/>
  <c r="CK70" i="14"/>
  <c r="CM70" i="14" s="1"/>
  <c r="DK70" i="14"/>
  <c r="DM70" i="14" s="1"/>
  <c r="BK70" i="14"/>
  <c r="BM70" i="14" s="1"/>
  <c r="AK70" i="14"/>
  <c r="AM70" i="14" s="1"/>
  <c r="DK70" i="13"/>
  <c r="DM70" i="13" s="1"/>
  <c r="CK70" i="13"/>
  <c r="CM70" i="13" s="1"/>
  <c r="BK70" i="13"/>
  <c r="BM70" i="13" s="1"/>
  <c r="AK70" i="13"/>
  <c r="AM70" i="13" s="1"/>
  <c r="K70" i="13"/>
  <c r="M70" i="13" s="1"/>
  <c r="R70" i="13" s="1"/>
  <c r="CK70" i="15"/>
  <c r="AK70" i="15"/>
  <c r="K70" i="16"/>
  <c r="M70" i="16" s="1"/>
  <c r="K70" i="15"/>
  <c r="M70" i="15" s="1"/>
  <c r="K70" i="14"/>
  <c r="M70" i="14" s="1"/>
  <c r="BK70" i="15"/>
  <c r="CK69" i="16"/>
  <c r="CM69" i="16" s="1"/>
  <c r="BK69" i="16"/>
  <c r="BM69" i="16" s="1"/>
  <c r="DK69" i="16"/>
  <c r="DM69" i="16" s="1"/>
  <c r="AK69" i="16"/>
  <c r="AM69" i="16" s="1"/>
  <c r="K69" i="16"/>
  <c r="M69" i="16" s="1"/>
  <c r="K69" i="14"/>
  <c r="M69" i="14" s="1"/>
  <c r="K69" i="13"/>
  <c r="M69" i="13" s="1"/>
  <c r="R69" i="13" s="1"/>
  <c r="DK69" i="15"/>
  <c r="CK69" i="15"/>
  <c r="AK69" i="15"/>
  <c r="K69" i="15"/>
  <c r="M69" i="15" s="1"/>
  <c r="CK69" i="14"/>
  <c r="CM69" i="14" s="1"/>
  <c r="DK69" i="14"/>
  <c r="DM69" i="14" s="1"/>
  <c r="BK69" i="14"/>
  <c r="BM69" i="14" s="1"/>
  <c r="AK69" i="14"/>
  <c r="AM69" i="14" s="1"/>
  <c r="DK69" i="13"/>
  <c r="DM69" i="13" s="1"/>
  <c r="CK69" i="13"/>
  <c r="CM69" i="13" s="1"/>
  <c r="BK69" i="13"/>
  <c r="BM69" i="13" s="1"/>
  <c r="AK69" i="13"/>
  <c r="AM69" i="13" s="1"/>
  <c r="BK69" i="15"/>
  <c r="M12" i="17"/>
  <c r="I148" i="9"/>
  <c r="DK68" i="16"/>
  <c r="DM68" i="16" s="1"/>
  <c r="CK68" i="16"/>
  <c r="CM68" i="16" s="1"/>
  <c r="BK68" i="16"/>
  <c r="BM68" i="16" s="1"/>
  <c r="AK68" i="16"/>
  <c r="AM68" i="16" s="1"/>
  <c r="BK68" i="15"/>
  <c r="CK68" i="14"/>
  <c r="CM68" i="14" s="1"/>
  <c r="DK68" i="14"/>
  <c r="DM68" i="14" s="1"/>
  <c r="BK68" i="14"/>
  <c r="BM68" i="14" s="1"/>
  <c r="AK68" i="14"/>
  <c r="AM68" i="14" s="1"/>
  <c r="DK68" i="13"/>
  <c r="DM68" i="13" s="1"/>
  <c r="CK68" i="13"/>
  <c r="CM68" i="13" s="1"/>
  <c r="BK68" i="13"/>
  <c r="BM68" i="13" s="1"/>
  <c r="AK68" i="13"/>
  <c r="AM68" i="13" s="1"/>
  <c r="CK68" i="15"/>
  <c r="AK68" i="15"/>
  <c r="K68" i="16"/>
  <c r="M68" i="16" s="1"/>
  <c r="K68" i="15"/>
  <c r="M68" i="15" s="1"/>
  <c r="K68" i="14"/>
  <c r="M68" i="14" s="1"/>
  <c r="DK68" i="15"/>
  <c r="K68" i="13"/>
  <c r="M68" i="13" s="1"/>
  <c r="R68" i="13" s="1"/>
  <c r="DK67" i="16"/>
  <c r="DM67" i="16" s="1"/>
  <c r="CK67" i="16"/>
  <c r="CM67" i="16" s="1"/>
  <c r="BK67" i="16"/>
  <c r="BM67" i="16" s="1"/>
  <c r="AK67" i="16"/>
  <c r="AM67" i="16" s="1"/>
  <c r="DK67" i="15"/>
  <c r="BK67" i="15"/>
  <c r="CK67" i="14"/>
  <c r="CM67" i="14" s="1"/>
  <c r="DK67" i="14"/>
  <c r="DM67" i="14" s="1"/>
  <c r="BK67" i="14"/>
  <c r="BM67" i="14" s="1"/>
  <c r="AK67" i="14"/>
  <c r="AM67" i="14" s="1"/>
  <c r="DK67" i="13"/>
  <c r="DM67" i="13" s="1"/>
  <c r="CK67" i="13"/>
  <c r="CM67" i="13" s="1"/>
  <c r="BK67" i="13"/>
  <c r="BM67" i="13" s="1"/>
  <c r="AK67" i="13"/>
  <c r="AM67" i="13" s="1"/>
  <c r="CK67" i="15"/>
  <c r="AK67" i="15"/>
  <c r="K67" i="16"/>
  <c r="M67" i="16" s="1"/>
  <c r="K67" i="15"/>
  <c r="M67" i="15" s="1"/>
  <c r="K67" i="14"/>
  <c r="M67" i="14" s="1"/>
  <c r="K67" i="13"/>
  <c r="M67" i="13" s="1"/>
  <c r="R67" i="13" s="1"/>
  <c r="CK66" i="16"/>
  <c r="CM66" i="16" s="1"/>
  <c r="BK66" i="16"/>
  <c r="BM66" i="16" s="1"/>
  <c r="AK66" i="16"/>
  <c r="AM66" i="16" s="1"/>
  <c r="DK66" i="16"/>
  <c r="DM66" i="16" s="1"/>
  <c r="DK66" i="15"/>
  <c r="CK66" i="14"/>
  <c r="CM66" i="14" s="1"/>
  <c r="DK66" i="14"/>
  <c r="DM66" i="14" s="1"/>
  <c r="BK66" i="14"/>
  <c r="BM66" i="14" s="1"/>
  <c r="AK66" i="14"/>
  <c r="AM66" i="14" s="1"/>
  <c r="DK66" i="13"/>
  <c r="DM66" i="13" s="1"/>
  <c r="CK66" i="13"/>
  <c r="CM66" i="13" s="1"/>
  <c r="BK66" i="13"/>
  <c r="BM66" i="13" s="1"/>
  <c r="AK66" i="13"/>
  <c r="AM66" i="13" s="1"/>
  <c r="K66" i="13"/>
  <c r="M66" i="13" s="1"/>
  <c r="R66" i="13" s="1"/>
  <c r="AK66" i="15"/>
  <c r="K66" i="16"/>
  <c r="M66" i="16" s="1"/>
  <c r="K66" i="15"/>
  <c r="M66" i="15" s="1"/>
  <c r="K66" i="14"/>
  <c r="M66" i="14" s="1"/>
  <c r="BK66" i="15"/>
  <c r="CK66" i="15"/>
  <c r="K146" i="9"/>
  <c r="CM66" i="15"/>
  <c r="DM66" i="15"/>
  <c r="AM66" i="15"/>
  <c r="BM66" i="15"/>
  <c r="DK64" i="16"/>
  <c r="DM64" i="16" s="1"/>
  <c r="CK64" i="16"/>
  <c r="CM64" i="16" s="1"/>
  <c r="BK64" i="16"/>
  <c r="BM64" i="16" s="1"/>
  <c r="AK64" i="16"/>
  <c r="AM64" i="16" s="1"/>
  <c r="K64" i="13"/>
  <c r="M64" i="13" s="1"/>
  <c r="R64" i="13" s="1"/>
  <c r="DK64" i="15"/>
  <c r="CK64" i="15"/>
  <c r="BK64" i="15"/>
  <c r="AK64" i="15"/>
  <c r="K64" i="16"/>
  <c r="M64" i="16" s="1"/>
  <c r="K64" i="15"/>
  <c r="M64" i="15" s="1"/>
  <c r="K64" i="14"/>
  <c r="M64" i="14" s="1"/>
  <c r="CK64" i="14"/>
  <c r="CM64" i="14" s="1"/>
  <c r="DK64" i="14"/>
  <c r="DM64" i="14" s="1"/>
  <c r="BK64" i="14"/>
  <c r="BM64" i="14" s="1"/>
  <c r="AK64" i="14"/>
  <c r="AM64" i="14" s="1"/>
  <c r="DK64" i="13"/>
  <c r="DM64" i="13" s="1"/>
  <c r="CK64" i="13"/>
  <c r="CM64" i="13" s="1"/>
  <c r="BK64" i="13"/>
  <c r="BM64" i="13" s="1"/>
  <c r="AK64" i="13"/>
  <c r="AM64" i="13" s="1"/>
  <c r="M15" i="17"/>
  <c r="I144" i="9"/>
  <c r="N144" i="9" s="1"/>
  <c r="O144" i="9" s="1"/>
  <c r="P144" i="9" s="1"/>
  <c r="I145" i="9"/>
  <c r="I152" i="9"/>
  <c r="M8" i="17"/>
  <c r="S13" i="8"/>
  <c r="R13" i="8"/>
  <c r="M19" i="17"/>
  <c r="I149" i="9"/>
  <c r="I147" i="9"/>
  <c r="N147" i="9" s="1"/>
  <c r="O147" i="9" s="1"/>
  <c r="P147" i="9" s="1"/>
  <c r="Q13" i="8"/>
  <c r="P13" i="8"/>
  <c r="I157" i="9"/>
  <c r="J146" i="9"/>
  <c r="J150" i="9"/>
  <c r="E36" i="18"/>
  <c r="E45" i="18"/>
  <c r="E44" i="18"/>
  <c r="N43" i="18"/>
  <c r="M37" i="18"/>
  <c r="N35" i="18"/>
  <c r="E43" i="18"/>
  <c r="L33" i="18"/>
  <c r="F44" i="18"/>
  <c r="K43" i="18"/>
  <c r="Q17" i="17" s="1"/>
  <c r="G37" i="18"/>
  <c r="G41" i="18"/>
  <c r="L48" i="18"/>
  <c r="E34" i="18"/>
  <c r="E35" i="18"/>
  <c r="E48" i="18"/>
  <c r="E40" i="18"/>
  <c r="M44" i="18"/>
  <c r="E41" i="18"/>
  <c r="K44" i="18"/>
  <c r="Q18" i="17" s="1"/>
  <c r="N41" i="18"/>
  <c r="L46" i="18"/>
  <c r="G42" i="18"/>
  <c r="G35" i="18"/>
  <c r="L41" i="18"/>
  <c r="E46" i="18"/>
  <c r="E33" i="18"/>
  <c r="E38" i="18"/>
  <c r="E39" i="18"/>
  <c r="L34" i="18"/>
  <c r="F38" i="18"/>
  <c r="K45" i="18"/>
  <c r="Q19" i="17" s="1"/>
  <c r="R16" i="2"/>
  <c r="S14" i="8" s="1"/>
  <c r="R14" i="8"/>
  <c r="K16" i="2"/>
  <c r="Q14" i="8" s="1"/>
  <c r="P14" i="8"/>
  <c r="R17" i="8"/>
  <c r="AF13" i="2"/>
  <c r="P17" i="8"/>
  <c r="AE16" i="2"/>
  <c r="F41" i="18" l="1"/>
  <c r="D36" i="18"/>
  <c r="P10" i="17" s="1"/>
  <c r="D37" i="18"/>
  <c r="P11" i="17" s="1"/>
  <c r="H45" i="18"/>
  <c r="F42" i="18"/>
  <c r="L42" i="18"/>
  <c r="R117" i="9"/>
  <c r="R118" i="9" s="1"/>
  <c r="R119" i="9" s="1"/>
  <c r="R120" i="9" s="1"/>
  <c r="R121" i="9" s="1"/>
  <c r="R122" i="9" s="1"/>
  <c r="R123" i="9" s="1"/>
  <c r="R124" i="9" s="1"/>
  <c r="R125" i="9" s="1"/>
  <c r="R126" i="9" s="1"/>
  <c r="R127" i="9" s="1"/>
  <c r="R128" i="9" s="1"/>
  <c r="R129" i="9" s="1"/>
  <c r="R130" i="9" s="1"/>
  <c r="R131" i="9" s="1"/>
  <c r="R132" i="9" s="1"/>
  <c r="H8" i="11" s="1"/>
  <c r="F36" i="18"/>
  <c r="H43" i="18"/>
  <c r="H33" i="18"/>
  <c r="D34" i="18"/>
  <c r="P8" i="17" s="1"/>
  <c r="D40" i="18"/>
  <c r="P14" i="17" s="1"/>
  <c r="H48" i="18"/>
  <c r="O40" i="18"/>
  <c r="H35" i="18"/>
  <c r="D35" i="18"/>
  <c r="P9" i="17" s="1"/>
  <c r="K34" i="18"/>
  <c r="Q8" i="17" s="1"/>
  <c r="F34" i="18"/>
  <c r="F43" i="18"/>
  <c r="G39" i="18"/>
  <c r="H42" i="18"/>
  <c r="O45" i="18"/>
  <c r="O47" i="18"/>
  <c r="O42" i="18"/>
  <c r="H40" i="18"/>
  <c r="F46" i="18"/>
  <c r="M46" i="18"/>
  <c r="F40" i="18"/>
  <c r="M36" i="18"/>
  <c r="F35" i="18"/>
  <c r="M34" i="18"/>
  <c r="M33" i="18"/>
  <c r="D47" i="18"/>
  <c r="P21" i="17" s="1"/>
  <c r="D43" i="18"/>
  <c r="P17" i="17" s="1"/>
  <c r="D39" i="18"/>
  <c r="P13" i="17" s="1"/>
  <c r="D42" i="18"/>
  <c r="P16" i="17" s="1"/>
  <c r="D48" i="18"/>
  <c r="P22" i="17" s="1"/>
  <c r="K42" i="18"/>
  <c r="Q16" i="17" s="1"/>
  <c r="O41" i="18"/>
  <c r="CO139" i="16"/>
  <c r="CO140" i="16" s="1"/>
  <c r="CO141" i="16" s="1"/>
  <c r="CO142" i="16" s="1"/>
  <c r="CO143" i="16" s="1"/>
  <c r="CO144" i="16" s="1"/>
  <c r="CO145" i="16" s="1"/>
  <c r="CO146" i="16" s="1"/>
  <c r="CO147" i="16" s="1"/>
  <c r="CO148" i="16" s="1"/>
  <c r="CO149" i="16" s="1"/>
  <c r="CO150" i="16" s="1"/>
  <c r="CO151" i="16" s="1"/>
  <c r="CO152" i="16" s="1"/>
  <c r="CO153" i="16" s="1"/>
  <c r="T139" i="15"/>
  <c r="T140" i="15" s="1"/>
  <c r="H37" i="18"/>
  <c r="H41" i="18"/>
  <c r="G44" i="18"/>
  <c r="N44" i="18"/>
  <c r="N39" i="18"/>
  <c r="G34" i="18"/>
  <c r="F39" i="18"/>
  <c r="F45" i="18"/>
  <c r="F47" i="18"/>
  <c r="E42" i="18"/>
  <c r="E47" i="18"/>
  <c r="K149" i="9"/>
  <c r="N149" i="9"/>
  <c r="O149" i="9" s="1"/>
  <c r="P149" i="9" s="1"/>
  <c r="J152" i="9"/>
  <c r="N152" i="9"/>
  <c r="O152" i="9" s="1"/>
  <c r="P152" i="9" s="1"/>
  <c r="CO139" i="14"/>
  <c r="CO140" i="14" s="1"/>
  <c r="CO141" i="14" s="1"/>
  <c r="CO142" i="14" s="1"/>
  <c r="CO143" i="14" s="1"/>
  <c r="CO144" i="14" s="1"/>
  <c r="CO145" i="14" s="1"/>
  <c r="CO146" i="14" s="1"/>
  <c r="CO147" i="14" s="1"/>
  <c r="CO148" i="14" s="1"/>
  <c r="CO149" i="14" s="1"/>
  <c r="CO150" i="14" s="1"/>
  <c r="CO151" i="14" s="1"/>
  <c r="CO152" i="14" s="1"/>
  <c r="CO153" i="14" s="1"/>
  <c r="O38" i="18"/>
  <c r="M39" i="18"/>
  <c r="M47" i="18"/>
  <c r="M45" i="18"/>
  <c r="L47" i="18"/>
  <c r="M42" i="18"/>
  <c r="O35" i="18"/>
  <c r="O48" i="18"/>
  <c r="J145" i="9"/>
  <c r="N145" i="9"/>
  <c r="O145" i="9" s="1"/>
  <c r="P145" i="9" s="1"/>
  <c r="J148" i="9"/>
  <c r="N148" i="9"/>
  <c r="O148" i="9" s="1"/>
  <c r="P148" i="9" s="1"/>
  <c r="O37" i="18"/>
  <c r="M41" i="18"/>
  <c r="K157" i="9"/>
  <c r="N157" i="9"/>
  <c r="O157" i="9" s="1"/>
  <c r="P157" i="9" s="1"/>
  <c r="BQ139" i="14"/>
  <c r="BQ140" i="14" s="1"/>
  <c r="BQ141" i="14" s="1"/>
  <c r="BQ142" i="14" s="1"/>
  <c r="BQ143" i="14" s="1"/>
  <c r="BQ144" i="14" s="1"/>
  <c r="BQ145" i="14" s="1"/>
  <c r="BQ146" i="14" s="1"/>
  <c r="BQ147" i="14" s="1"/>
  <c r="BQ148" i="14" s="1"/>
  <c r="BQ149" i="14" s="1"/>
  <c r="BQ150" i="14" s="1"/>
  <c r="BQ151" i="14" s="1"/>
  <c r="BQ152" i="14" s="1"/>
  <c r="BQ153" i="14" s="1"/>
  <c r="AS139" i="14"/>
  <c r="AS140" i="14" s="1"/>
  <c r="AS141" i="14" s="1"/>
  <c r="AS142" i="14" s="1"/>
  <c r="AS143" i="14" s="1"/>
  <c r="AS144" i="14" s="1"/>
  <c r="AS145" i="14" s="1"/>
  <c r="AS146" i="14" s="1"/>
  <c r="AS147" i="14" s="1"/>
  <c r="AS148" i="14" s="1"/>
  <c r="AS149" i="14" s="1"/>
  <c r="AS150" i="14" s="1"/>
  <c r="AS151" i="14" s="1"/>
  <c r="AS152" i="14" s="1"/>
  <c r="AS153" i="14" s="1"/>
  <c r="O33" i="18"/>
  <c r="M40" i="18"/>
  <c r="M35" i="18"/>
  <c r="O43" i="18"/>
  <c r="O34" i="18"/>
  <c r="M48" i="18"/>
  <c r="N34" i="18"/>
  <c r="DM139" i="16"/>
  <c r="DM140" i="16" s="1"/>
  <c r="DM141" i="16" s="1"/>
  <c r="DM142" i="16" s="1"/>
  <c r="DM143" i="16" s="1"/>
  <c r="DM144" i="16" s="1"/>
  <c r="DM145" i="16" s="1"/>
  <c r="DM146" i="16" s="1"/>
  <c r="DM147" i="16" s="1"/>
  <c r="DM148" i="16" s="1"/>
  <c r="DM149" i="16" s="1"/>
  <c r="DM150" i="16" s="1"/>
  <c r="DM151" i="16" s="1"/>
  <c r="DM152" i="16" s="1"/>
  <c r="DM153" i="16" s="1"/>
  <c r="K73" i="13"/>
  <c r="M73" i="13" s="1"/>
  <c r="R73" i="13" s="1"/>
  <c r="DK78" i="16"/>
  <c r="DM78" i="16" s="1"/>
  <c r="DN78" i="16" s="1"/>
  <c r="DN139" i="16"/>
  <c r="DN140" i="16" s="1"/>
  <c r="DN141" i="16" s="1"/>
  <c r="DN142" i="16" s="1"/>
  <c r="DN143" i="16" s="1"/>
  <c r="DN144" i="16" s="1"/>
  <c r="DN145" i="16" s="1"/>
  <c r="DN146" i="16" s="1"/>
  <c r="DN147" i="16" s="1"/>
  <c r="DN148" i="16" s="1"/>
  <c r="DN149" i="16" s="1"/>
  <c r="DN150" i="16" s="1"/>
  <c r="DN151" i="16" s="1"/>
  <c r="DN152" i="16" s="1"/>
  <c r="DN153" i="16" s="1"/>
  <c r="BR139" i="15"/>
  <c r="BR140" i="15" s="1"/>
  <c r="BR141" i="15" s="1"/>
  <c r="BR142" i="15" s="1"/>
  <c r="BR143" i="15" s="1"/>
  <c r="BR144" i="15" s="1"/>
  <c r="BR145" i="15" s="1"/>
  <c r="BR146" i="15" s="1"/>
  <c r="BR147" i="15" s="1"/>
  <c r="BR148" i="15" s="1"/>
  <c r="BR149" i="15" s="1"/>
  <c r="BR150" i="15" s="1"/>
  <c r="BR151" i="15" s="1"/>
  <c r="BR152" i="15" s="1"/>
  <c r="BR153" i="15" s="1"/>
  <c r="DL139" i="15"/>
  <c r="DL140" i="15" s="1"/>
  <c r="DL141" i="15" s="1"/>
  <c r="DL142" i="15" s="1"/>
  <c r="DL143" i="15" s="1"/>
  <c r="DL144" i="15" s="1"/>
  <c r="DL145" i="15" s="1"/>
  <c r="DL146" i="15" s="1"/>
  <c r="DL147" i="15" s="1"/>
  <c r="DL148" i="15" s="1"/>
  <c r="DL149" i="15" s="1"/>
  <c r="DL150" i="15" s="1"/>
  <c r="DL151" i="15" s="1"/>
  <c r="DL152" i="15" s="1"/>
  <c r="DL153" i="15" s="1"/>
  <c r="AK162" i="15" s="1"/>
  <c r="BP139" i="13"/>
  <c r="BP140" i="13" s="1"/>
  <c r="BP141" i="13" s="1"/>
  <c r="BP142" i="13" s="1"/>
  <c r="BP143" i="13" s="1"/>
  <c r="BP144" i="13" s="1"/>
  <c r="BP145" i="13" s="1"/>
  <c r="BP146" i="13" s="1"/>
  <c r="BP147" i="13" s="1"/>
  <c r="BP148" i="13" s="1"/>
  <c r="BP149" i="13" s="1"/>
  <c r="BP150" i="13" s="1"/>
  <c r="BP151" i="13" s="1"/>
  <c r="BP152" i="13" s="1"/>
  <c r="BP153" i="13" s="1"/>
  <c r="AI162" i="13" s="1"/>
  <c r="AR139" i="13"/>
  <c r="AR140" i="13" s="1"/>
  <c r="AR141" i="13" s="1"/>
  <c r="AR142" i="13" s="1"/>
  <c r="AR143" i="13" s="1"/>
  <c r="AR144" i="13" s="1"/>
  <c r="AR145" i="13" s="1"/>
  <c r="AR146" i="13" s="1"/>
  <c r="AR147" i="13" s="1"/>
  <c r="AR148" i="13" s="1"/>
  <c r="AR149" i="13" s="1"/>
  <c r="AR150" i="13" s="1"/>
  <c r="AR151" i="13" s="1"/>
  <c r="AR152" i="13" s="1"/>
  <c r="AR153" i="13" s="1"/>
  <c r="AH162" i="13" s="1"/>
  <c r="DL140" i="16"/>
  <c r="DL141" i="16" s="1"/>
  <c r="DL142" i="16" s="1"/>
  <c r="DL143" i="16" s="1"/>
  <c r="DL144" i="16" s="1"/>
  <c r="DL145" i="16" s="1"/>
  <c r="DL146" i="16" s="1"/>
  <c r="DL147" i="16" s="1"/>
  <c r="DL148" i="16" s="1"/>
  <c r="DL149" i="16" s="1"/>
  <c r="DL150" i="16" s="1"/>
  <c r="DL151" i="16" s="1"/>
  <c r="DL152" i="16" s="1"/>
  <c r="DL153" i="16" s="1"/>
  <c r="AK162" i="16" s="1"/>
  <c r="BR139" i="16"/>
  <c r="BR140" i="16" s="1"/>
  <c r="BR141" i="16" s="1"/>
  <c r="BR142" i="16" s="1"/>
  <c r="BR143" i="16" s="1"/>
  <c r="BR144" i="16" s="1"/>
  <c r="BR145" i="16" s="1"/>
  <c r="BR146" i="16" s="1"/>
  <c r="BR147" i="16" s="1"/>
  <c r="BR148" i="16" s="1"/>
  <c r="BR149" i="16" s="1"/>
  <c r="BR150" i="16" s="1"/>
  <c r="BR151" i="16" s="1"/>
  <c r="BR152" i="16" s="1"/>
  <c r="BR153" i="16" s="1"/>
  <c r="DL139" i="14"/>
  <c r="DL140" i="14" s="1"/>
  <c r="DL141" i="14" s="1"/>
  <c r="DL142" i="14" s="1"/>
  <c r="DL143" i="14" s="1"/>
  <c r="DL144" i="14" s="1"/>
  <c r="DL145" i="14" s="1"/>
  <c r="DL146" i="14" s="1"/>
  <c r="DL147" i="14" s="1"/>
  <c r="DL148" i="14" s="1"/>
  <c r="DL149" i="14" s="1"/>
  <c r="DL150" i="14" s="1"/>
  <c r="DL151" i="14" s="1"/>
  <c r="DL152" i="14" s="1"/>
  <c r="DL153" i="14" s="1"/>
  <c r="AK162" i="14" s="1"/>
  <c r="V139" i="15"/>
  <c r="V140" i="15" s="1"/>
  <c r="V141" i="15" s="1"/>
  <c r="V142" i="15" s="1"/>
  <c r="V143" i="15" s="1"/>
  <c r="V144" i="15" s="1"/>
  <c r="V145" i="15" s="1"/>
  <c r="V146" i="15" s="1"/>
  <c r="V147" i="15" s="1"/>
  <c r="V148" i="15" s="1"/>
  <c r="V149" i="15" s="1"/>
  <c r="V150" i="15" s="1"/>
  <c r="V151" i="15" s="1"/>
  <c r="V152" i="15" s="1"/>
  <c r="V153" i="15" s="1"/>
  <c r="BQ139" i="15"/>
  <c r="BQ140" i="15" s="1"/>
  <c r="BQ141" i="15" s="1"/>
  <c r="BQ142" i="15" s="1"/>
  <c r="BQ143" i="15" s="1"/>
  <c r="BQ144" i="15" s="1"/>
  <c r="BQ145" i="15" s="1"/>
  <c r="BQ146" i="15" s="1"/>
  <c r="BQ147" i="15" s="1"/>
  <c r="BQ148" i="15" s="1"/>
  <c r="BQ149" i="15" s="1"/>
  <c r="BQ150" i="15" s="1"/>
  <c r="BQ151" i="15" s="1"/>
  <c r="BQ152" i="15" s="1"/>
  <c r="BQ153" i="15" s="1"/>
  <c r="AT139" i="16"/>
  <c r="AT140" i="16" s="1"/>
  <c r="AT141" i="16" s="1"/>
  <c r="AT142" i="16" s="1"/>
  <c r="AT143" i="16" s="1"/>
  <c r="AT144" i="16" s="1"/>
  <c r="AT145" i="16" s="1"/>
  <c r="AT146" i="16" s="1"/>
  <c r="AT147" i="16" s="1"/>
  <c r="AT148" i="16" s="1"/>
  <c r="AT149" i="16" s="1"/>
  <c r="AT150" i="16" s="1"/>
  <c r="AT151" i="16" s="1"/>
  <c r="AT152" i="16" s="1"/>
  <c r="AT153" i="16" s="1"/>
  <c r="CP139" i="16"/>
  <c r="CP140" i="16" s="1"/>
  <c r="CP141" i="16" s="1"/>
  <c r="CP142" i="16" s="1"/>
  <c r="CP143" i="16" s="1"/>
  <c r="CP144" i="16" s="1"/>
  <c r="CP145" i="16" s="1"/>
  <c r="CP146" i="16" s="1"/>
  <c r="CP147" i="16" s="1"/>
  <c r="CP148" i="16" s="1"/>
  <c r="CP149" i="16" s="1"/>
  <c r="CP150" i="16" s="1"/>
  <c r="CP151" i="16" s="1"/>
  <c r="CP152" i="16" s="1"/>
  <c r="CP153" i="16" s="1"/>
  <c r="CN139" i="14"/>
  <c r="CN140" i="14" s="1"/>
  <c r="CN141" i="14" s="1"/>
  <c r="CN142" i="14" s="1"/>
  <c r="CN143" i="14" s="1"/>
  <c r="CN144" i="14" s="1"/>
  <c r="CN145" i="14" s="1"/>
  <c r="CN146" i="14" s="1"/>
  <c r="CN147" i="14" s="1"/>
  <c r="CN148" i="14" s="1"/>
  <c r="CN149" i="14" s="1"/>
  <c r="CN150" i="14" s="1"/>
  <c r="CN151" i="14" s="1"/>
  <c r="CN152" i="14" s="1"/>
  <c r="CN153" i="14" s="1"/>
  <c r="AJ162" i="14" s="1"/>
  <c r="BP139" i="14"/>
  <c r="BP140" i="14" s="1"/>
  <c r="BP141" i="14" s="1"/>
  <c r="BP142" i="14" s="1"/>
  <c r="BP143" i="14" s="1"/>
  <c r="BP144" i="14" s="1"/>
  <c r="BP145" i="14" s="1"/>
  <c r="BP146" i="14" s="1"/>
  <c r="BP147" i="14" s="1"/>
  <c r="BP148" i="14" s="1"/>
  <c r="BP149" i="14" s="1"/>
  <c r="BP150" i="14" s="1"/>
  <c r="BP151" i="14" s="1"/>
  <c r="BP152" i="14" s="1"/>
  <c r="BP153" i="14" s="1"/>
  <c r="AI162" i="14" s="1"/>
  <c r="AS139" i="15"/>
  <c r="AS140" i="15" s="1"/>
  <c r="AS141" i="15" s="1"/>
  <c r="AS142" i="15" s="1"/>
  <c r="AS143" i="15" s="1"/>
  <c r="AS144" i="15" s="1"/>
  <c r="AS145" i="15" s="1"/>
  <c r="AS146" i="15" s="1"/>
  <c r="AS147" i="15" s="1"/>
  <c r="AS148" i="15" s="1"/>
  <c r="AS149" i="15" s="1"/>
  <c r="AS150" i="15" s="1"/>
  <c r="AS151" i="15" s="1"/>
  <c r="AS152" i="15" s="1"/>
  <c r="AS153" i="15" s="1"/>
  <c r="AR139" i="14"/>
  <c r="AR140" i="14" s="1"/>
  <c r="AR141" i="14" s="1"/>
  <c r="AR142" i="14" s="1"/>
  <c r="AR143" i="14" s="1"/>
  <c r="AR144" i="14" s="1"/>
  <c r="AR145" i="14" s="1"/>
  <c r="AR146" i="14" s="1"/>
  <c r="AR147" i="14" s="1"/>
  <c r="AR148" i="14" s="1"/>
  <c r="AR149" i="14" s="1"/>
  <c r="AR150" i="14" s="1"/>
  <c r="AR151" i="14" s="1"/>
  <c r="AR152" i="14" s="1"/>
  <c r="AR153" i="14" s="1"/>
  <c r="AH162" i="14" s="1"/>
  <c r="DN139" i="15"/>
  <c r="DN140" i="15" s="1"/>
  <c r="DN141" i="15" s="1"/>
  <c r="DN142" i="15" s="1"/>
  <c r="DN143" i="15" s="1"/>
  <c r="DN144" i="15" s="1"/>
  <c r="DN145" i="15" s="1"/>
  <c r="DN146" i="15" s="1"/>
  <c r="DN147" i="15" s="1"/>
  <c r="DN148" i="15" s="1"/>
  <c r="DN149" i="15" s="1"/>
  <c r="DN150" i="15" s="1"/>
  <c r="DN151" i="15" s="1"/>
  <c r="DN152" i="15" s="1"/>
  <c r="DN153" i="15" s="1"/>
  <c r="U139" i="15"/>
  <c r="U140" i="15" s="1"/>
  <c r="U141" i="15" s="1"/>
  <c r="U142" i="15" s="1"/>
  <c r="U143" i="15" s="1"/>
  <c r="U144" i="15" s="1"/>
  <c r="U145" i="15" s="1"/>
  <c r="U146" i="15" s="1"/>
  <c r="U147" i="15" s="1"/>
  <c r="U148" i="15" s="1"/>
  <c r="U149" i="15" s="1"/>
  <c r="U150" i="15" s="1"/>
  <c r="U151" i="15" s="1"/>
  <c r="U152" i="15" s="1"/>
  <c r="U153" i="15" s="1"/>
  <c r="U139" i="13"/>
  <c r="U140" i="13" s="1"/>
  <c r="U141" i="13" s="1"/>
  <c r="U142" i="13" s="1"/>
  <c r="U143" i="13" s="1"/>
  <c r="U144" i="13" s="1"/>
  <c r="U145" i="13" s="1"/>
  <c r="U146" i="13" s="1"/>
  <c r="U147" i="13" s="1"/>
  <c r="U148" i="13" s="1"/>
  <c r="U149" i="13" s="1"/>
  <c r="U150" i="13" s="1"/>
  <c r="U151" i="13" s="1"/>
  <c r="U152" i="13" s="1"/>
  <c r="U153" i="13" s="1"/>
  <c r="CO139" i="13"/>
  <c r="CO140" i="13" s="1"/>
  <c r="CO141" i="13" s="1"/>
  <c r="CO142" i="13" s="1"/>
  <c r="CO143" i="13" s="1"/>
  <c r="CO144" i="13" s="1"/>
  <c r="CO145" i="13" s="1"/>
  <c r="CO146" i="13" s="1"/>
  <c r="CO147" i="13" s="1"/>
  <c r="CO148" i="13" s="1"/>
  <c r="CO149" i="13" s="1"/>
  <c r="CO150" i="13" s="1"/>
  <c r="CO151" i="13" s="1"/>
  <c r="CO152" i="13" s="1"/>
  <c r="CO153" i="13" s="1"/>
  <c r="BP140" i="15"/>
  <c r="BP141" i="15" s="1"/>
  <c r="BP142" i="15" s="1"/>
  <c r="BP143" i="15" s="1"/>
  <c r="BP144" i="15" s="1"/>
  <c r="BP145" i="15" s="1"/>
  <c r="BP146" i="15" s="1"/>
  <c r="BP147" i="15" s="1"/>
  <c r="BP148" i="15" s="1"/>
  <c r="BP149" i="15" s="1"/>
  <c r="BP150" i="15" s="1"/>
  <c r="BP151" i="15" s="1"/>
  <c r="BP152" i="15" s="1"/>
  <c r="BP153" i="15" s="1"/>
  <c r="AI162" i="15" s="1"/>
  <c r="AS139" i="16"/>
  <c r="AS140" i="16" s="1"/>
  <c r="AS141" i="16" s="1"/>
  <c r="AS142" i="16" s="1"/>
  <c r="AS143" i="16" s="1"/>
  <c r="AS144" i="16" s="1"/>
  <c r="AS145" i="16" s="1"/>
  <c r="AS146" i="16" s="1"/>
  <c r="AS147" i="16" s="1"/>
  <c r="AS148" i="16" s="1"/>
  <c r="AS149" i="16" s="1"/>
  <c r="AS150" i="16" s="1"/>
  <c r="AS151" i="16" s="1"/>
  <c r="AS152" i="16" s="1"/>
  <c r="AS153" i="16" s="1"/>
  <c r="CP139" i="15"/>
  <c r="CP140" i="15" s="1"/>
  <c r="CP141" i="15" s="1"/>
  <c r="CP142" i="15" s="1"/>
  <c r="CP143" i="15" s="1"/>
  <c r="CP144" i="15" s="1"/>
  <c r="CP145" i="15" s="1"/>
  <c r="CP146" i="15" s="1"/>
  <c r="CP147" i="15" s="1"/>
  <c r="CP148" i="15" s="1"/>
  <c r="CP149" i="15" s="1"/>
  <c r="CP150" i="15" s="1"/>
  <c r="CP151" i="15" s="1"/>
  <c r="CP152" i="15" s="1"/>
  <c r="CP153" i="15" s="1"/>
  <c r="U139" i="16"/>
  <c r="U140" i="16" s="1"/>
  <c r="U141" i="16" s="1"/>
  <c r="U142" i="16" s="1"/>
  <c r="U143" i="16" s="1"/>
  <c r="U144" i="16" s="1"/>
  <c r="U145" i="16" s="1"/>
  <c r="U146" i="16" s="1"/>
  <c r="U147" i="16" s="1"/>
  <c r="U148" i="16" s="1"/>
  <c r="U149" i="16" s="1"/>
  <c r="U150" i="16" s="1"/>
  <c r="U151" i="16" s="1"/>
  <c r="U152" i="16" s="1"/>
  <c r="U153" i="16" s="1"/>
  <c r="V139" i="14"/>
  <c r="V140" i="14" s="1"/>
  <c r="V141" i="14" s="1"/>
  <c r="V142" i="14" s="1"/>
  <c r="V143" i="14" s="1"/>
  <c r="V144" i="14" s="1"/>
  <c r="V145" i="14" s="1"/>
  <c r="V146" i="14" s="1"/>
  <c r="V147" i="14" s="1"/>
  <c r="V148" i="14" s="1"/>
  <c r="V149" i="14" s="1"/>
  <c r="V150" i="14" s="1"/>
  <c r="V151" i="14" s="1"/>
  <c r="V152" i="14" s="1"/>
  <c r="V153" i="14" s="1"/>
  <c r="BP139" i="16"/>
  <c r="BP140" i="16" s="1"/>
  <c r="BP141" i="16" s="1"/>
  <c r="BP142" i="16" s="1"/>
  <c r="BP143" i="16" s="1"/>
  <c r="BP144" i="16" s="1"/>
  <c r="BP145" i="16" s="1"/>
  <c r="BP146" i="16" s="1"/>
  <c r="BP147" i="16" s="1"/>
  <c r="BP148" i="16" s="1"/>
  <c r="BP149" i="16" s="1"/>
  <c r="BP150" i="16" s="1"/>
  <c r="BP151" i="16" s="1"/>
  <c r="BP152" i="16" s="1"/>
  <c r="BP153" i="16" s="1"/>
  <c r="AI162" i="16" s="1"/>
  <c r="V139" i="16"/>
  <c r="V140" i="16" s="1"/>
  <c r="V141" i="16" s="1"/>
  <c r="V142" i="16" s="1"/>
  <c r="V143" i="16" s="1"/>
  <c r="V144" i="16" s="1"/>
  <c r="V145" i="16" s="1"/>
  <c r="V146" i="16" s="1"/>
  <c r="V147" i="16" s="1"/>
  <c r="V148" i="16" s="1"/>
  <c r="V149" i="16" s="1"/>
  <c r="V150" i="16" s="1"/>
  <c r="V151" i="16" s="1"/>
  <c r="V152" i="16" s="1"/>
  <c r="V153" i="16" s="1"/>
  <c r="T141" i="15"/>
  <c r="T142" i="15" s="1"/>
  <c r="T143" i="15" s="1"/>
  <c r="T144" i="15" s="1"/>
  <c r="T145" i="15" s="1"/>
  <c r="T146" i="15" s="1"/>
  <c r="T147" i="15" s="1"/>
  <c r="T148" i="15" s="1"/>
  <c r="T149" i="15" s="1"/>
  <c r="T150" i="15" s="1"/>
  <c r="T151" i="15" s="1"/>
  <c r="T152" i="15" s="1"/>
  <c r="T153" i="15" s="1"/>
  <c r="AG162" i="15" s="1"/>
  <c r="V139" i="13"/>
  <c r="V140" i="13" s="1"/>
  <c r="V141" i="13" s="1"/>
  <c r="V142" i="13" s="1"/>
  <c r="V143" i="13" s="1"/>
  <c r="V144" i="13" s="1"/>
  <c r="V145" i="13" s="1"/>
  <c r="V146" i="13" s="1"/>
  <c r="V147" i="13" s="1"/>
  <c r="V148" i="13" s="1"/>
  <c r="V149" i="13" s="1"/>
  <c r="V150" i="13" s="1"/>
  <c r="V151" i="13" s="1"/>
  <c r="V152" i="13" s="1"/>
  <c r="V153" i="13" s="1"/>
  <c r="AT139" i="15"/>
  <c r="AT140" i="15" s="1"/>
  <c r="AT141" i="15" s="1"/>
  <c r="AT142" i="15" s="1"/>
  <c r="AT143" i="15" s="1"/>
  <c r="AT144" i="15" s="1"/>
  <c r="AT145" i="15" s="1"/>
  <c r="AT146" i="15" s="1"/>
  <c r="AT147" i="15" s="1"/>
  <c r="AT148" i="15" s="1"/>
  <c r="AT149" i="15" s="1"/>
  <c r="AT150" i="15" s="1"/>
  <c r="AT151" i="15" s="1"/>
  <c r="AT152" i="15" s="1"/>
  <c r="AT153" i="15" s="1"/>
  <c r="CN139" i="13"/>
  <c r="CN140" i="13" s="1"/>
  <c r="CN141" i="13" s="1"/>
  <c r="CN142" i="13" s="1"/>
  <c r="CN143" i="13" s="1"/>
  <c r="CN144" i="13" s="1"/>
  <c r="CN145" i="13" s="1"/>
  <c r="CN146" i="13" s="1"/>
  <c r="CN147" i="13" s="1"/>
  <c r="CN148" i="13" s="1"/>
  <c r="CN149" i="13" s="1"/>
  <c r="CN150" i="13" s="1"/>
  <c r="CN151" i="13" s="1"/>
  <c r="CN152" i="13" s="1"/>
  <c r="CN153" i="13" s="1"/>
  <c r="AJ162" i="13" s="1"/>
  <c r="BR139" i="13"/>
  <c r="BR140" i="13" s="1"/>
  <c r="BR141" i="13" s="1"/>
  <c r="BR142" i="13" s="1"/>
  <c r="BR143" i="13" s="1"/>
  <c r="BR144" i="13" s="1"/>
  <c r="BR145" i="13" s="1"/>
  <c r="BR146" i="13" s="1"/>
  <c r="BR147" i="13" s="1"/>
  <c r="BR148" i="13" s="1"/>
  <c r="BR149" i="13" s="1"/>
  <c r="BR150" i="13" s="1"/>
  <c r="BR151" i="13" s="1"/>
  <c r="BR152" i="13" s="1"/>
  <c r="BR153" i="13" s="1"/>
  <c r="AR139" i="16"/>
  <c r="AR140" i="16" s="1"/>
  <c r="AR141" i="16" s="1"/>
  <c r="AR142" i="16" s="1"/>
  <c r="AR143" i="16" s="1"/>
  <c r="AR144" i="16" s="1"/>
  <c r="AR145" i="16" s="1"/>
  <c r="AR146" i="16" s="1"/>
  <c r="AR147" i="16" s="1"/>
  <c r="AR148" i="16" s="1"/>
  <c r="AR149" i="16" s="1"/>
  <c r="AR150" i="16" s="1"/>
  <c r="AR151" i="16" s="1"/>
  <c r="AR152" i="16" s="1"/>
  <c r="AR153" i="16" s="1"/>
  <c r="AH162" i="16" s="1"/>
  <c r="AS139" i="13"/>
  <c r="AS140" i="13" s="1"/>
  <c r="AS141" i="13" s="1"/>
  <c r="AS142" i="13" s="1"/>
  <c r="AS143" i="13" s="1"/>
  <c r="AS144" i="13" s="1"/>
  <c r="AS145" i="13" s="1"/>
  <c r="AS146" i="13" s="1"/>
  <c r="AS147" i="13" s="1"/>
  <c r="AS148" i="13" s="1"/>
  <c r="AS149" i="13" s="1"/>
  <c r="AS150" i="13" s="1"/>
  <c r="AS151" i="13" s="1"/>
  <c r="AS152" i="13" s="1"/>
  <c r="AS153" i="13" s="1"/>
  <c r="CO139" i="15"/>
  <c r="CO140" i="15" s="1"/>
  <c r="CO141" i="15" s="1"/>
  <c r="CO142" i="15" s="1"/>
  <c r="CO143" i="15" s="1"/>
  <c r="CO144" i="15" s="1"/>
  <c r="CO145" i="15" s="1"/>
  <c r="CO146" i="15" s="1"/>
  <c r="CO147" i="15" s="1"/>
  <c r="CO148" i="15" s="1"/>
  <c r="CO149" i="15" s="1"/>
  <c r="CO150" i="15" s="1"/>
  <c r="CO151" i="15" s="1"/>
  <c r="CO152" i="15" s="1"/>
  <c r="CO153" i="15" s="1"/>
  <c r="T139" i="16"/>
  <c r="T140" i="16" s="1"/>
  <c r="T141" i="16" s="1"/>
  <c r="T142" i="16" s="1"/>
  <c r="T143" i="16" s="1"/>
  <c r="T144" i="16" s="1"/>
  <c r="T145" i="16" s="1"/>
  <c r="T146" i="16" s="1"/>
  <c r="T147" i="16" s="1"/>
  <c r="T148" i="16" s="1"/>
  <c r="T149" i="16" s="1"/>
  <c r="T150" i="16" s="1"/>
  <c r="T151" i="16" s="1"/>
  <c r="T152" i="16" s="1"/>
  <c r="T153" i="16" s="1"/>
  <c r="AG162" i="16" s="1"/>
  <c r="DN139" i="13"/>
  <c r="DN140" i="13" s="1"/>
  <c r="DN141" i="13" s="1"/>
  <c r="DN142" i="13" s="1"/>
  <c r="DN143" i="13" s="1"/>
  <c r="DN144" i="13" s="1"/>
  <c r="DN145" i="13" s="1"/>
  <c r="DN146" i="13" s="1"/>
  <c r="DN147" i="13" s="1"/>
  <c r="DN148" i="13" s="1"/>
  <c r="DN149" i="13" s="1"/>
  <c r="DN150" i="13" s="1"/>
  <c r="DN151" i="13" s="1"/>
  <c r="DN152" i="13" s="1"/>
  <c r="DN153" i="13" s="1"/>
  <c r="U139" i="14"/>
  <c r="U140" i="14" s="1"/>
  <c r="U141" i="14" s="1"/>
  <c r="U142" i="14" s="1"/>
  <c r="U143" i="14" s="1"/>
  <c r="U144" i="14" s="1"/>
  <c r="U145" i="14" s="1"/>
  <c r="U146" i="14" s="1"/>
  <c r="U147" i="14" s="1"/>
  <c r="U148" i="14" s="1"/>
  <c r="U149" i="14" s="1"/>
  <c r="U150" i="14" s="1"/>
  <c r="U151" i="14" s="1"/>
  <c r="U152" i="14" s="1"/>
  <c r="U153" i="14" s="1"/>
  <c r="DN139" i="14"/>
  <c r="DN140" i="14" s="1"/>
  <c r="DN141" i="14" s="1"/>
  <c r="DN142" i="14" s="1"/>
  <c r="DN143" i="14" s="1"/>
  <c r="DN144" i="14" s="1"/>
  <c r="DN145" i="14" s="1"/>
  <c r="DN146" i="14" s="1"/>
  <c r="DN147" i="14" s="1"/>
  <c r="DN148" i="14" s="1"/>
  <c r="DN149" i="14" s="1"/>
  <c r="DN150" i="14" s="1"/>
  <c r="DN151" i="14" s="1"/>
  <c r="DN152" i="14" s="1"/>
  <c r="DN153" i="14" s="1"/>
  <c r="CP139" i="13"/>
  <c r="CP140" i="13" s="1"/>
  <c r="CP141" i="13" s="1"/>
  <c r="CP142" i="13" s="1"/>
  <c r="CP143" i="13" s="1"/>
  <c r="CP144" i="13" s="1"/>
  <c r="CP145" i="13" s="1"/>
  <c r="CP146" i="13" s="1"/>
  <c r="CP147" i="13" s="1"/>
  <c r="CP148" i="13" s="1"/>
  <c r="CP149" i="13" s="1"/>
  <c r="CP150" i="13" s="1"/>
  <c r="CP151" i="13" s="1"/>
  <c r="CP152" i="13" s="1"/>
  <c r="CP153" i="13" s="1"/>
  <c r="DL139" i="13"/>
  <c r="DL140" i="13" s="1"/>
  <c r="DL141" i="13" s="1"/>
  <c r="DL142" i="13" s="1"/>
  <c r="DL143" i="13" s="1"/>
  <c r="DL144" i="13" s="1"/>
  <c r="DL145" i="13" s="1"/>
  <c r="DL146" i="13" s="1"/>
  <c r="DL147" i="13" s="1"/>
  <c r="DL148" i="13" s="1"/>
  <c r="DL149" i="13" s="1"/>
  <c r="DL150" i="13" s="1"/>
  <c r="DL151" i="13" s="1"/>
  <c r="DL152" i="13" s="1"/>
  <c r="DL153" i="13" s="1"/>
  <c r="AK162" i="13" s="1"/>
  <c r="CN139" i="16"/>
  <c r="CN140" i="16" s="1"/>
  <c r="CN141" i="16" s="1"/>
  <c r="CN142" i="16" s="1"/>
  <c r="CN143" i="16" s="1"/>
  <c r="CN144" i="16" s="1"/>
  <c r="CN145" i="16" s="1"/>
  <c r="CN146" i="16" s="1"/>
  <c r="CN147" i="16" s="1"/>
  <c r="CN148" i="16" s="1"/>
  <c r="CN149" i="16" s="1"/>
  <c r="CN150" i="16" s="1"/>
  <c r="CN151" i="16" s="1"/>
  <c r="CN152" i="16" s="1"/>
  <c r="CN153" i="16" s="1"/>
  <c r="AJ162" i="16" s="1"/>
  <c r="CP139" i="14"/>
  <c r="CP140" i="14" s="1"/>
  <c r="CP141" i="14" s="1"/>
  <c r="CP142" i="14" s="1"/>
  <c r="CP143" i="14" s="1"/>
  <c r="CP144" i="14" s="1"/>
  <c r="CP145" i="14" s="1"/>
  <c r="CP146" i="14" s="1"/>
  <c r="CP147" i="14" s="1"/>
  <c r="CP148" i="14" s="1"/>
  <c r="CP149" i="14" s="1"/>
  <c r="CP150" i="14" s="1"/>
  <c r="CP151" i="14" s="1"/>
  <c r="CP152" i="14" s="1"/>
  <c r="CP153" i="14" s="1"/>
  <c r="DM139" i="15"/>
  <c r="DM140" i="15" s="1"/>
  <c r="DM141" i="15" s="1"/>
  <c r="DM142" i="15" s="1"/>
  <c r="DM143" i="15" s="1"/>
  <c r="DM144" i="15" s="1"/>
  <c r="DM145" i="15" s="1"/>
  <c r="DM146" i="15" s="1"/>
  <c r="DM147" i="15" s="1"/>
  <c r="DM148" i="15" s="1"/>
  <c r="DM149" i="15" s="1"/>
  <c r="DM150" i="15" s="1"/>
  <c r="DM151" i="15" s="1"/>
  <c r="DM152" i="15" s="1"/>
  <c r="DM153" i="15" s="1"/>
  <c r="T139" i="13"/>
  <c r="T140" i="13" s="1"/>
  <c r="T141" i="13" s="1"/>
  <c r="T142" i="13" s="1"/>
  <c r="T143" i="13" s="1"/>
  <c r="T144" i="13" s="1"/>
  <c r="T145" i="13" s="1"/>
  <c r="T146" i="13" s="1"/>
  <c r="T147" i="13" s="1"/>
  <c r="T148" i="13" s="1"/>
  <c r="T149" i="13" s="1"/>
  <c r="T150" i="13" s="1"/>
  <c r="T151" i="13" s="1"/>
  <c r="T152" i="13" s="1"/>
  <c r="T153" i="13" s="1"/>
  <c r="AG162" i="13" s="1"/>
  <c r="BR139" i="14"/>
  <c r="BR140" i="14" s="1"/>
  <c r="BR141" i="14" s="1"/>
  <c r="BR142" i="14" s="1"/>
  <c r="BR143" i="14" s="1"/>
  <c r="BR144" i="14" s="1"/>
  <c r="BR145" i="14" s="1"/>
  <c r="BR146" i="14" s="1"/>
  <c r="BR147" i="14" s="1"/>
  <c r="BR148" i="14" s="1"/>
  <c r="BR149" i="14" s="1"/>
  <c r="BR150" i="14" s="1"/>
  <c r="BR151" i="14" s="1"/>
  <c r="BR152" i="14" s="1"/>
  <c r="BR153" i="14" s="1"/>
  <c r="AR139" i="15"/>
  <c r="AR140" i="15" s="1"/>
  <c r="AR141" i="15" s="1"/>
  <c r="AR142" i="15" s="1"/>
  <c r="AR143" i="15" s="1"/>
  <c r="AR144" i="15" s="1"/>
  <c r="AR145" i="15" s="1"/>
  <c r="AR146" i="15" s="1"/>
  <c r="AR147" i="15" s="1"/>
  <c r="AR148" i="15" s="1"/>
  <c r="AR149" i="15" s="1"/>
  <c r="AR150" i="15" s="1"/>
  <c r="AR151" i="15" s="1"/>
  <c r="AR152" i="15" s="1"/>
  <c r="AR153" i="15" s="1"/>
  <c r="AH162" i="15" s="1"/>
  <c r="BQ140" i="13"/>
  <c r="BQ141" i="13" s="1"/>
  <c r="BQ142" i="13" s="1"/>
  <c r="BQ143" i="13" s="1"/>
  <c r="BQ144" i="13" s="1"/>
  <c r="BQ145" i="13" s="1"/>
  <c r="BQ146" i="13" s="1"/>
  <c r="BQ147" i="13" s="1"/>
  <c r="BQ148" i="13" s="1"/>
  <c r="BQ149" i="13" s="1"/>
  <c r="BQ150" i="13" s="1"/>
  <c r="BQ151" i="13" s="1"/>
  <c r="BQ152" i="13" s="1"/>
  <c r="BQ153" i="13" s="1"/>
  <c r="AT139" i="14"/>
  <c r="AT140" i="14" s="1"/>
  <c r="AT141" i="14" s="1"/>
  <c r="AT142" i="14" s="1"/>
  <c r="AT143" i="14" s="1"/>
  <c r="AT144" i="14" s="1"/>
  <c r="AT145" i="14" s="1"/>
  <c r="AT146" i="14" s="1"/>
  <c r="AT147" i="14" s="1"/>
  <c r="AT148" i="14" s="1"/>
  <c r="AT149" i="14" s="1"/>
  <c r="AT150" i="14" s="1"/>
  <c r="AT151" i="14" s="1"/>
  <c r="AT152" i="14" s="1"/>
  <c r="AT153" i="14" s="1"/>
  <c r="AT140" i="13"/>
  <c r="AT141" i="13" s="1"/>
  <c r="AT142" i="13" s="1"/>
  <c r="AT143" i="13" s="1"/>
  <c r="AT144" i="13" s="1"/>
  <c r="AT145" i="13" s="1"/>
  <c r="AT146" i="13" s="1"/>
  <c r="AT147" i="13" s="1"/>
  <c r="AT148" i="13" s="1"/>
  <c r="AT149" i="13" s="1"/>
  <c r="AT150" i="13" s="1"/>
  <c r="AT151" i="13" s="1"/>
  <c r="AT152" i="13" s="1"/>
  <c r="AT153" i="13" s="1"/>
  <c r="CN139" i="15"/>
  <c r="CN140" i="15" s="1"/>
  <c r="CN141" i="15" s="1"/>
  <c r="CN142" i="15" s="1"/>
  <c r="CN143" i="15" s="1"/>
  <c r="CN144" i="15" s="1"/>
  <c r="CN145" i="15" s="1"/>
  <c r="CN146" i="15" s="1"/>
  <c r="CN147" i="15" s="1"/>
  <c r="CN148" i="15" s="1"/>
  <c r="CN149" i="15" s="1"/>
  <c r="CN150" i="15" s="1"/>
  <c r="CN151" i="15" s="1"/>
  <c r="CN152" i="15" s="1"/>
  <c r="CN153" i="15" s="1"/>
  <c r="AJ162" i="15" s="1"/>
  <c r="DM139" i="13"/>
  <c r="DM140" i="13" s="1"/>
  <c r="DM141" i="13" s="1"/>
  <c r="DM142" i="13" s="1"/>
  <c r="DM143" i="13" s="1"/>
  <c r="DM144" i="13" s="1"/>
  <c r="DM145" i="13" s="1"/>
  <c r="DM146" i="13" s="1"/>
  <c r="DM147" i="13" s="1"/>
  <c r="DM148" i="13" s="1"/>
  <c r="DM149" i="13" s="1"/>
  <c r="DM150" i="13" s="1"/>
  <c r="DM151" i="13" s="1"/>
  <c r="DM152" i="13" s="1"/>
  <c r="DM153" i="13" s="1"/>
  <c r="T139" i="14"/>
  <c r="T140" i="14" s="1"/>
  <c r="T141" i="14" s="1"/>
  <c r="T142" i="14" s="1"/>
  <c r="T143" i="14" s="1"/>
  <c r="T144" i="14" s="1"/>
  <c r="T145" i="14" s="1"/>
  <c r="T146" i="14" s="1"/>
  <c r="T147" i="14" s="1"/>
  <c r="T148" i="14" s="1"/>
  <c r="T149" i="14" s="1"/>
  <c r="T150" i="14" s="1"/>
  <c r="T151" i="14" s="1"/>
  <c r="T152" i="14" s="1"/>
  <c r="T153" i="14" s="1"/>
  <c r="AG162" i="14" s="1"/>
  <c r="BQ139" i="16"/>
  <c r="BQ140" i="16" s="1"/>
  <c r="BQ141" i="16" s="1"/>
  <c r="BQ142" i="16" s="1"/>
  <c r="BQ143" i="16" s="1"/>
  <c r="BQ144" i="16" s="1"/>
  <c r="BQ145" i="16" s="1"/>
  <c r="BQ146" i="16" s="1"/>
  <c r="BQ147" i="16" s="1"/>
  <c r="BQ148" i="16" s="1"/>
  <c r="BQ149" i="16" s="1"/>
  <c r="BQ150" i="16" s="1"/>
  <c r="BQ151" i="16" s="1"/>
  <c r="BQ152" i="16" s="1"/>
  <c r="BQ153" i="16" s="1"/>
  <c r="DM139" i="14"/>
  <c r="DM140" i="14" s="1"/>
  <c r="DM141" i="14" s="1"/>
  <c r="DM142" i="14" s="1"/>
  <c r="DM143" i="14" s="1"/>
  <c r="DM144" i="14" s="1"/>
  <c r="DM145" i="14" s="1"/>
  <c r="DM146" i="14" s="1"/>
  <c r="DM147" i="14" s="1"/>
  <c r="DM148" i="14" s="1"/>
  <c r="DM149" i="14" s="1"/>
  <c r="DM150" i="14" s="1"/>
  <c r="DM151" i="14" s="1"/>
  <c r="DM152" i="14" s="1"/>
  <c r="DM153" i="14" s="1"/>
  <c r="DK76" i="15"/>
  <c r="CK76" i="16"/>
  <c r="CM76" i="16" s="1"/>
  <c r="CN76" i="16" s="1"/>
  <c r="K71" i="14"/>
  <c r="M71" i="14" s="1"/>
  <c r="CK71" i="15"/>
  <c r="AK71" i="16"/>
  <c r="AM71" i="16" s="1"/>
  <c r="AO71" i="16" s="1"/>
  <c r="CK63" i="14"/>
  <c r="CM63" i="14" s="1"/>
  <c r="K63" i="16"/>
  <c r="M63" i="16" s="1"/>
  <c r="AK63" i="15"/>
  <c r="CK63" i="13"/>
  <c r="CM63" i="13" s="1"/>
  <c r="CO63" i="13" s="1"/>
  <c r="BK63" i="16"/>
  <c r="BM63" i="16" s="1"/>
  <c r="I143" i="9"/>
  <c r="K63" i="13"/>
  <c r="M63" i="13" s="1"/>
  <c r="R63" i="13" s="1"/>
  <c r="DK63" i="13"/>
  <c r="DM63" i="13" s="1"/>
  <c r="CK63" i="16"/>
  <c r="CM63" i="16" s="1"/>
  <c r="K63" i="15"/>
  <c r="M63" i="15" s="1"/>
  <c r="DK63" i="14"/>
  <c r="DM63" i="14" s="1"/>
  <c r="AK76" i="15"/>
  <c r="DK76" i="13"/>
  <c r="DM76" i="13" s="1"/>
  <c r="CK76" i="14"/>
  <c r="CM76" i="14" s="1"/>
  <c r="CO76" i="14" s="1"/>
  <c r="CT76" i="14" s="1"/>
  <c r="K76" i="14"/>
  <c r="M76" i="14" s="1"/>
  <c r="N76" i="14" s="1"/>
  <c r="AK76" i="14"/>
  <c r="AM76" i="14" s="1"/>
  <c r="I156" i="9"/>
  <c r="CK76" i="15"/>
  <c r="K76" i="15"/>
  <c r="M76" i="15" s="1"/>
  <c r="N76" i="15" s="1"/>
  <c r="BK76" i="13"/>
  <c r="BM76" i="13" s="1"/>
  <c r="BK76" i="14"/>
  <c r="BM76" i="14" s="1"/>
  <c r="BO76" i="14" s="1"/>
  <c r="BT76" i="14" s="1"/>
  <c r="AK76" i="16"/>
  <c r="AM76" i="16" s="1"/>
  <c r="AN76" i="16" s="1"/>
  <c r="CK63" i="15"/>
  <c r="AK63" i="13"/>
  <c r="AM63" i="13" s="1"/>
  <c r="AK63" i="14"/>
  <c r="AM63" i="14" s="1"/>
  <c r="BK63" i="15"/>
  <c r="DK63" i="16"/>
  <c r="DM63" i="16" s="1"/>
  <c r="AK76" i="13"/>
  <c r="AM76" i="13" s="1"/>
  <c r="AO76" i="13" s="1"/>
  <c r="BK76" i="15"/>
  <c r="DK76" i="16"/>
  <c r="DM76" i="16" s="1"/>
  <c r="K76" i="13"/>
  <c r="M76" i="13" s="1"/>
  <c r="K76" i="16"/>
  <c r="M76" i="16" s="1"/>
  <c r="N76" i="16" s="1"/>
  <c r="CK76" i="13"/>
  <c r="CM76" i="13" s="1"/>
  <c r="DK76" i="14"/>
  <c r="DM76" i="14" s="1"/>
  <c r="DN76" i="14" s="1"/>
  <c r="DS76" i="14" s="1"/>
  <c r="DK63" i="15"/>
  <c r="K63" i="14"/>
  <c r="M63" i="14" s="1"/>
  <c r="BK63" i="13"/>
  <c r="BM63" i="13" s="1"/>
  <c r="BK63" i="14"/>
  <c r="BM63" i="14" s="1"/>
  <c r="K78" i="14"/>
  <c r="M78" i="14" s="1"/>
  <c r="N78" i="14" s="1"/>
  <c r="DK71" i="13"/>
  <c r="DM71" i="13" s="1"/>
  <c r="DK73" i="16"/>
  <c r="DM73" i="16" s="1"/>
  <c r="DN73" i="16" s="1"/>
  <c r="CK71" i="14"/>
  <c r="CM71" i="14" s="1"/>
  <c r="CK78" i="13"/>
  <c r="CM78" i="13" s="1"/>
  <c r="K71" i="15"/>
  <c r="M71" i="15" s="1"/>
  <c r="BK71" i="15"/>
  <c r="K71" i="13"/>
  <c r="M71" i="13" s="1"/>
  <c r="AK71" i="15"/>
  <c r="CK71" i="13"/>
  <c r="CM71" i="13" s="1"/>
  <c r="DK71" i="14"/>
  <c r="DM71" i="14" s="1"/>
  <c r="DO71" i="14" s="1"/>
  <c r="DT71" i="14" s="1"/>
  <c r="DK71" i="16"/>
  <c r="DM71" i="16" s="1"/>
  <c r="DN71" i="16" s="1"/>
  <c r="AK73" i="14"/>
  <c r="AM73" i="14" s="1"/>
  <c r="CK73" i="16"/>
  <c r="CM73" i="16" s="1"/>
  <c r="AK71" i="13"/>
  <c r="AM71" i="13" s="1"/>
  <c r="AK71" i="14"/>
  <c r="AM71" i="14" s="1"/>
  <c r="BK71" i="16"/>
  <c r="BM71" i="16" s="1"/>
  <c r="BN71" i="16" s="1"/>
  <c r="BK73" i="13"/>
  <c r="BM73" i="13" s="1"/>
  <c r="I151" i="9"/>
  <c r="K71" i="16"/>
  <c r="M71" i="16" s="1"/>
  <c r="N71" i="16" s="1"/>
  <c r="BK71" i="13"/>
  <c r="BM71" i="13" s="1"/>
  <c r="BN71" i="13" s="1"/>
  <c r="BK71" i="14"/>
  <c r="BM71" i="14" s="1"/>
  <c r="BN71" i="14" s="1"/>
  <c r="BS71" i="14" s="1"/>
  <c r="DK71" i="15"/>
  <c r="CK73" i="13"/>
  <c r="CM73" i="13" s="1"/>
  <c r="I153" i="9"/>
  <c r="K73" i="16"/>
  <c r="M73" i="16" s="1"/>
  <c r="DK73" i="14"/>
  <c r="DM73" i="14" s="1"/>
  <c r="DO73" i="14" s="1"/>
  <c r="DT73" i="14" s="1"/>
  <c r="AK73" i="15"/>
  <c r="CK73" i="14"/>
  <c r="CM73" i="14" s="1"/>
  <c r="CN73" i="14" s="1"/>
  <c r="CS73" i="14" s="1"/>
  <c r="CK73" i="15"/>
  <c r="K73" i="14"/>
  <c r="M73" i="14" s="1"/>
  <c r="N73" i="14" s="1"/>
  <c r="BK73" i="15"/>
  <c r="DK73" i="13"/>
  <c r="DM73" i="13" s="1"/>
  <c r="AK73" i="16"/>
  <c r="AM73" i="16" s="1"/>
  <c r="AN73" i="16" s="1"/>
  <c r="DK73" i="15"/>
  <c r="K73" i="15"/>
  <c r="M73" i="15" s="1"/>
  <c r="N73" i="15" s="1"/>
  <c r="AK73" i="13"/>
  <c r="AM73" i="13" s="1"/>
  <c r="AN73" i="13" s="1"/>
  <c r="BK73" i="14"/>
  <c r="BM73" i="14" s="1"/>
  <c r="BN73" i="14" s="1"/>
  <c r="BS73" i="14" s="1"/>
  <c r="DK78" i="13"/>
  <c r="DM78" i="13" s="1"/>
  <c r="K78" i="15"/>
  <c r="M78" i="15" s="1"/>
  <c r="N78" i="15" s="1"/>
  <c r="I158" i="9"/>
  <c r="DK78" i="14"/>
  <c r="DM78" i="14" s="1"/>
  <c r="BK78" i="15"/>
  <c r="CK78" i="15"/>
  <c r="CK78" i="14"/>
  <c r="CM78" i="14" s="1"/>
  <c r="AK78" i="16"/>
  <c r="AM78" i="16" s="1"/>
  <c r="AO78" i="16" s="1"/>
  <c r="AK78" i="13"/>
  <c r="AM78" i="13" s="1"/>
  <c r="AK78" i="14"/>
  <c r="AM78" i="14" s="1"/>
  <c r="AN78" i="14" s="1"/>
  <c r="AS78" i="14" s="1"/>
  <c r="DK78" i="15"/>
  <c r="K78" i="16"/>
  <c r="M78" i="16" s="1"/>
  <c r="N78" i="16" s="1"/>
  <c r="BK78" i="16"/>
  <c r="BM78" i="16" s="1"/>
  <c r="BO78" i="16" s="1"/>
  <c r="BK78" i="13"/>
  <c r="BM78" i="13" s="1"/>
  <c r="BK78" i="14"/>
  <c r="BM78" i="14" s="1"/>
  <c r="BN78" i="14" s="1"/>
  <c r="BS78" i="14" s="1"/>
  <c r="K78" i="13"/>
  <c r="M78" i="13" s="1"/>
  <c r="AK78" i="15"/>
  <c r="N10" i="17"/>
  <c r="N11" i="17" s="1"/>
  <c r="N12" i="17" s="1"/>
  <c r="N13" i="17" s="1"/>
  <c r="N14" i="17" s="1"/>
  <c r="N15" i="17" s="1"/>
  <c r="N16" i="17" s="1"/>
  <c r="N17" i="17" s="1"/>
  <c r="N18" i="17" s="1"/>
  <c r="N19" i="17" s="1"/>
  <c r="N20" i="17" s="1"/>
  <c r="N21" i="17" s="1"/>
  <c r="N22" i="17" s="1"/>
  <c r="C29" i="17" s="1"/>
  <c r="J155" i="9"/>
  <c r="J154" i="9"/>
  <c r="O8" i="17"/>
  <c r="O9" i="17" s="1"/>
  <c r="O10" i="17" s="1"/>
  <c r="O11" i="17" s="1"/>
  <c r="O12" i="17" s="1"/>
  <c r="O13" i="17" s="1"/>
  <c r="O14" i="17" s="1"/>
  <c r="O15" i="17" s="1"/>
  <c r="O16" i="17" s="1"/>
  <c r="O17" i="17" s="1"/>
  <c r="O18" i="17" s="1"/>
  <c r="O19" i="17" s="1"/>
  <c r="O20" i="17" s="1"/>
  <c r="O21" i="17" s="1"/>
  <c r="O22" i="17" s="1"/>
  <c r="C30" i="17" s="1"/>
  <c r="CN78" i="16"/>
  <c r="CO78" i="16"/>
  <c r="N65" i="14"/>
  <c r="O65" i="14"/>
  <c r="AN65" i="13"/>
  <c r="AO65" i="13"/>
  <c r="AN65" i="14"/>
  <c r="AO65" i="14"/>
  <c r="BN65" i="16"/>
  <c r="BO65" i="16"/>
  <c r="N65" i="15"/>
  <c r="O65" i="15"/>
  <c r="N65" i="13"/>
  <c r="S65" i="13" s="1"/>
  <c r="O65" i="13"/>
  <c r="T65" i="13" s="1"/>
  <c r="BN65" i="13"/>
  <c r="BO65" i="13"/>
  <c r="BN65" i="14"/>
  <c r="BO65" i="14"/>
  <c r="DN65" i="16"/>
  <c r="DO65" i="16"/>
  <c r="K145" i="9"/>
  <c r="DM65" i="15"/>
  <c r="BM65" i="15"/>
  <c r="CM65" i="15"/>
  <c r="AM65" i="15"/>
  <c r="N65" i="16"/>
  <c r="O65" i="16"/>
  <c r="CN65" i="13"/>
  <c r="CO65" i="13"/>
  <c r="DN65" i="14"/>
  <c r="DO65" i="14"/>
  <c r="AN65" i="16"/>
  <c r="AO65" i="16"/>
  <c r="DN65" i="13"/>
  <c r="DO65" i="13"/>
  <c r="CN65" i="14"/>
  <c r="CO65" i="14"/>
  <c r="CN65" i="16"/>
  <c r="CO65" i="16"/>
  <c r="AN63" i="16"/>
  <c r="AO63" i="16"/>
  <c r="BN77" i="13"/>
  <c r="BO77" i="13"/>
  <c r="N77" i="15"/>
  <c r="O77" i="15"/>
  <c r="CN77" i="13"/>
  <c r="CO77" i="13"/>
  <c r="DN77" i="14"/>
  <c r="DS77" i="14" s="1"/>
  <c r="DO77" i="14"/>
  <c r="DT77" i="14" s="1"/>
  <c r="BN77" i="16"/>
  <c r="BO77" i="16"/>
  <c r="N77" i="14"/>
  <c r="O77" i="14"/>
  <c r="AN77" i="16"/>
  <c r="AO77" i="16"/>
  <c r="N77" i="16"/>
  <c r="O77" i="16"/>
  <c r="DN77" i="13"/>
  <c r="DO77" i="13"/>
  <c r="CN77" i="14"/>
  <c r="CS77" i="14" s="1"/>
  <c r="CO77" i="14"/>
  <c r="CT77" i="14" s="1"/>
  <c r="CN77" i="16"/>
  <c r="CO77" i="16"/>
  <c r="BN77" i="14"/>
  <c r="BS77" i="14" s="1"/>
  <c r="BO77" i="14"/>
  <c r="BT77" i="14" s="1"/>
  <c r="J157" i="9"/>
  <c r="DM77" i="15"/>
  <c r="CM77" i="15"/>
  <c r="BM77" i="15"/>
  <c r="AM77" i="15"/>
  <c r="AN77" i="13"/>
  <c r="AO77" i="13"/>
  <c r="AN77" i="14"/>
  <c r="AS77" i="14" s="1"/>
  <c r="AO77" i="14"/>
  <c r="AT77" i="14" s="1"/>
  <c r="N77" i="13"/>
  <c r="S77" i="13" s="1"/>
  <c r="O77" i="13"/>
  <c r="T77" i="13" s="1"/>
  <c r="DN77" i="16"/>
  <c r="DO77" i="16"/>
  <c r="BN76" i="16"/>
  <c r="BO76" i="16"/>
  <c r="CN76" i="14"/>
  <c r="CS76" i="14" s="1"/>
  <c r="N75" i="14"/>
  <c r="O75" i="14"/>
  <c r="AN75" i="13"/>
  <c r="AO75" i="13"/>
  <c r="AN75" i="14"/>
  <c r="AO75" i="14"/>
  <c r="N75" i="13"/>
  <c r="S75" i="13" s="1"/>
  <c r="O75" i="13"/>
  <c r="T75" i="13" s="1"/>
  <c r="AN75" i="16"/>
  <c r="AO75" i="16"/>
  <c r="K155" i="9"/>
  <c r="CM75" i="15"/>
  <c r="DM75" i="15"/>
  <c r="BM75" i="15"/>
  <c r="AM75" i="15"/>
  <c r="N75" i="15"/>
  <c r="O75" i="15"/>
  <c r="BN75" i="13"/>
  <c r="BO75" i="13"/>
  <c r="BN75" i="14"/>
  <c r="BO75" i="14"/>
  <c r="BN75" i="16"/>
  <c r="BO75" i="16"/>
  <c r="N75" i="16"/>
  <c r="O75" i="16"/>
  <c r="CN75" i="13"/>
  <c r="CO75" i="13"/>
  <c r="DN75" i="14"/>
  <c r="DO75" i="14"/>
  <c r="CN75" i="16"/>
  <c r="CO75" i="16"/>
  <c r="DN75" i="13"/>
  <c r="DO75" i="13"/>
  <c r="CN75" i="14"/>
  <c r="CO75" i="14"/>
  <c r="DN75" i="16"/>
  <c r="DO75" i="16"/>
  <c r="N74" i="14"/>
  <c r="O74" i="14"/>
  <c r="CN74" i="13"/>
  <c r="CO74" i="13"/>
  <c r="DN74" i="14"/>
  <c r="DO74" i="14"/>
  <c r="BN74" i="16"/>
  <c r="BO74" i="16"/>
  <c r="N74" i="15"/>
  <c r="O74" i="15"/>
  <c r="N74" i="13"/>
  <c r="S74" i="13" s="1"/>
  <c r="O74" i="13"/>
  <c r="T74" i="13" s="1"/>
  <c r="DN74" i="13"/>
  <c r="DO74" i="13"/>
  <c r="CN74" i="14"/>
  <c r="CO74" i="14"/>
  <c r="CN74" i="16"/>
  <c r="CO74" i="16"/>
  <c r="N74" i="16"/>
  <c r="O74" i="16"/>
  <c r="AN74" i="13"/>
  <c r="AO74" i="13"/>
  <c r="AN74" i="14"/>
  <c r="AO74" i="14"/>
  <c r="DN74" i="16"/>
  <c r="DO74" i="16"/>
  <c r="BN74" i="13"/>
  <c r="BO74" i="13"/>
  <c r="BN74" i="14"/>
  <c r="BO74" i="14"/>
  <c r="AN74" i="16"/>
  <c r="AO74" i="16"/>
  <c r="K154" i="9"/>
  <c r="CM74" i="15"/>
  <c r="BM74" i="15"/>
  <c r="DM74" i="15"/>
  <c r="AM74" i="15"/>
  <c r="BN73" i="16"/>
  <c r="BO73" i="16"/>
  <c r="N72" i="15"/>
  <c r="O72" i="15"/>
  <c r="BN72" i="13"/>
  <c r="BO72" i="13"/>
  <c r="BN72" i="14"/>
  <c r="BS72" i="14" s="1"/>
  <c r="BO72" i="14"/>
  <c r="BT72" i="14" s="1"/>
  <c r="AN72" i="16"/>
  <c r="AO72" i="16"/>
  <c r="N72" i="13"/>
  <c r="S72" i="13" s="1"/>
  <c r="O72" i="13"/>
  <c r="T72" i="13" s="1"/>
  <c r="N72" i="16"/>
  <c r="O72" i="16"/>
  <c r="CN72" i="13"/>
  <c r="CO72" i="13"/>
  <c r="DN72" i="14"/>
  <c r="DS72" i="14" s="1"/>
  <c r="DO72" i="14"/>
  <c r="DT72" i="14" s="1"/>
  <c r="BN72" i="16"/>
  <c r="BO72" i="16"/>
  <c r="DN72" i="13"/>
  <c r="DO72" i="13"/>
  <c r="CN72" i="14"/>
  <c r="CS72" i="14" s="1"/>
  <c r="CO72" i="14"/>
  <c r="CT72" i="14" s="1"/>
  <c r="DN72" i="16"/>
  <c r="DO72" i="16"/>
  <c r="AM72" i="15"/>
  <c r="DM72" i="15"/>
  <c r="CM72" i="15"/>
  <c r="BM72" i="15"/>
  <c r="N72" i="14"/>
  <c r="O72" i="14"/>
  <c r="AN72" i="13"/>
  <c r="AO72" i="13"/>
  <c r="AN72" i="14"/>
  <c r="AS72" i="14" s="1"/>
  <c r="AO72" i="14"/>
  <c r="AT72" i="14" s="1"/>
  <c r="CN72" i="16"/>
  <c r="CO72" i="16"/>
  <c r="CN71" i="16"/>
  <c r="CO71" i="16"/>
  <c r="N70" i="14"/>
  <c r="O70" i="14"/>
  <c r="CN70" i="13"/>
  <c r="CO70" i="13"/>
  <c r="DN70" i="14"/>
  <c r="DO70" i="14"/>
  <c r="BN70" i="16"/>
  <c r="BO70" i="16"/>
  <c r="DN70" i="15"/>
  <c r="DO70" i="15"/>
  <c r="N70" i="15"/>
  <c r="O70" i="15"/>
  <c r="N70" i="13"/>
  <c r="S70" i="13" s="1"/>
  <c r="O70" i="13"/>
  <c r="T70" i="13" s="1"/>
  <c r="DN70" i="13"/>
  <c r="DO70" i="13"/>
  <c r="CN70" i="14"/>
  <c r="CO70" i="14"/>
  <c r="DN70" i="16"/>
  <c r="DO70" i="16"/>
  <c r="BO70" i="15"/>
  <c r="N70" i="16"/>
  <c r="O70" i="16"/>
  <c r="AN70" i="13"/>
  <c r="AO70" i="13"/>
  <c r="AN70" i="14"/>
  <c r="AO70" i="14"/>
  <c r="CN70" i="16"/>
  <c r="CO70" i="16"/>
  <c r="CN70" i="15"/>
  <c r="CO70" i="15"/>
  <c r="BN70" i="13"/>
  <c r="BO70" i="13"/>
  <c r="BN70" i="14"/>
  <c r="BO70" i="14"/>
  <c r="AN70" i="16"/>
  <c r="AO70" i="16"/>
  <c r="AN70" i="15"/>
  <c r="AO70" i="15"/>
  <c r="DN69" i="13"/>
  <c r="DO69" i="13"/>
  <c r="CN69" i="14"/>
  <c r="CO69" i="14"/>
  <c r="AN69" i="16"/>
  <c r="AO69" i="16"/>
  <c r="CN69" i="13"/>
  <c r="CO69" i="13"/>
  <c r="DN69" i="14"/>
  <c r="DO69" i="14"/>
  <c r="CN69" i="16"/>
  <c r="CO69" i="16"/>
  <c r="AN69" i="13"/>
  <c r="AO69" i="13"/>
  <c r="AN69" i="14"/>
  <c r="AO69" i="14"/>
  <c r="N69" i="15"/>
  <c r="O69" i="15"/>
  <c r="N69" i="13"/>
  <c r="S69" i="13" s="1"/>
  <c r="O69" i="13"/>
  <c r="T69" i="13" s="1"/>
  <c r="DN69" i="16"/>
  <c r="DO69" i="16"/>
  <c r="J149" i="9"/>
  <c r="DM69" i="15"/>
  <c r="CM69" i="15"/>
  <c r="BM69" i="15"/>
  <c r="AM69" i="15"/>
  <c r="BN69" i="13"/>
  <c r="BO69" i="13"/>
  <c r="BN69" i="14"/>
  <c r="BO69" i="14"/>
  <c r="N69" i="14"/>
  <c r="O69" i="14"/>
  <c r="BN69" i="16"/>
  <c r="BO69" i="16"/>
  <c r="N69" i="16"/>
  <c r="O69" i="16"/>
  <c r="N68" i="14"/>
  <c r="O68" i="14"/>
  <c r="DN68" i="13"/>
  <c r="DO68" i="13"/>
  <c r="CN68" i="14"/>
  <c r="CS68" i="14" s="1"/>
  <c r="CO68" i="14"/>
  <c r="CT68" i="14" s="1"/>
  <c r="CN68" i="16"/>
  <c r="CO68" i="16"/>
  <c r="N68" i="15"/>
  <c r="O68" i="15"/>
  <c r="AN68" i="13"/>
  <c r="AO68" i="13"/>
  <c r="AN68" i="14"/>
  <c r="AS68" i="14" s="1"/>
  <c r="AO68" i="14"/>
  <c r="AT68" i="14" s="1"/>
  <c r="DN68" i="16"/>
  <c r="DO68" i="16"/>
  <c r="N68" i="13"/>
  <c r="S68" i="13" s="1"/>
  <c r="O68" i="13"/>
  <c r="T68" i="13" s="1"/>
  <c r="N68" i="16"/>
  <c r="O68" i="16"/>
  <c r="BN68" i="13"/>
  <c r="BO68" i="13"/>
  <c r="BN68" i="14"/>
  <c r="BS68" i="14" s="1"/>
  <c r="BO68" i="14"/>
  <c r="BT68" i="14" s="1"/>
  <c r="AN68" i="16"/>
  <c r="AO68" i="16"/>
  <c r="K148" i="9"/>
  <c r="AM68" i="15"/>
  <c r="DM68" i="15"/>
  <c r="CM68" i="15"/>
  <c r="BM68" i="15"/>
  <c r="CN68" i="13"/>
  <c r="CO68" i="13"/>
  <c r="DN68" i="14"/>
  <c r="DS68" i="14" s="1"/>
  <c r="DO68" i="14"/>
  <c r="DT68" i="14" s="1"/>
  <c r="BN68" i="16"/>
  <c r="BO68" i="16"/>
  <c r="DM67" i="15"/>
  <c r="BM67" i="15"/>
  <c r="CM67" i="15"/>
  <c r="AM67" i="15"/>
  <c r="N67" i="13"/>
  <c r="S67" i="13" s="1"/>
  <c r="O67" i="13"/>
  <c r="T67" i="13" s="1"/>
  <c r="CN67" i="13"/>
  <c r="CO67" i="13"/>
  <c r="DN67" i="14"/>
  <c r="DS67" i="14" s="1"/>
  <c r="DO67" i="14"/>
  <c r="DT67" i="14" s="1"/>
  <c r="AN67" i="16"/>
  <c r="AO67" i="16"/>
  <c r="N67" i="14"/>
  <c r="O67" i="14"/>
  <c r="DN67" i="13"/>
  <c r="DO67" i="13"/>
  <c r="CN67" i="14"/>
  <c r="CS67" i="14" s="1"/>
  <c r="CO67" i="14"/>
  <c r="CT67" i="14" s="1"/>
  <c r="BN67" i="16"/>
  <c r="BO67" i="16"/>
  <c r="N67" i="15"/>
  <c r="O67" i="15"/>
  <c r="AN67" i="13"/>
  <c r="AO67" i="13"/>
  <c r="AN67" i="14"/>
  <c r="AS67" i="14" s="1"/>
  <c r="AO67" i="14"/>
  <c r="AT67" i="14" s="1"/>
  <c r="CN67" i="16"/>
  <c r="CO67" i="16"/>
  <c r="N67" i="16"/>
  <c r="O67" i="16"/>
  <c r="BN67" i="13"/>
  <c r="BO67" i="13"/>
  <c r="BN67" i="14"/>
  <c r="BS67" i="14" s="1"/>
  <c r="BO67" i="14"/>
  <c r="BT67" i="14" s="1"/>
  <c r="DN67" i="16"/>
  <c r="DO67" i="16"/>
  <c r="AN66" i="15"/>
  <c r="AO66" i="15"/>
  <c r="N66" i="16"/>
  <c r="O66" i="16"/>
  <c r="BN66" i="13"/>
  <c r="BO66" i="13"/>
  <c r="BN66" i="14"/>
  <c r="BS66" i="14" s="1"/>
  <c r="BO66" i="14"/>
  <c r="BT66" i="14" s="1"/>
  <c r="DN66" i="16"/>
  <c r="DO66" i="16"/>
  <c r="DN66" i="15"/>
  <c r="DO66" i="15"/>
  <c r="CN66" i="13"/>
  <c r="CO66" i="13"/>
  <c r="DN66" i="14"/>
  <c r="DS66" i="14" s="1"/>
  <c r="DO66" i="14"/>
  <c r="DT66" i="14" s="1"/>
  <c r="AN66" i="16"/>
  <c r="AO66" i="16"/>
  <c r="CN66" i="15"/>
  <c r="CO66" i="15"/>
  <c r="N66" i="14"/>
  <c r="O66" i="14"/>
  <c r="N66" i="13"/>
  <c r="S66" i="13" s="1"/>
  <c r="O66" i="13"/>
  <c r="T66" i="13" s="1"/>
  <c r="DN66" i="13"/>
  <c r="DO66" i="13"/>
  <c r="CN66" i="14"/>
  <c r="CS66" i="14" s="1"/>
  <c r="CO66" i="14"/>
  <c r="CT66" i="14" s="1"/>
  <c r="BN66" i="16"/>
  <c r="BO66" i="16"/>
  <c r="BO66" i="15"/>
  <c r="N66" i="15"/>
  <c r="O66" i="15"/>
  <c r="AN66" i="13"/>
  <c r="AO66" i="13"/>
  <c r="AN66" i="14"/>
  <c r="AS66" i="14" s="1"/>
  <c r="AO66" i="14"/>
  <c r="AT66" i="14" s="1"/>
  <c r="CN66" i="16"/>
  <c r="CO66" i="16"/>
  <c r="CN64" i="13"/>
  <c r="CO64" i="13"/>
  <c r="N64" i="16"/>
  <c r="O64" i="16"/>
  <c r="CN64" i="16"/>
  <c r="CO64" i="16"/>
  <c r="CN64" i="14"/>
  <c r="CO64" i="14"/>
  <c r="DN64" i="16"/>
  <c r="DO64" i="16"/>
  <c r="K144" i="9"/>
  <c r="DM64" i="15"/>
  <c r="CM64" i="15"/>
  <c r="BM64" i="15"/>
  <c r="AM64" i="15"/>
  <c r="AN64" i="13"/>
  <c r="AO64" i="13"/>
  <c r="AN64" i="14"/>
  <c r="AO64" i="14"/>
  <c r="N64" i="14"/>
  <c r="O64" i="14"/>
  <c r="AN64" i="16"/>
  <c r="AO64" i="16"/>
  <c r="DN64" i="14"/>
  <c r="DO64" i="14"/>
  <c r="DN64" i="13"/>
  <c r="DO64" i="13"/>
  <c r="N64" i="13"/>
  <c r="S64" i="13" s="1"/>
  <c r="O64" i="13"/>
  <c r="T64" i="13" s="1"/>
  <c r="BN64" i="13"/>
  <c r="BO64" i="13"/>
  <c r="BN64" i="14"/>
  <c r="BO64" i="14"/>
  <c r="N64" i="15"/>
  <c r="O64" i="15"/>
  <c r="BN64" i="16"/>
  <c r="BO64" i="16"/>
  <c r="J144" i="9"/>
  <c r="K152" i="9"/>
  <c r="T13" i="8"/>
  <c r="U13" i="8"/>
  <c r="K147" i="9"/>
  <c r="J147" i="9"/>
  <c r="CX102" i="16"/>
  <c r="CX98" i="16"/>
  <c r="CX94" i="16"/>
  <c r="CX90" i="16"/>
  <c r="BZ102" i="16"/>
  <c r="BZ98" i="16"/>
  <c r="BZ94" i="16"/>
  <c r="BZ90" i="16"/>
  <c r="BB102" i="16"/>
  <c r="BB98" i="16"/>
  <c r="BB94" i="16"/>
  <c r="BB90" i="16"/>
  <c r="AD102" i="16"/>
  <c r="AD98" i="16"/>
  <c r="AD94" i="16"/>
  <c r="AD90" i="16"/>
  <c r="F102" i="16"/>
  <c r="F98" i="16"/>
  <c r="F94" i="16"/>
  <c r="F90" i="16"/>
  <c r="CX102" i="15"/>
  <c r="CX98" i="15"/>
  <c r="CX94" i="15"/>
  <c r="CX90" i="15"/>
  <c r="BZ102" i="15"/>
  <c r="BZ98" i="15"/>
  <c r="BZ94" i="15"/>
  <c r="BZ90" i="15"/>
  <c r="BB102" i="15"/>
  <c r="BB98" i="15"/>
  <c r="BB94" i="15"/>
  <c r="BB90" i="15"/>
  <c r="AD102" i="15"/>
  <c r="AD98" i="15"/>
  <c r="AD94" i="15"/>
  <c r="AD90" i="15"/>
  <c r="F102" i="15"/>
  <c r="F98" i="15"/>
  <c r="F94" i="15"/>
  <c r="F90" i="15"/>
  <c r="CX102" i="14"/>
  <c r="CX98" i="14"/>
  <c r="CX94" i="14"/>
  <c r="CX90" i="14"/>
  <c r="BZ102" i="14"/>
  <c r="BZ98" i="14"/>
  <c r="BZ94" i="14"/>
  <c r="BZ90" i="14"/>
  <c r="BB102" i="14"/>
  <c r="BB98" i="14"/>
  <c r="BB94" i="14"/>
  <c r="BB90" i="14"/>
  <c r="AD102" i="14"/>
  <c r="AD98" i="14"/>
  <c r="AD94" i="14"/>
  <c r="AD90" i="14"/>
  <c r="F102" i="14"/>
  <c r="F98" i="14"/>
  <c r="F94" i="14"/>
  <c r="F90" i="14"/>
  <c r="CX102" i="13"/>
  <c r="CX98" i="13"/>
  <c r="CX94" i="13"/>
  <c r="CX90" i="13"/>
  <c r="BZ102" i="13"/>
  <c r="BZ98" i="13"/>
  <c r="BZ94" i="13"/>
  <c r="BZ90" i="13"/>
  <c r="BB102" i="13"/>
  <c r="BB98" i="13"/>
  <c r="BB94" i="13"/>
  <c r="BB90" i="13"/>
  <c r="AD102" i="13"/>
  <c r="AD98" i="13"/>
  <c r="AD94" i="13"/>
  <c r="AD90" i="13"/>
  <c r="F89" i="13"/>
  <c r="F93" i="13"/>
  <c r="F97" i="13"/>
  <c r="F101" i="13"/>
  <c r="CX100" i="16"/>
  <c r="CX96" i="16"/>
  <c r="CX92" i="16"/>
  <c r="CX88" i="16"/>
  <c r="BZ100" i="16"/>
  <c r="BZ96" i="16"/>
  <c r="BZ92" i="16"/>
  <c r="BZ88" i="16"/>
  <c r="BB100" i="16"/>
  <c r="BB96" i="16"/>
  <c r="BB92" i="16"/>
  <c r="BB88" i="16"/>
  <c r="AD100" i="16"/>
  <c r="AD96" i="16"/>
  <c r="AD92" i="16"/>
  <c r="AD88" i="16"/>
  <c r="F100" i="16"/>
  <c r="F96" i="16"/>
  <c r="F92" i="16"/>
  <c r="F88" i="16"/>
  <c r="CX100" i="15"/>
  <c r="CX96" i="15"/>
  <c r="CX92" i="15"/>
  <c r="CX88" i="15"/>
  <c r="BZ100" i="15"/>
  <c r="BZ96" i="15"/>
  <c r="BZ92" i="15"/>
  <c r="BZ88" i="15"/>
  <c r="BB100" i="15"/>
  <c r="BB96" i="15"/>
  <c r="BB92" i="15"/>
  <c r="BB88" i="15"/>
  <c r="AD100" i="15"/>
  <c r="AD96" i="15"/>
  <c r="AD92" i="15"/>
  <c r="AD88" i="15"/>
  <c r="F100" i="15"/>
  <c r="F96" i="15"/>
  <c r="F92" i="15"/>
  <c r="F88" i="15"/>
  <c r="CX100" i="14"/>
  <c r="CX96" i="14"/>
  <c r="CX92" i="14"/>
  <c r="CX88" i="14"/>
  <c r="BZ100" i="14"/>
  <c r="BZ96" i="14"/>
  <c r="BZ92" i="14"/>
  <c r="BZ88" i="14"/>
  <c r="BB100" i="14"/>
  <c r="BB96" i="14"/>
  <c r="BB92" i="14"/>
  <c r="BB88" i="14"/>
  <c r="AD100" i="14"/>
  <c r="AD96" i="14"/>
  <c r="AD92" i="14"/>
  <c r="AD88" i="14"/>
  <c r="F100" i="14"/>
  <c r="F96" i="14"/>
  <c r="F92" i="14"/>
  <c r="F88" i="14"/>
  <c r="CX100" i="13"/>
  <c r="CX96" i="13"/>
  <c r="CX92" i="13"/>
  <c r="CX88" i="13"/>
  <c r="BZ100" i="13"/>
  <c r="BZ96" i="13"/>
  <c r="BZ92" i="13"/>
  <c r="BZ88" i="13"/>
  <c r="BB100" i="13"/>
  <c r="BB96" i="13"/>
  <c r="BB92" i="13"/>
  <c r="BB88" i="13"/>
  <c r="AD100" i="13"/>
  <c r="AD96" i="13"/>
  <c r="AD92" i="13"/>
  <c r="AD88" i="13"/>
  <c r="F91" i="13"/>
  <c r="F95" i="13"/>
  <c r="F99" i="13"/>
  <c r="F103" i="13"/>
  <c r="CX97" i="16"/>
  <c r="CX89" i="16"/>
  <c r="BZ97" i="16"/>
  <c r="BZ89" i="16"/>
  <c r="BB97" i="16"/>
  <c r="BB89" i="16"/>
  <c r="AD97" i="16"/>
  <c r="AD89" i="16"/>
  <c r="F97" i="16"/>
  <c r="F89" i="16"/>
  <c r="CX97" i="15"/>
  <c r="CX89" i="15"/>
  <c r="BZ97" i="15"/>
  <c r="BZ89" i="15"/>
  <c r="BB97" i="15"/>
  <c r="BB89" i="15"/>
  <c r="AD97" i="15"/>
  <c r="AD89" i="15"/>
  <c r="F97" i="15"/>
  <c r="F89" i="15"/>
  <c r="CX97" i="14"/>
  <c r="CX89" i="14"/>
  <c r="BZ97" i="14"/>
  <c r="BZ89" i="14"/>
  <c r="BB97" i="14"/>
  <c r="BB89" i="14"/>
  <c r="AD97" i="14"/>
  <c r="AD89" i="14"/>
  <c r="F97" i="14"/>
  <c r="F89" i="14"/>
  <c r="CX97" i="13"/>
  <c r="CX89" i="13"/>
  <c r="BZ97" i="13"/>
  <c r="BZ89" i="13"/>
  <c r="BB97" i="13"/>
  <c r="BB89" i="13"/>
  <c r="AD97" i="13"/>
  <c r="AD89" i="13"/>
  <c r="F96" i="13"/>
  <c r="F88" i="13"/>
  <c r="CX101" i="16"/>
  <c r="CX93" i="16"/>
  <c r="BZ101" i="16"/>
  <c r="BZ93" i="16"/>
  <c r="BB101" i="16"/>
  <c r="BB93" i="16"/>
  <c r="AD101" i="16"/>
  <c r="AD93" i="16"/>
  <c r="F101" i="16"/>
  <c r="F93" i="16"/>
  <c r="CX101" i="15"/>
  <c r="CX93" i="15"/>
  <c r="BZ101" i="15"/>
  <c r="BZ93" i="15"/>
  <c r="BB101" i="15"/>
  <c r="BB93" i="15"/>
  <c r="AD101" i="15"/>
  <c r="AD93" i="15"/>
  <c r="F101" i="15"/>
  <c r="F93" i="15"/>
  <c r="CX101" i="14"/>
  <c r="CX93" i="14"/>
  <c r="BZ101" i="14"/>
  <c r="BZ93" i="14"/>
  <c r="BB101" i="14"/>
  <c r="BB93" i="14"/>
  <c r="AD101" i="14"/>
  <c r="AD93" i="14"/>
  <c r="F101" i="14"/>
  <c r="F93" i="14"/>
  <c r="CX101" i="13"/>
  <c r="CX93" i="13"/>
  <c r="BZ101" i="13"/>
  <c r="BZ93" i="13"/>
  <c r="BB101" i="13"/>
  <c r="BB93" i="13"/>
  <c r="AD101" i="13"/>
  <c r="AD93" i="13"/>
  <c r="F92" i="13"/>
  <c r="F100" i="13"/>
  <c r="CX103" i="16"/>
  <c r="BZ103" i="16"/>
  <c r="BB103" i="16"/>
  <c r="AD103" i="16"/>
  <c r="F103" i="16"/>
  <c r="CX103" i="15"/>
  <c r="BZ103" i="15"/>
  <c r="BB103" i="15"/>
  <c r="AD103" i="15"/>
  <c r="F103" i="15"/>
  <c r="CX103" i="14"/>
  <c r="BZ103" i="14"/>
  <c r="BB103" i="14"/>
  <c r="AD103" i="14"/>
  <c r="F103" i="14"/>
  <c r="CX103" i="13"/>
  <c r="BZ103" i="13"/>
  <c r="BB103" i="13"/>
  <c r="AD103" i="13"/>
  <c r="F90" i="13"/>
  <c r="CX95" i="16"/>
  <c r="BZ95" i="16"/>
  <c r="BB95" i="16"/>
  <c r="AD95" i="16"/>
  <c r="F95" i="16"/>
  <c r="CX95" i="15"/>
  <c r="BZ95" i="15"/>
  <c r="BB95" i="15"/>
  <c r="AD95" i="15"/>
  <c r="F95" i="15"/>
  <c r="CX95" i="14"/>
  <c r="BZ95" i="14"/>
  <c r="BB95" i="14"/>
  <c r="AD95" i="14"/>
  <c r="F95" i="14"/>
  <c r="CX95" i="13"/>
  <c r="BZ95" i="13"/>
  <c r="BB95" i="13"/>
  <c r="AD95" i="13"/>
  <c r="F98" i="13"/>
  <c r="CX91" i="16"/>
  <c r="BZ91" i="16"/>
  <c r="BB91" i="16"/>
  <c r="AD91" i="16"/>
  <c r="F91" i="16"/>
  <c r="CX91" i="15"/>
  <c r="BZ91" i="15"/>
  <c r="BB91" i="15"/>
  <c r="AD91" i="15"/>
  <c r="F91" i="15"/>
  <c r="CX91" i="14"/>
  <c r="BZ91" i="14"/>
  <c r="BB91" i="14"/>
  <c r="AD91" i="14"/>
  <c r="F91" i="14"/>
  <c r="CX91" i="13"/>
  <c r="BZ91" i="13"/>
  <c r="BB91" i="13"/>
  <c r="AD91" i="13"/>
  <c r="F102" i="13"/>
  <c r="CX99" i="16"/>
  <c r="F99" i="16"/>
  <c r="AD99" i="15"/>
  <c r="BB99" i="14"/>
  <c r="BZ99" i="13"/>
  <c r="F94" i="13"/>
  <c r="BZ99" i="16"/>
  <c r="CX99" i="15"/>
  <c r="F99" i="15"/>
  <c r="AD99" i="14"/>
  <c r="BB99" i="13"/>
  <c r="BB99" i="16"/>
  <c r="BZ99" i="15"/>
  <c r="CX99" i="14"/>
  <c r="F99" i="14"/>
  <c r="AD99" i="13"/>
  <c r="AD99" i="16"/>
  <c r="BB99" i="15"/>
  <c r="BZ99" i="14"/>
  <c r="CX99" i="13"/>
  <c r="CX128" i="16"/>
  <c r="CX124" i="16"/>
  <c r="CX120" i="16"/>
  <c r="CX116" i="16"/>
  <c r="BZ128" i="16"/>
  <c r="BZ124" i="16"/>
  <c r="BZ120" i="16"/>
  <c r="BZ116" i="16"/>
  <c r="BB128" i="16"/>
  <c r="BB124" i="16"/>
  <c r="BB120" i="16"/>
  <c r="BB116" i="16"/>
  <c r="AD128" i="16"/>
  <c r="AD124" i="16"/>
  <c r="AD120" i="16"/>
  <c r="AD116" i="16"/>
  <c r="F128" i="16"/>
  <c r="F124" i="16"/>
  <c r="F120" i="16"/>
  <c r="F116" i="16"/>
  <c r="CX128" i="15"/>
  <c r="CX124" i="15"/>
  <c r="CX120" i="15"/>
  <c r="CX116" i="15"/>
  <c r="BZ128" i="15"/>
  <c r="BZ124" i="15"/>
  <c r="BZ120" i="15"/>
  <c r="BZ116" i="15"/>
  <c r="BB128" i="15"/>
  <c r="BB124" i="15"/>
  <c r="BB120" i="15"/>
  <c r="BB116" i="15"/>
  <c r="AD128" i="15"/>
  <c r="AD124" i="15"/>
  <c r="AD120" i="15"/>
  <c r="AD116" i="15"/>
  <c r="F128" i="15"/>
  <c r="F124" i="15"/>
  <c r="F120" i="15"/>
  <c r="F116" i="15"/>
  <c r="CX128" i="14"/>
  <c r="CX124" i="14"/>
  <c r="CX120" i="14"/>
  <c r="CX116" i="14"/>
  <c r="BZ128" i="14"/>
  <c r="BZ124" i="14"/>
  <c r="BZ120" i="14"/>
  <c r="BZ116" i="14"/>
  <c r="BB114" i="14"/>
  <c r="BB118" i="14"/>
  <c r="BB122" i="14"/>
  <c r="BB126" i="14"/>
  <c r="AD114" i="14"/>
  <c r="AD118" i="14"/>
  <c r="AD122" i="14"/>
  <c r="AD126" i="14"/>
  <c r="F114" i="14"/>
  <c r="F118" i="14"/>
  <c r="F122" i="14"/>
  <c r="F126" i="14"/>
  <c r="BB115" i="13"/>
  <c r="BB119" i="13"/>
  <c r="BB123" i="13"/>
  <c r="BB127" i="13"/>
  <c r="BZ115" i="13"/>
  <c r="BZ119" i="13"/>
  <c r="BZ123" i="13"/>
  <c r="BZ127" i="13"/>
  <c r="CX115" i="13"/>
  <c r="CX119" i="13"/>
  <c r="CX123" i="13"/>
  <c r="CX127" i="13"/>
  <c r="AD114" i="13"/>
  <c r="AD118" i="13"/>
  <c r="AD122" i="13"/>
  <c r="AD126" i="13"/>
  <c r="F114" i="13"/>
  <c r="F118" i="13"/>
  <c r="F122" i="13"/>
  <c r="F126" i="13"/>
  <c r="CX127" i="16"/>
  <c r="CX126" i="16"/>
  <c r="CX122" i="16"/>
  <c r="CX118" i="16"/>
  <c r="CX114" i="16"/>
  <c r="BZ126" i="16"/>
  <c r="BZ122" i="16"/>
  <c r="BZ118" i="16"/>
  <c r="BZ114" i="16"/>
  <c r="BB126" i="16"/>
  <c r="BB122" i="16"/>
  <c r="BB118" i="16"/>
  <c r="BB114" i="16"/>
  <c r="AD126" i="16"/>
  <c r="AD122" i="16"/>
  <c r="AD118" i="16"/>
  <c r="AD114" i="16"/>
  <c r="F126" i="16"/>
  <c r="F122" i="16"/>
  <c r="F118" i="16"/>
  <c r="F114" i="16"/>
  <c r="CX126" i="15"/>
  <c r="CX122" i="15"/>
  <c r="CX118" i="15"/>
  <c r="CX114" i="15"/>
  <c r="BZ126" i="15"/>
  <c r="BZ122" i="15"/>
  <c r="BZ118" i="15"/>
  <c r="BZ114" i="15"/>
  <c r="BB126" i="15"/>
  <c r="BB122" i="15"/>
  <c r="BB118" i="15"/>
  <c r="BB114" i="15"/>
  <c r="AD126" i="15"/>
  <c r="AD122" i="15"/>
  <c r="AD118" i="15"/>
  <c r="AD114" i="15"/>
  <c r="F126" i="15"/>
  <c r="F122" i="15"/>
  <c r="F118" i="15"/>
  <c r="F114" i="15"/>
  <c r="CX126" i="14"/>
  <c r="CX122" i="14"/>
  <c r="CX118" i="14"/>
  <c r="CX114" i="14"/>
  <c r="BZ126" i="14"/>
  <c r="BZ122" i="14"/>
  <c r="BZ118" i="14"/>
  <c r="BZ114" i="14"/>
  <c r="BB116" i="14"/>
  <c r="BB120" i="14"/>
  <c r="BB124" i="14"/>
  <c r="BB128" i="14"/>
  <c r="AD116" i="14"/>
  <c r="AD120" i="14"/>
  <c r="AD124" i="14"/>
  <c r="AD128" i="14"/>
  <c r="F116" i="14"/>
  <c r="F120" i="14"/>
  <c r="F124" i="14"/>
  <c r="F128" i="14"/>
  <c r="BB117" i="13"/>
  <c r="BB121" i="13"/>
  <c r="BB125" i="13"/>
  <c r="BB113" i="13"/>
  <c r="BZ117" i="13"/>
  <c r="BZ121" i="13"/>
  <c r="BZ125" i="13"/>
  <c r="BZ113" i="13"/>
  <c r="CX117" i="13"/>
  <c r="CX121" i="13"/>
  <c r="CX125" i="13"/>
  <c r="CX113" i="13"/>
  <c r="AD116" i="13"/>
  <c r="AD120" i="13"/>
  <c r="AD124" i="13"/>
  <c r="AD128" i="13"/>
  <c r="F116" i="13"/>
  <c r="F120" i="13"/>
  <c r="F124" i="13"/>
  <c r="F128" i="13"/>
  <c r="CX125" i="16"/>
  <c r="CX123" i="16"/>
  <c r="CX115" i="16"/>
  <c r="BZ123" i="16"/>
  <c r="BZ115" i="16"/>
  <c r="BB123" i="16"/>
  <c r="BB115" i="16"/>
  <c r="AD123" i="16"/>
  <c r="AD115" i="16"/>
  <c r="F123" i="16"/>
  <c r="F115" i="16"/>
  <c r="CX123" i="15"/>
  <c r="CX115" i="15"/>
  <c r="BZ123" i="15"/>
  <c r="BZ115" i="15"/>
  <c r="BB123" i="15"/>
  <c r="BB115" i="15"/>
  <c r="AD123" i="15"/>
  <c r="AD115" i="15"/>
  <c r="F123" i="15"/>
  <c r="F115" i="15"/>
  <c r="CX123" i="14"/>
  <c r="CX115" i="14"/>
  <c r="BZ123" i="14"/>
  <c r="BZ115" i="14"/>
  <c r="BB119" i="14"/>
  <c r="BB127" i="14"/>
  <c r="AD119" i="14"/>
  <c r="AD127" i="14"/>
  <c r="F119" i="14"/>
  <c r="F127" i="14"/>
  <c r="BB120" i="13"/>
  <c r="BB128" i="13"/>
  <c r="BZ120" i="13"/>
  <c r="BZ128" i="13"/>
  <c r="CX120" i="13"/>
  <c r="CX128" i="13"/>
  <c r="AD115" i="13"/>
  <c r="AD123" i="13"/>
  <c r="F115" i="13"/>
  <c r="F123" i="13"/>
  <c r="CX119" i="16"/>
  <c r="BZ127" i="16"/>
  <c r="BZ119" i="16"/>
  <c r="BB127" i="16"/>
  <c r="BB119" i="16"/>
  <c r="AD127" i="16"/>
  <c r="AD119" i="16"/>
  <c r="F127" i="16"/>
  <c r="F119" i="16"/>
  <c r="CX127" i="15"/>
  <c r="CX119" i="15"/>
  <c r="BZ127" i="15"/>
  <c r="BZ119" i="15"/>
  <c r="BB127" i="15"/>
  <c r="BB119" i="15"/>
  <c r="AD127" i="15"/>
  <c r="AD119" i="15"/>
  <c r="F127" i="15"/>
  <c r="F119" i="15"/>
  <c r="CX127" i="14"/>
  <c r="CX119" i="14"/>
  <c r="BZ127" i="14"/>
  <c r="BZ119" i="14"/>
  <c r="BB115" i="14"/>
  <c r="BB123" i="14"/>
  <c r="AD115" i="14"/>
  <c r="AD123" i="14"/>
  <c r="F115" i="14"/>
  <c r="F123" i="14"/>
  <c r="BB116" i="13"/>
  <c r="BB124" i="13"/>
  <c r="BZ116" i="13"/>
  <c r="BZ124" i="13"/>
  <c r="CX116" i="13"/>
  <c r="CX124" i="13"/>
  <c r="AD119" i="13"/>
  <c r="AD127" i="13"/>
  <c r="F119" i="13"/>
  <c r="F127" i="13"/>
  <c r="CX121" i="16"/>
  <c r="BZ121" i="16"/>
  <c r="BB121" i="16"/>
  <c r="AD121" i="16"/>
  <c r="F121" i="16"/>
  <c r="CX121" i="15"/>
  <c r="BZ121" i="15"/>
  <c r="BB121" i="15"/>
  <c r="AD121" i="15"/>
  <c r="F121" i="15"/>
  <c r="CX121" i="14"/>
  <c r="BZ121" i="14"/>
  <c r="BB121" i="14"/>
  <c r="AD121" i="14"/>
  <c r="F121" i="14"/>
  <c r="BB122" i="13"/>
  <c r="BZ122" i="13"/>
  <c r="CX122" i="13"/>
  <c r="AD117" i="13"/>
  <c r="F117" i="13"/>
  <c r="CX117" i="16"/>
  <c r="BZ117" i="16"/>
  <c r="BB117" i="16"/>
  <c r="AD117" i="16"/>
  <c r="F117" i="16"/>
  <c r="CX117" i="15"/>
  <c r="BZ117" i="15"/>
  <c r="BB117" i="15"/>
  <c r="AD117" i="15"/>
  <c r="F117" i="15"/>
  <c r="CX113" i="16"/>
  <c r="BZ113" i="16"/>
  <c r="BB113" i="16"/>
  <c r="AD113" i="16"/>
  <c r="F113" i="16"/>
  <c r="CX113" i="15"/>
  <c r="BZ113" i="15"/>
  <c r="BB113" i="15"/>
  <c r="AD113" i="15"/>
  <c r="F113" i="15"/>
  <c r="CX113" i="14"/>
  <c r="BZ113" i="14"/>
  <c r="BB113" i="14"/>
  <c r="AD113" i="14"/>
  <c r="F113" i="14"/>
  <c r="BB114" i="13"/>
  <c r="BZ114" i="13"/>
  <c r="CX114" i="13"/>
  <c r="AD125" i="13"/>
  <c r="F125" i="13"/>
  <c r="BZ125" i="16"/>
  <c r="BB125" i="16"/>
  <c r="AD125" i="16"/>
  <c r="F125" i="16"/>
  <c r="CX125" i="15"/>
  <c r="F125" i="15"/>
  <c r="BZ117" i="14"/>
  <c r="AD125" i="14"/>
  <c r="BZ126" i="13"/>
  <c r="AD121" i="13"/>
  <c r="BZ125" i="15"/>
  <c r="CX125" i="14"/>
  <c r="BB117" i="14"/>
  <c r="F117" i="14"/>
  <c r="BB118" i="13"/>
  <c r="CX118" i="13"/>
  <c r="AD113" i="13"/>
  <c r="BB125" i="15"/>
  <c r="CX117" i="14"/>
  <c r="BB125" i="14"/>
  <c r="F125" i="14"/>
  <c r="BB126" i="13"/>
  <c r="CX126" i="13"/>
  <c r="F121" i="13"/>
  <c r="AD125" i="15"/>
  <c r="BZ125" i="14"/>
  <c r="AD117" i="14"/>
  <c r="BZ118" i="13"/>
  <c r="F113" i="13"/>
  <c r="AW63" i="16"/>
  <c r="V14" i="8"/>
  <c r="AF16" i="2"/>
  <c r="W14" i="8" s="1"/>
  <c r="K18" i="2"/>
  <c r="Q17" i="8" s="1"/>
  <c r="R18" i="2"/>
  <c r="S17" i="8" s="1"/>
  <c r="Q20" i="2"/>
  <c r="Q22" i="2" s="1"/>
  <c r="Q26" i="2"/>
  <c r="R26" i="2" s="1"/>
  <c r="Q29" i="2"/>
  <c r="X16" i="2"/>
  <c r="AE20" i="2"/>
  <c r="X20" i="2"/>
  <c r="J23" i="2"/>
  <c r="J42" i="2" s="1"/>
  <c r="Q23" i="2"/>
  <c r="R23" i="2" s="1"/>
  <c r="Q24" i="2"/>
  <c r="N71" i="13" l="1"/>
  <c r="S71" i="13" s="1"/>
  <c r="R71" i="13"/>
  <c r="N76" i="13"/>
  <c r="S76" i="13" s="1"/>
  <c r="R76" i="13"/>
  <c r="O63" i="15"/>
  <c r="DO78" i="16"/>
  <c r="CN78" i="13"/>
  <c r="O71" i="14"/>
  <c r="N71" i="14"/>
  <c r="O73" i="13"/>
  <c r="T73" i="13" s="1"/>
  <c r="N73" i="13"/>
  <c r="S73" i="13" s="1"/>
  <c r="BM71" i="15"/>
  <c r="N151" i="9"/>
  <c r="O151" i="9" s="1"/>
  <c r="P151" i="9" s="1"/>
  <c r="K156" i="9"/>
  <c r="N156" i="9"/>
  <c r="O156" i="9" s="1"/>
  <c r="P156" i="9" s="1"/>
  <c r="CM76" i="15"/>
  <c r="J158" i="9"/>
  <c r="N158" i="9"/>
  <c r="O158" i="9" s="1"/>
  <c r="P158" i="9" s="1"/>
  <c r="K153" i="9"/>
  <c r="N153" i="9"/>
  <c r="O153" i="9" s="1"/>
  <c r="P153" i="9" s="1"/>
  <c r="CM63" i="15"/>
  <c r="CN63" i="15" s="1"/>
  <c r="N143" i="9"/>
  <c r="O143" i="9" s="1"/>
  <c r="P143" i="9" s="1"/>
  <c r="AK163" i="15"/>
  <c r="AK165" i="15" s="1"/>
  <c r="AK167" i="15" s="1"/>
  <c r="AK164" i="15"/>
  <c r="D33" i="12" s="1"/>
  <c r="AK164" i="16"/>
  <c r="D40" i="12" s="1"/>
  <c r="AK163" i="16"/>
  <c r="CN63" i="14"/>
  <c r="CS63" i="14" s="1"/>
  <c r="CW63" i="14"/>
  <c r="CW64" i="14" s="1"/>
  <c r="CW65" i="14" s="1"/>
  <c r="CW66" i="14" s="1"/>
  <c r="CW67" i="14" s="1"/>
  <c r="CW68" i="14" s="1"/>
  <c r="CW69" i="14" s="1"/>
  <c r="CW70" i="14" s="1"/>
  <c r="CW71" i="14" s="1"/>
  <c r="CW72" i="14" s="1"/>
  <c r="BW63" i="13"/>
  <c r="BW64" i="13" s="1"/>
  <c r="BW65" i="13" s="1"/>
  <c r="BW66" i="13" s="1"/>
  <c r="BW67" i="13" s="1"/>
  <c r="BW68" i="13" s="1"/>
  <c r="BW69" i="13" s="1"/>
  <c r="BW70" i="13" s="1"/>
  <c r="CN63" i="16"/>
  <c r="CW63" i="16"/>
  <c r="CW64" i="16" s="1"/>
  <c r="CW65" i="16" s="1"/>
  <c r="CW66" i="16" s="1"/>
  <c r="CW67" i="16" s="1"/>
  <c r="CW68" i="16" s="1"/>
  <c r="CW69" i="16" s="1"/>
  <c r="CW70" i="16" s="1"/>
  <c r="CW71" i="16" s="1"/>
  <c r="CW72" i="16" s="1"/>
  <c r="CW73" i="16" s="1"/>
  <c r="CW74" i="16" s="1"/>
  <c r="CW75" i="16" s="1"/>
  <c r="CO76" i="16"/>
  <c r="W63" i="14"/>
  <c r="W64" i="14" s="1"/>
  <c r="W65" i="14" s="1"/>
  <c r="W66" i="14" s="1"/>
  <c r="W67" i="14" s="1"/>
  <c r="W68" i="14" s="1"/>
  <c r="W69" i="14" s="1"/>
  <c r="W70" i="14" s="1"/>
  <c r="W71" i="14" s="1"/>
  <c r="W72" i="14" s="1"/>
  <c r="AW63" i="13"/>
  <c r="AW64" i="13" s="1"/>
  <c r="AW65" i="13" s="1"/>
  <c r="AW66" i="13" s="1"/>
  <c r="AW67" i="13" s="1"/>
  <c r="AW68" i="13" s="1"/>
  <c r="AW69" i="13" s="1"/>
  <c r="AW70" i="13" s="1"/>
  <c r="AW71" i="13" s="1"/>
  <c r="AW72" i="13" s="1"/>
  <c r="DW63" i="13"/>
  <c r="DW64" i="13" s="1"/>
  <c r="DW65" i="13" s="1"/>
  <c r="DW66" i="13" s="1"/>
  <c r="DW67" i="13" s="1"/>
  <c r="DW68" i="13" s="1"/>
  <c r="DW69" i="13" s="1"/>
  <c r="DW70" i="13" s="1"/>
  <c r="DW71" i="13" s="1"/>
  <c r="DW72" i="13" s="1"/>
  <c r="DW73" i="13" s="1"/>
  <c r="DW74" i="13" s="1"/>
  <c r="DW75" i="13" s="1"/>
  <c r="DW76" i="13" s="1"/>
  <c r="DW77" i="13" s="1"/>
  <c r="DW78" i="13" s="1"/>
  <c r="V162" i="13" s="1"/>
  <c r="V163" i="13" s="1"/>
  <c r="V165" i="13" s="1"/>
  <c r="V167" i="13" s="1"/>
  <c r="CW63" i="13"/>
  <c r="CW64" i="13" s="1"/>
  <c r="CW65" i="13" s="1"/>
  <c r="CW66" i="13" s="1"/>
  <c r="CW67" i="13" s="1"/>
  <c r="CW68" i="13" s="1"/>
  <c r="CW69" i="13" s="1"/>
  <c r="CW70" i="13" s="1"/>
  <c r="CW71" i="13" s="1"/>
  <c r="CW72" i="13" s="1"/>
  <c r="CW73" i="13" s="1"/>
  <c r="CW74" i="13" s="1"/>
  <c r="CW75" i="13" s="1"/>
  <c r="CW76" i="13" s="1"/>
  <c r="CW77" i="13" s="1"/>
  <c r="CW78" i="13" s="1"/>
  <c r="U162" i="13" s="1"/>
  <c r="U163" i="13" s="1"/>
  <c r="U165" i="13" s="1"/>
  <c r="U167" i="13" s="1"/>
  <c r="AW63" i="14"/>
  <c r="AW64" i="14" s="1"/>
  <c r="AW65" i="14" s="1"/>
  <c r="AW66" i="14" s="1"/>
  <c r="AW67" i="14" s="1"/>
  <c r="AW68" i="14" s="1"/>
  <c r="AW69" i="14" s="1"/>
  <c r="AW70" i="14" s="1"/>
  <c r="AW71" i="14" s="1"/>
  <c r="AW72" i="14" s="1"/>
  <c r="AW73" i="14" s="1"/>
  <c r="AW74" i="14" s="1"/>
  <c r="AW75" i="14" s="1"/>
  <c r="AW76" i="14" s="1"/>
  <c r="AW77" i="14" s="1"/>
  <c r="BN63" i="16"/>
  <c r="BW63" i="16"/>
  <c r="BW64" i="16" s="1"/>
  <c r="BW65" i="16" s="1"/>
  <c r="BW66" i="16" s="1"/>
  <c r="BW67" i="16" s="1"/>
  <c r="BW68" i="16" s="1"/>
  <c r="BW69" i="16" s="1"/>
  <c r="BW70" i="16" s="1"/>
  <c r="AX63" i="16"/>
  <c r="AX64" i="16" s="1"/>
  <c r="AX65" i="16" s="1"/>
  <c r="AX66" i="16" s="1"/>
  <c r="AX67" i="16" s="1"/>
  <c r="AX68" i="16" s="1"/>
  <c r="AX69" i="16" s="1"/>
  <c r="AX70" i="16" s="1"/>
  <c r="DO63" i="16"/>
  <c r="DW63" i="16"/>
  <c r="DW64" i="16" s="1"/>
  <c r="DW65" i="16" s="1"/>
  <c r="DW66" i="16" s="1"/>
  <c r="DW67" i="16" s="1"/>
  <c r="DW68" i="16" s="1"/>
  <c r="DW69" i="16" s="1"/>
  <c r="DW70" i="16" s="1"/>
  <c r="DN63" i="14"/>
  <c r="DS63" i="14" s="1"/>
  <c r="DW63" i="14"/>
  <c r="DW64" i="14" s="1"/>
  <c r="DW65" i="14" s="1"/>
  <c r="DW66" i="14" s="1"/>
  <c r="DW67" i="14" s="1"/>
  <c r="DW68" i="14" s="1"/>
  <c r="DW69" i="14" s="1"/>
  <c r="DW70" i="14" s="1"/>
  <c r="W63" i="13"/>
  <c r="W64" i="13" s="1"/>
  <c r="W65" i="13" s="1"/>
  <c r="W66" i="13" s="1"/>
  <c r="W67" i="13" s="1"/>
  <c r="W68" i="13" s="1"/>
  <c r="W69" i="13" s="1"/>
  <c r="W70" i="13" s="1"/>
  <c r="CO63" i="14"/>
  <c r="CT63" i="14" s="1"/>
  <c r="BN63" i="14"/>
  <c r="BS63" i="14" s="1"/>
  <c r="BW63" i="14"/>
  <c r="BW64" i="14" s="1"/>
  <c r="BW65" i="14" s="1"/>
  <c r="BW66" i="14" s="1"/>
  <c r="BW67" i="14" s="1"/>
  <c r="BW68" i="14" s="1"/>
  <c r="BW69" i="14" s="1"/>
  <c r="BW70" i="14" s="1"/>
  <c r="CW63" i="15"/>
  <c r="CW64" i="15" s="1"/>
  <c r="CW65" i="15" s="1"/>
  <c r="CW66" i="15" s="1"/>
  <c r="CW67" i="15" s="1"/>
  <c r="CW68" i="15" s="1"/>
  <c r="CW69" i="15" s="1"/>
  <c r="CW70" i="15" s="1"/>
  <c r="N63" i="16"/>
  <c r="W63" i="16"/>
  <c r="W64" i="16" s="1"/>
  <c r="W65" i="16" s="1"/>
  <c r="W66" i="16" s="1"/>
  <c r="W67" i="16" s="1"/>
  <c r="W68" i="16" s="1"/>
  <c r="W69" i="16" s="1"/>
  <c r="W70" i="16" s="1"/>
  <c r="AJ164" i="16"/>
  <c r="H40" i="12" s="1"/>
  <c r="AJ163" i="16"/>
  <c r="AG164" i="15"/>
  <c r="AG163" i="15"/>
  <c r="AG165" i="15" s="1"/>
  <c r="AG167" i="15" s="1"/>
  <c r="AI163" i="14"/>
  <c r="AI165" i="14" s="1"/>
  <c r="AI167" i="14" s="1"/>
  <c r="AI164" i="14"/>
  <c r="AJ163" i="15"/>
  <c r="AJ165" i="15" s="1"/>
  <c r="AJ167" i="15" s="1"/>
  <c r="AJ164" i="15"/>
  <c r="AG164" i="13"/>
  <c r="AG163" i="13"/>
  <c r="AG165" i="13" s="1"/>
  <c r="AG167" i="13" s="1"/>
  <c r="AI163" i="13"/>
  <c r="AI165" i="13" s="1"/>
  <c r="AI167" i="13" s="1"/>
  <c r="AI164" i="13"/>
  <c r="AH163" i="16"/>
  <c r="AH164" i="16"/>
  <c r="G40" i="12" s="1"/>
  <c r="AI164" i="15"/>
  <c r="AI163" i="15"/>
  <c r="AI165" i="15" s="1"/>
  <c r="AI167" i="15" s="1"/>
  <c r="AH164" i="15"/>
  <c r="AH163" i="15"/>
  <c r="AH165" i="15" s="1"/>
  <c r="AH167" i="15" s="1"/>
  <c r="AK163" i="13"/>
  <c r="AK165" i="13" s="1"/>
  <c r="AK167" i="13" s="1"/>
  <c r="AK164" i="13"/>
  <c r="AK166" i="15"/>
  <c r="AK168" i="15" s="1"/>
  <c r="AG163" i="16"/>
  <c r="AG164" i="16"/>
  <c r="F40" i="12" s="1"/>
  <c r="AK164" i="14"/>
  <c r="AK163" i="14"/>
  <c r="AK165" i="14" s="1"/>
  <c r="AK167" i="14" s="1"/>
  <c r="AJ164" i="14"/>
  <c r="AJ163" i="14"/>
  <c r="AJ165" i="14" s="1"/>
  <c r="AJ167" i="14" s="1"/>
  <c r="AG164" i="14"/>
  <c r="AG163" i="14"/>
  <c r="AG165" i="14" s="1"/>
  <c r="AG167" i="14" s="1"/>
  <c r="AH164" i="13"/>
  <c r="AH163" i="13"/>
  <c r="AH165" i="13" s="1"/>
  <c r="AH167" i="13" s="1"/>
  <c r="AJ163" i="13"/>
  <c r="AJ165" i="13" s="1"/>
  <c r="AJ167" i="13" s="1"/>
  <c r="AJ164" i="13"/>
  <c r="AI164" i="16"/>
  <c r="E40" i="12" s="1"/>
  <c r="AI163" i="16"/>
  <c r="AH163" i="14"/>
  <c r="AH165" i="14" s="1"/>
  <c r="AH167" i="14" s="1"/>
  <c r="AH164" i="14"/>
  <c r="BM63" i="15"/>
  <c r="BO63" i="15" s="1"/>
  <c r="BM73" i="15"/>
  <c r="DN63" i="16"/>
  <c r="CO78" i="13"/>
  <c r="O63" i="16"/>
  <c r="O76" i="13"/>
  <c r="T76" i="13" s="1"/>
  <c r="N63" i="15"/>
  <c r="AN71" i="16"/>
  <c r="AN76" i="13"/>
  <c r="O76" i="14"/>
  <c r="O76" i="15"/>
  <c r="BN76" i="13"/>
  <c r="BO71" i="14"/>
  <c r="BT71" i="14" s="1"/>
  <c r="BN63" i="13"/>
  <c r="AO63" i="14"/>
  <c r="AT63" i="14" s="1"/>
  <c r="BO63" i="16"/>
  <c r="O73" i="14"/>
  <c r="DO76" i="13"/>
  <c r="CN76" i="13"/>
  <c r="AN63" i="14"/>
  <c r="AS63" i="14" s="1"/>
  <c r="AN71" i="13"/>
  <c r="DN76" i="13"/>
  <c r="CO63" i="16"/>
  <c r="DN78" i="13"/>
  <c r="BM76" i="15"/>
  <c r="BN76" i="14"/>
  <c r="BS76" i="14" s="1"/>
  <c r="BO63" i="13"/>
  <c r="N71" i="15"/>
  <c r="CO73" i="16"/>
  <c r="N73" i="16"/>
  <c r="AO73" i="16"/>
  <c r="AO63" i="13"/>
  <c r="O63" i="14"/>
  <c r="AO76" i="14"/>
  <c r="AT76" i="14" s="1"/>
  <c r="AN63" i="13"/>
  <c r="CN63" i="13"/>
  <c r="N63" i="14"/>
  <c r="CN73" i="16"/>
  <c r="CO71" i="13"/>
  <c r="BN73" i="13"/>
  <c r="AN76" i="14"/>
  <c r="AS76" i="14" s="1"/>
  <c r="O76" i="16"/>
  <c r="DO63" i="13"/>
  <c r="O63" i="13"/>
  <c r="T63" i="13" s="1"/>
  <c r="DO63" i="14"/>
  <c r="DT63" i="14" s="1"/>
  <c r="O78" i="14"/>
  <c r="O71" i="15"/>
  <c r="DN71" i="13"/>
  <c r="CN71" i="13"/>
  <c r="BO73" i="14"/>
  <c r="BT73" i="14" s="1"/>
  <c r="O73" i="16"/>
  <c r="BO76" i="13"/>
  <c r="DN63" i="13"/>
  <c r="N63" i="13"/>
  <c r="S63" i="13" s="1"/>
  <c r="K143" i="9"/>
  <c r="AM63" i="15"/>
  <c r="J143" i="9"/>
  <c r="W63" i="15"/>
  <c r="W64" i="15" s="1"/>
  <c r="W65" i="15" s="1"/>
  <c r="W66" i="15" s="1"/>
  <c r="W67" i="15" s="1"/>
  <c r="W68" i="15" s="1"/>
  <c r="W69" i="15" s="1"/>
  <c r="W70" i="15" s="1"/>
  <c r="W71" i="15" s="1"/>
  <c r="W72" i="15" s="1"/>
  <c r="DM63" i="15"/>
  <c r="DO76" i="16"/>
  <c r="DN76" i="16"/>
  <c r="DO76" i="14"/>
  <c r="DT76" i="14" s="1"/>
  <c r="AO76" i="16"/>
  <c r="DM71" i="15"/>
  <c r="DM76" i="15"/>
  <c r="BO63" i="14"/>
  <c r="BT63" i="14" s="1"/>
  <c r="J151" i="9"/>
  <c r="J156" i="9"/>
  <c r="AM76" i="15"/>
  <c r="CO76" i="13"/>
  <c r="CO71" i="14"/>
  <c r="CT71" i="14" s="1"/>
  <c r="K151" i="9"/>
  <c r="CN71" i="14"/>
  <c r="CS71" i="14" s="1"/>
  <c r="AM71" i="15"/>
  <c r="DO73" i="16"/>
  <c r="DN73" i="14"/>
  <c r="DS73" i="14" s="1"/>
  <c r="AO71" i="14"/>
  <c r="AT71" i="14" s="1"/>
  <c r="DO71" i="13"/>
  <c r="DN71" i="14"/>
  <c r="DS71" i="14" s="1"/>
  <c r="CM71" i="15"/>
  <c r="BO73" i="13"/>
  <c r="AN71" i="14"/>
  <c r="AS71" i="14" s="1"/>
  <c r="AN78" i="13"/>
  <c r="O71" i="16"/>
  <c r="AO71" i="13"/>
  <c r="O71" i="13"/>
  <c r="T71" i="13" s="1"/>
  <c r="CN73" i="13"/>
  <c r="DO78" i="13"/>
  <c r="CO73" i="14"/>
  <c r="CT73" i="14" s="1"/>
  <c r="AO73" i="14"/>
  <c r="AT73" i="14" s="1"/>
  <c r="CM73" i="15"/>
  <c r="BO71" i="13"/>
  <c r="BO71" i="16"/>
  <c r="DO71" i="16"/>
  <c r="AN73" i="14"/>
  <c r="AS73" i="14" s="1"/>
  <c r="DM73" i="15"/>
  <c r="BM78" i="15"/>
  <c r="CO73" i="13"/>
  <c r="AM73" i="15"/>
  <c r="AN73" i="15" s="1"/>
  <c r="J153" i="9"/>
  <c r="AO78" i="13"/>
  <c r="DO73" i="13"/>
  <c r="AO73" i="13"/>
  <c r="O78" i="13"/>
  <c r="T78" i="13" s="1"/>
  <c r="DN73" i="13"/>
  <c r="CM78" i="15"/>
  <c r="O73" i="15"/>
  <c r="O78" i="15"/>
  <c r="BN78" i="16"/>
  <c r="R24" i="2"/>
  <c r="Q42" i="2"/>
  <c r="R20" i="8" s="1"/>
  <c r="N78" i="13"/>
  <c r="S78" i="13" s="1"/>
  <c r="J69" i="2"/>
  <c r="Y20" i="2"/>
  <c r="X22" i="2"/>
  <c r="AF20" i="2"/>
  <c r="AE22" i="2"/>
  <c r="AE42" i="2" s="1"/>
  <c r="R29" i="2"/>
  <c r="AM78" i="15"/>
  <c r="AN78" i="16"/>
  <c r="CN78" i="14"/>
  <c r="CS78" i="14" s="1"/>
  <c r="DN78" i="14"/>
  <c r="DS78" i="14" s="1"/>
  <c r="K158" i="9"/>
  <c r="CO78" i="14"/>
  <c r="CT78" i="14" s="1"/>
  <c r="DO78" i="14"/>
  <c r="DM78" i="15"/>
  <c r="AO78" i="14"/>
  <c r="AT78" i="14" s="1"/>
  <c r="BO78" i="13"/>
  <c r="BN78" i="13"/>
  <c r="O78" i="16"/>
  <c r="BO78" i="14"/>
  <c r="BT78" i="14" s="1"/>
  <c r="DN65" i="15"/>
  <c r="DO65" i="15"/>
  <c r="AN65" i="15"/>
  <c r="AO65" i="15"/>
  <c r="CN65" i="15"/>
  <c r="CO65" i="15"/>
  <c r="BO65" i="15"/>
  <c r="BO77" i="15"/>
  <c r="CN77" i="15"/>
  <c r="CO77" i="15"/>
  <c r="DN77" i="15"/>
  <c r="DO77" i="15"/>
  <c r="AN77" i="15"/>
  <c r="AO77" i="15"/>
  <c r="CN75" i="15"/>
  <c r="CO75" i="15"/>
  <c r="AN75" i="15"/>
  <c r="AO75" i="15"/>
  <c r="BO75" i="15"/>
  <c r="DN75" i="15"/>
  <c r="DO75" i="15"/>
  <c r="DN74" i="15"/>
  <c r="DO74" i="15"/>
  <c r="BO74" i="15"/>
  <c r="CN74" i="15"/>
  <c r="CO74" i="15"/>
  <c r="AN74" i="15"/>
  <c r="AO74" i="15"/>
  <c r="CN72" i="15"/>
  <c r="CO72" i="15"/>
  <c r="DN72" i="15"/>
  <c r="DO72" i="15"/>
  <c r="AN72" i="15"/>
  <c r="AO72" i="15"/>
  <c r="BO72" i="15"/>
  <c r="AN69" i="15"/>
  <c r="AO69" i="15"/>
  <c r="BO69" i="15"/>
  <c r="DN69" i="15"/>
  <c r="DO69" i="15"/>
  <c r="CN69" i="15"/>
  <c r="CO69" i="15"/>
  <c r="AN68" i="15"/>
  <c r="AO68" i="15"/>
  <c r="BO68" i="15"/>
  <c r="CN68" i="15"/>
  <c r="CO68" i="15"/>
  <c r="DN68" i="15"/>
  <c r="DO68" i="15"/>
  <c r="AN67" i="15"/>
  <c r="AO67" i="15"/>
  <c r="CN67" i="15"/>
  <c r="CO67" i="15"/>
  <c r="BO67" i="15"/>
  <c r="DN67" i="15"/>
  <c r="DO67" i="15"/>
  <c r="DN64" i="15"/>
  <c r="DO64" i="15"/>
  <c r="AN64" i="15"/>
  <c r="AO64" i="15"/>
  <c r="BO64" i="15"/>
  <c r="CN64" i="15"/>
  <c r="CO64" i="15"/>
  <c r="AW64" i="16"/>
  <c r="AW65" i="16" s="1"/>
  <c r="AW66" i="16" s="1"/>
  <c r="AW67" i="16" s="1"/>
  <c r="AW68" i="16" s="1"/>
  <c r="AW69" i="16" s="1"/>
  <c r="AW70" i="16" s="1"/>
  <c r="BC126" i="13"/>
  <c r="BI126" i="13" s="1"/>
  <c r="AE121" i="13"/>
  <c r="AK121" i="13" s="1"/>
  <c r="BC125" i="16"/>
  <c r="BI125" i="16" s="1"/>
  <c r="AR113" i="14"/>
  <c r="AE113" i="14"/>
  <c r="DL113" i="15"/>
  <c r="CY113" i="15"/>
  <c r="BC117" i="15"/>
  <c r="BI117" i="15" s="1"/>
  <c r="BC122" i="13"/>
  <c r="BI122" i="13" s="1"/>
  <c r="BC121" i="15"/>
  <c r="BI121" i="15" s="1"/>
  <c r="CY124" i="13"/>
  <c r="DE124" i="13" s="1"/>
  <c r="AE123" i="14"/>
  <c r="AK123" i="14" s="1"/>
  <c r="G119" i="15"/>
  <c r="M119" i="15" s="1"/>
  <c r="AE119" i="16"/>
  <c r="AK119" i="16" s="1"/>
  <c r="CY120" i="13"/>
  <c r="DE120" i="13" s="1"/>
  <c r="BC120" i="13"/>
  <c r="BI120" i="13" s="1"/>
  <c r="G123" i="15"/>
  <c r="M123" i="15" s="1"/>
  <c r="BC123" i="15"/>
  <c r="BI123" i="15" s="1"/>
  <c r="CA123" i="16"/>
  <c r="CG123" i="16" s="1"/>
  <c r="G128" i="13"/>
  <c r="M128" i="13" s="1"/>
  <c r="CN113" i="13"/>
  <c r="CA113" i="13"/>
  <c r="BP113" i="13"/>
  <c r="BC113" i="13"/>
  <c r="BC128" i="14"/>
  <c r="BI128" i="14" s="1"/>
  <c r="G114" i="15"/>
  <c r="M114" i="15" s="1"/>
  <c r="AE114" i="15"/>
  <c r="AK114" i="15" s="1"/>
  <c r="CY114" i="15"/>
  <c r="DE114" i="15" s="1"/>
  <c r="G114" i="16"/>
  <c r="M114" i="16" s="1"/>
  <c r="AE114" i="16"/>
  <c r="AK114" i="16" s="1"/>
  <c r="CY114" i="16"/>
  <c r="DE114" i="16" s="1"/>
  <c r="CY127" i="16"/>
  <c r="DE127" i="16" s="1"/>
  <c r="CY115" i="13"/>
  <c r="DE115" i="13" s="1"/>
  <c r="CA115" i="13"/>
  <c r="CG115" i="13" s="1"/>
  <c r="AE114" i="14"/>
  <c r="AK114" i="14" s="1"/>
  <c r="BC114" i="14"/>
  <c r="BI114" i="14" s="1"/>
  <c r="G128" i="15"/>
  <c r="M128" i="15" s="1"/>
  <c r="AE128" i="15"/>
  <c r="AK128" i="15" s="1"/>
  <c r="CY128" i="15"/>
  <c r="DE128" i="15" s="1"/>
  <c r="G128" i="16"/>
  <c r="M128" i="16" s="1"/>
  <c r="CA128" i="16"/>
  <c r="CG128" i="16" s="1"/>
  <c r="CA99" i="14"/>
  <c r="CG99" i="14" s="1"/>
  <c r="BC99" i="13"/>
  <c r="BI99" i="13" s="1"/>
  <c r="AE99" i="15"/>
  <c r="AK99" i="15" s="1"/>
  <c r="G91" i="14"/>
  <c r="M91" i="14" s="1"/>
  <c r="CA91" i="15"/>
  <c r="CG91" i="15" s="1"/>
  <c r="G95" i="14"/>
  <c r="M95" i="14" s="1"/>
  <c r="CA95" i="15"/>
  <c r="CG95" i="15" s="1"/>
  <c r="BC95" i="16"/>
  <c r="BI95" i="16" s="1"/>
  <c r="CY103" i="14"/>
  <c r="DE103" i="14" s="1"/>
  <c r="CA103" i="15"/>
  <c r="CG103" i="15" s="1"/>
  <c r="BC101" i="13"/>
  <c r="BI101" i="13" s="1"/>
  <c r="AE101" i="14"/>
  <c r="AK101" i="14" s="1"/>
  <c r="CA101" i="14"/>
  <c r="CG101" i="14" s="1"/>
  <c r="BC101" i="15"/>
  <c r="BI101" i="15" s="1"/>
  <c r="AE101" i="16"/>
  <c r="AK101" i="16" s="1"/>
  <c r="CA101" i="16"/>
  <c r="CG101" i="16" s="1"/>
  <c r="BC97" i="13"/>
  <c r="BI97" i="13" s="1"/>
  <c r="CY97" i="13"/>
  <c r="DE97" i="13" s="1"/>
  <c r="AE97" i="14"/>
  <c r="AK97" i="14" s="1"/>
  <c r="CA97" i="14"/>
  <c r="CG97" i="14" s="1"/>
  <c r="G97" i="15"/>
  <c r="M97" i="15" s="1"/>
  <c r="CY97" i="15"/>
  <c r="DE97" i="15" s="1"/>
  <c r="AE97" i="16"/>
  <c r="AK97" i="16" s="1"/>
  <c r="CA97" i="16"/>
  <c r="CG97" i="16" s="1"/>
  <c r="G99" i="13"/>
  <c r="M99" i="13" s="1"/>
  <c r="AE92" i="13"/>
  <c r="AK92" i="13" s="1"/>
  <c r="BC92" i="13"/>
  <c r="BI92" i="13" s="1"/>
  <c r="CA92" i="13"/>
  <c r="CG92" i="13" s="1"/>
  <c r="CY92" i="13"/>
  <c r="DE92" i="13" s="1"/>
  <c r="G92" i="14"/>
  <c r="M92" i="14" s="1"/>
  <c r="AE92" i="14"/>
  <c r="AK92" i="14" s="1"/>
  <c r="BC92" i="14"/>
  <c r="BI92" i="14" s="1"/>
  <c r="CA92" i="14"/>
  <c r="CG92" i="14" s="1"/>
  <c r="CY92" i="14"/>
  <c r="DE92" i="14" s="1"/>
  <c r="G92" i="15"/>
  <c r="M92" i="15" s="1"/>
  <c r="AE92" i="15"/>
  <c r="AK92" i="15" s="1"/>
  <c r="BC92" i="15"/>
  <c r="BI92" i="15" s="1"/>
  <c r="CA92" i="15"/>
  <c r="CG92" i="15" s="1"/>
  <c r="CY92" i="15"/>
  <c r="DE92" i="15" s="1"/>
  <c r="G92" i="16"/>
  <c r="M92" i="16" s="1"/>
  <c r="AE92" i="16"/>
  <c r="AK92" i="16" s="1"/>
  <c r="BC92" i="16"/>
  <c r="BI92" i="16" s="1"/>
  <c r="CA92" i="16"/>
  <c r="CG92" i="16" s="1"/>
  <c r="CY92" i="16"/>
  <c r="DE92" i="16" s="1"/>
  <c r="G97" i="13"/>
  <c r="M97" i="13" s="1"/>
  <c r="AE94" i="13"/>
  <c r="AK94" i="13" s="1"/>
  <c r="BC94" i="13"/>
  <c r="BI94" i="13" s="1"/>
  <c r="CA94" i="13"/>
  <c r="CG94" i="13" s="1"/>
  <c r="CY94" i="13"/>
  <c r="DE94" i="13" s="1"/>
  <c r="G94" i="14"/>
  <c r="M94" i="14" s="1"/>
  <c r="AE94" i="14"/>
  <c r="AK94" i="14" s="1"/>
  <c r="BC94" i="14"/>
  <c r="BI94" i="14" s="1"/>
  <c r="CA94" i="14"/>
  <c r="CG94" i="14" s="1"/>
  <c r="CY94" i="14"/>
  <c r="DE94" i="14" s="1"/>
  <c r="AE94" i="15"/>
  <c r="AK94" i="15" s="1"/>
  <c r="BC94" i="15"/>
  <c r="BI94" i="15" s="1"/>
  <c r="CA94" i="15"/>
  <c r="CG94" i="15" s="1"/>
  <c r="CY94" i="15"/>
  <c r="DE94" i="15" s="1"/>
  <c r="G94" i="16"/>
  <c r="M94" i="16" s="1"/>
  <c r="AE94" i="16"/>
  <c r="AK94" i="16" s="1"/>
  <c r="BC94" i="16"/>
  <c r="BI94" i="16" s="1"/>
  <c r="CA94" i="16"/>
  <c r="CG94" i="16" s="1"/>
  <c r="CY94" i="16"/>
  <c r="DE94" i="16" s="1"/>
  <c r="T113" i="13"/>
  <c r="G113" i="13"/>
  <c r="AE125" i="15"/>
  <c r="AK125" i="15" s="1"/>
  <c r="G125" i="14"/>
  <c r="M125" i="14" s="1"/>
  <c r="AR113" i="13"/>
  <c r="AE113" i="13"/>
  <c r="BC117" i="14"/>
  <c r="BI117" i="14" s="1"/>
  <c r="CA126" i="13"/>
  <c r="CG126" i="13" s="1"/>
  <c r="CY125" i="15"/>
  <c r="DE125" i="15" s="1"/>
  <c r="CA125" i="16"/>
  <c r="CG125" i="16" s="1"/>
  <c r="CA114" i="13"/>
  <c r="CG114" i="13" s="1"/>
  <c r="BP113" i="14"/>
  <c r="BC113" i="14"/>
  <c r="AR113" i="15"/>
  <c r="AE113" i="15"/>
  <c r="T113" i="16"/>
  <c r="G113" i="16"/>
  <c r="DL113" i="16"/>
  <c r="CY113" i="16"/>
  <c r="CA117" i="15"/>
  <c r="CG117" i="15" s="1"/>
  <c r="BC117" i="16"/>
  <c r="BI117" i="16" s="1"/>
  <c r="AE117" i="13"/>
  <c r="AK117" i="13" s="1"/>
  <c r="G121" i="14"/>
  <c r="M121" i="14" s="1"/>
  <c r="CY121" i="14"/>
  <c r="DE121" i="14" s="1"/>
  <c r="CA121" i="15"/>
  <c r="CG121" i="15" s="1"/>
  <c r="BC121" i="16"/>
  <c r="BI121" i="16" s="1"/>
  <c r="G119" i="13"/>
  <c r="M119" i="13" s="1"/>
  <c r="CY116" i="13"/>
  <c r="DE116" i="13" s="1"/>
  <c r="BC116" i="13"/>
  <c r="BI116" i="13" s="1"/>
  <c r="AE115" i="14"/>
  <c r="AK115" i="14" s="1"/>
  <c r="CA127" i="14"/>
  <c r="CG127" i="14" s="1"/>
  <c r="G127" i="15"/>
  <c r="M127" i="15" s="1"/>
  <c r="BC127" i="15"/>
  <c r="BI127" i="15" s="1"/>
  <c r="CY127" i="15"/>
  <c r="DE127" i="15" s="1"/>
  <c r="AE127" i="16"/>
  <c r="AK127" i="16" s="1"/>
  <c r="CA127" i="16"/>
  <c r="CG127" i="16" s="1"/>
  <c r="AE123" i="13"/>
  <c r="AK123" i="13" s="1"/>
  <c r="CA128" i="13"/>
  <c r="CG128" i="13" s="1"/>
  <c r="G127" i="14"/>
  <c r="M127" i="14" s="1"/>
  <c r="BC127" i="14"/>
  <c r="BI127" i="14" s="1"/>
  <c r="CY115" i="14"/>
  <c r="DE115" i="14" s="1"/>
  <c r="AE115" i="15"/>
  <c r="AK115" i="15" s="1"/>
  <c r="CA115" i="15"/>
  <c r="CG115" i="15" s="1"/>
  <c r="G115" i="16"/>
  <c r="M115" i="16" s="1"/>
  <c r="BC115" i="16"/>
  <c r="BI115" i="16" s="1"/>
  <c r="CY115" i="16"/>
  <c r="DE115" i="16" s="1"/>
  <c r="G124" i="13"/>
  <c r="M124" i="13" s="1"/>
  <c r="AE124" i="13"/>
  <c r="AK124" i="13" s="1"/>
  <c r="CY125" i="13"/>
  <c r="DE125" i="13" s="1"/>
  <c r="CA125" i="13"/>
  <c r="CG125" i="13" s="1"/>
  <c r="BC125" i="13"/>
  <c r="BI125" i="13" s="1"/>
  <c r="G124" i="14"/>
  <c r="M124" i="14" s="1"/>
  <c r="AE124" i="14"/>
  <c r="AK124" i="14" s="1"/>
  <c r="BC124" i="14"/>
  <c r="BI124" i="14" s="1"/>
  <c r="CA118" i="14"/>
  <c r="CG118" i="14" s="1"/>
  <c r="CY118" i="14"/>
  <c r="DE118" i="14" s="1"/>
  <c r="G118" i="15"/>
  <c r="M118" i="15" s="1"/>
  <c r="AE118" i="15"/>
  <c r="AK118" i="15" s="1"/>
  <c r="BC118" i="15"/>
  <c r="BI118" i="15" s="1"/>
  <c r="CA118" i="15"/>
  <c r="CG118" i="15" s="1"/>
  <c r="CY118" i="15"/>
  <c r="DE118" i="15" s="1"/>
  <c r="G118" i="16"/>
  <c r="M118" i="16" s="1"/>
  <c r="AE118" i="16"/>
  <c r="AK118" i="16" s="1"/>
  <c r="BC118" i="16"/>
  <c r="BI118" i="16" s="1"/>
  <c r="CA118" i="16"/>
  <c r="CG118" i="16" s="1"/>
  <c r="CY118" i="16"/>
  <c r="DE118" i="16" s="1"/>
  <c r="G126" i="13"/>
  <c r="M126" i="13" s="1"/>
  <c r="AE126" i="13"/>
  <c r="AK126" i="13" s="1"/>
  <c r="CY127" i="13"/>
  <c r="DE127" i="13" s="1"/>
  <c r="CA127" i="13"/>
  <c r="CG127" i="13" s="1"/>
  <c r="BC127" i="13"/>
  <c r="BI127" i="13" s="1"/>
  <c r="G126" i="14"/>
  <c r="M126" i="14" s="1"/>
  <c r="AE126" i="14"/>
  <c r="AK126" i="14" s="1"/>
  <c r="BC126" i="14"/>
  <c r="BI126" i="14" s="1"/>
  <c r="CA116" i="14"/>
  <c r="CG116" i="14" s="1"/>
  <c r="CY116" i="14"/>
  <c r="DE116" i="14" s="1"/>
  <c r="G116" i="15"/>
  <c r="M116" i="15" s="1"/>
  <c r="AE116" i="15"/>
  <c r="AK116" i="15" s="1"/>
  <c r="BC116" i="15"/>
  <c r="BI116" i="15" s="1"/>
  <c r="CA116" i="15"/>
  <c r="CG116" i="15" s="1"/>
  <c r="CY116" i="15"/>
  <c r="DE116" i="15" s="1"/>
  <c r="G116" i="16"/>
  <c r="M116" i="16" s="1"/>
  <c r="AE116" i="16"/>
  <c r="AK116" i="16" s="1"/>
  <c r="BC116" i="16"/>
  <c r="BI116" i="16" s="1"/>
  <c r="CA116" i="16"/>
  <c r="CG116" i="16" s="1"/>
  <c r="CY116" i="16"/>
  <c r="DE116" i="16" s="1"/>
  <c r="BC99" i="15"/>
  <c r="BI99" i="15" s="1"/>
  <c r="CY99" i="14"/>
  <c r="DE99" i="14" s="1"/>
  <c r="AE99" i="14"/>
  <c r="AK99" i="14" s="1"/>
  <c r="G94" i="13"/>
  <c r="M94" i="13" s="1"/>
  <c r="G99" i="16"/>
  <c r="M99" i="16" s="1"/>
  <c r="BC91" i="13"/>
  <c r="BI91" i="13" s="1"/>
  <c r="AE91" i="14"/>
  <c r="AK91" i="14" s="1"/>
  <c r="G91" i="15"/>
  <c r="M91" i="15" s="1"/>
  <c r="CY91" i="15"/>
  <c r="DE91" i="15" s="1"/>
  <c r="CA91" i="16"/>
  <c r="CG91" i="16" s="1"/>
  <c r="BC95" i="13"/>
  <c r="BI95" i="13" s="1"/>
  <c r="AE95" i="14"/>
  <c r="AK95" i="14" s="1"/>
  <c r="G95" i="15"/>
  <c r="M95" i="15" s="1"/>
  <c r="CY95" i="15"/>
  <c r="DE95" i="15" s="1"/>
  <c r="CA95" i="16"/>
  <c r="CG95" i="16" s="1"/>
  <c r="BC103" i="13"/>
  <c r="BI103" i="13" s="1"/>
  <c r="AE103" i="14"/>
  <c r="AK103" i="14" s="1"/>
  <c r="G103" i="15"/>
  <c r="M103" i="15" s="1"/>
  <c r="CY103" i="15"/>
  <c r="DE103" i="15" s="1"/>
  <c r="CA103" i="16"/>
  <c r="CG103" i="16" s="1"/>
  <c r="AE93" i="13"/>
  <c r="AK93" i="13" s="1"/>
  <c r="CA93" i="13"/>
  <c r="CG93" i="13" s="1"/>
  <c r="G93" i="14"/>
  <c r="M93" i="14" s="1"/>
  <c r="BC93" i="14"/>
  <c r="BI93" i="14" s="1"/>
  <c r="CY93" i="14"/>
  <c r="DE93" i="14" s="1"/>
  <c r="AE93" i="15"/>
  <c r="AK93" i="15" s="1"/>
  <c r="CA93" i="15"/>
  <c r="CG93" i="15" s="1"/>
  <c r="G93" i="16"/>
  <c r="M93" i="16" s="1"/>
  <c r="BC93" i="16"/>
  <c r="BI93" i="16" s="1"/>
  <c r="CY93" i="16"/>
  <c r="DE93" i="16" s="1"/>
  <c r="AE89" i="13"/>
  <c r="AK89" i="13" s="1"/>
  <c r="CA89" i="13"/>
  <c r="CG89" i="13" s="1"/>
  <c r="G89" i="14"/>
  <c r="M89" i="14" s="1"/>
  <c r="BC89" i="14"/>
  <c r="BI89" i="14" s="1"/>
  <c r="CY89" i="14"/>
  <c r="DE89" i="14" s="1"/>
  <c r="AE89" i="15"/>
  <c r="AK89" i="15" s="1"/>
  <c r="CA89" i="15"/>
  <c r="CG89" i="15" s="1"/>
  <c r="G89" i="16"/>
  <c r="M89" i="16" s="1"/>
  <c r="BC89" i="16"/>
  <c r="BI89" i="16" s="1"/>
  <c r="CY89" i="16"/>
  <c r="DE89" i="16" s="1"/>
  <c r="G95" i="13"/>
  <c r="M95" i="13" s="1"/>
  <c r="AE96" i="13"/>
  <c r="AK96" i="13" s="1"/>
  <c r="BC96" i="13"/>
  <c r="BI96" i="13" s="1"/>
  <c r="CA96" i="13"/>
  <c r="CG96" i="13" s="1"/>
  <c r="CY96" i="13"/>
  <c r="DE96" i="13" s="1"/>
  <c r="G96" i="14"/>
  <c r="M96" i="14" s="1"/>
  <c r="AE96" i="14"/>
  <c r="AK96" i="14" s="1"/>
  <c r="BC96" i="14"/>
  <c r="BI96" i="14" s="1"/>
  <c r="CA96" i="14"/>
  <c r="CG96" i="14" s="1"/>
  <c r="CY96" i="14"/>
  <c r="DE96" i="14" s="1"/>
  <c r="G96" i="15"/>
  <c r="M96" i="15" s="1"/>
  <c r="AE96" i="15"/>
  <c r="AK96" i="15" s="1"/>
  <c r="BC96" i="15"/>
  <c r="BI96" i="15" s="1"/>
  <c r="CA96" i="15"/>
  <c r="CG96" i="15" s="1"/>
  <c r="CY96" i="15"/>
  <c r="DE96" i="15" s="1"/>
  <c r="G96" i="16"/>
  <c r="M96" i="16" s="1"/>
  <c r="AE96" i="16"/>
  <c r="AK96" i="16" s="1"/>
  <c r="BC96" i="16"/>
  <c r="BI96" i="16" s="1"/>
  <c r="CA96" i="16"/>
  <c r="CG96" i="16" s="1"/>
  <c r="CY96" i="16"/>
  <c r="DE96" i="16" s="1"/>
  <c r="G93" i="13"/>
  <c r="M93" i="13" s="1"/>
  <c r="AE98" i="13"/>
  <c r="AK98" i="13" s="1"/>
  <c r="BC98" i="13"/>
  <c r="BI98" i="13" s="1"/>
  <c r="CA98" i="13"/>
  <c r="CG98" i="13" s="1"/>
  <c r="CY98" i="13"/>
  <c r="DE98" i="13" s="1"/>
  <c r="G98" i="14"/>
  <c r="M98" i="14" s="1"/>
  <c r="AE98" i="14"/>
  <c r="AK98" i="14" s="1"/>
  <c r="BC98" i="14"/>
  <c r="BI98" i="14" s="1"/>
  <c r="CA98" i="14"/>
  <c r="CG98" i="14" s="1"/>
  <c r="CY98" i="14"/>
  <c r="DE98" i="14" s="1"/>
  <c r="G98" i="15"/>
  <c r="M98" i="15" s="1"/>
  <c r="AE98" i="15"/>
  <c r="AK98" i="15" s="1"/>
  <c r="BC98" i="15"/>
  <c r="BI98" i="15" s="1"/>
  <c r="CA98" i="15"/>
  <c r="CG98" i="15" s="1"/>
  <c r="CY98" i="15"/>
  <c r="DE98" i="15" s="1"/>
  <c r="G98" i="16"/>
  <c r="M98" i="16" s="1"/>
  <c r="AE98" i="16"/>
  <c r="AK98" i="16" s="1"/>
  <c r="BC98" i="16"/>
  <c r="BI98" i="16" s="1"/>
  <c r="CA98" i="16"/>
  <c r="CG98" i="16" s="1"/>
  <c r="CY98" i="16"/>
  <c r="DE98" i="16" s="1"/>
  <c r="G117" i="14"/>
  <c r="M117" i="14" s="1"/>
  <c r="CY114" i="13"/>
  <c r="DE114" i="13" s="1"/>
  <c r="CN113" i="16"/>
  <c r="CN114" i="16" s="1"/>
  <c r="CN115" i="16" s="1"/>
  <c r="CA113" i="16"/>
  <c r="G117" i="13"/>
  <c r="M117" i="13" s="1"/>
  <c r="AE121" i="16"/>
  <c r="AK121" i="16" s="1"/>
  <c r="BC124" i="13"/>
  <c r="BI124" i="13" s="1"/>
  <c r="BC119" i="15"/>
  <c r="BI119" i="15" s="1"/>
  <c r="G115" i="13"/>
  <c r="M115" i="13" s="1"/>
  <c r="AE119" i="14"/>
  <c r="AK119" i="14" s="1"/>
  <c r="CY123" i="15"/>
  <c r="DE123" i="15" s="1"/>
  <c r="AE128" i="13"/>
  <c r="AK128" i="13" s="1"/>
  <c r="G128" i="14"/>
  <c r="M128" i="14" s="1"/>
  <c r="CY114" i="14"/>
  <c r="DE114" i="14" s="1"/>
  <c r="BC114" i="15"/>
  <c r="BI114" i="15" s="1"/>
  <c r="CA114" i="16"/>
  <c r="CG114" i="16" s="1"/>
  <c r="AE114" i="13"/>
  <c r="AK114" i="13" s="1"/>
  <c r="G114" i="14"/>
  <c r="M114" i="14" s="1"/>
  <c r="CY128" i="14"/>
  <c r="DE128" i="14" s="1"/>
  <c r="BC128" i="15"/>
  <c r="BI128" i="15" s="1"/>
  <c r="BC128" i="16"/>
  <c r="BI128" i="16" s="1"/>
  <c r="CA99" i="16"/>
  <c r="CG99" i="16" s="1"/>
  <c r="CY91" i="14"/>
  <c r="DE91" i="14" s="1"/>
  <c r="AE95" i="13"/>
  <c r="AK95" i="13" s="1"/>
  <c r="AE103" i="13"/>
  <c r="AK103" i="13" s="1"/>
  <c r="G92" i="13"/>
  <c r="M92" i="13" s="1"/>
  <c r="CY101" i="15"/>
  <c r="DE101" i="15" s="1"/>
  <c r="W13" i="8"/>
  <c r="V13" i="8"/>
  <c r="CA118" i="13"/>
  <c r="CG118" i="13" s="1"/>
  <c r="G121" i="13"/>
  <c r="M121" i="13" s="1"/>
  <c r="BC125" i="14"/>
  <c r="BI125" i="14" s="1"/>
  <c r="CY118" i="13"/>
  <c r="DE118" i="13" s="1"/>
  <c r="CY125" i="14"/>
  <c r="DE125" i="14" s="1"/>
  <c r="AE125" i="14"/>
  <c r="AK125" i="14" s="1"/>
  <c r="G125" i="16"/>
  <c r="M125" i="16" s="1"/>
  <c r="G125" i="13"/>
  <c r="M125" i="13" s="1"/>
  <c r="BC114" i="13"/>
  <c r="BI114" i="13" s="1"/>
  <c r="CN113" i="14"/>
  <c r="CA113" i="14"/>
  <c r="BP113" i="15"/>
  <c r="BC113" i="15"/>
  <c r="AR113" i="16"/>
  <c r="AR114" i="16" s="1"/>
  <c r="AE113" i="16"/>
  <c r="G117" i="15"/>
  <c r="M117" i="15" s="1"/>
  <c r="CY117" i="15"/>
  <c r="DE117" i="15" s="1"/>
  <c r="CA117" i="16"/>
  <c r="CG117" i="16" s="1"/>
  <c r="CY122" i="13"/>
  <c r="DE122" i="13" s="1"/>
  <c r="AE121" i="14"/>
  <c r="AK121" i="14" s="1"/>
  <c r="G121" i="15"/>
  <c r="M121" i="15" s="1"/>
  <c r="CY121" i="15"/>
  <c r="DE121" i="15" s="1"/>
  <c r="CA121" i="16"/>
  <c r="CG121" i="16" s="1"/>
  <c r="AE127" i="13"/>
  <c r="AK127" i="13" s="1"/>
  <c r="CA124" i="13"/>
  <c r="CG124" i="13" s="1"/>
  <c r="G123" i="14"/>
  <c r="M123" i="14" s="1"/>
  <c r="BC123" i="14"/>
  <c r="BI123" i="14" s="1"/>
  <c r="CY119" i="14"/>
  <c r="DE119" i="14" s="1"/>
  <c r="AE119" i="15"/>
  <c r="AK119" i="15" s="1"/>
  <c r="CA119" i="15"/>
  <c r="CG119" i="15" s="1"/>
  <c r="G119" i="16"/>
  <c r="M119" i="16" s="1"/>
  <c r="BC119" i="16"/>
  <c r="BI119" i="16" s="1"/>
  <c r="CY119" i="16"/>
  <c r="DE119" i="16" s="1"/>
  <c r="AE115" i="13"/>
  <c r="AK115" i="13" s="1"/>
  <c r="CA120" i="13"/>
  <c r="CG120" i="13" s="1"/>
  <c r="G119" i="14"/>
  <c r="M119" i="14" s="1"/>
  <c r="BC119" i="14"/>
  <c r="BI119" i="14" s="1"/>
  <c r="CY123" i="14"/>
  <c r="DE123" i="14" s="1"/>
  <c r="AE123" i="15"/>
  <c r="AK123" i="15" s="1"/>
  <c r="CA123" i="15"/>
  <c r="CG123" i="15" s="1"/>
  <c r="G123" i="16"/>
  <c r="M123" i="16" s="1"/>
  <c r="BC123" i="16"/>
  <c r="BI123" i="16" s="1"/>
  <c r="CY123" i="16"/>
  <c r="DE123" i="16" s="1"/>
  <c r="G120" i="13"/>
  <c r="M120" i="13" s="1"/>
  <c r="AE120" i="13"/>
  <c r="AK120" i="13" s="1"/>
  <c r="CY121" i="13"/>
  <c r="DE121" i="13" s="1"/>
  <c r="CA121" i="13"/>
  <c r="CG121" i="13" s="1"/>
  <c r="BC121" i="13"/>
  <c r="BI121" i="13" s="1"/>
  <c r="G120" i="14"/>
  <c r="M120" i="14" s="1"/>
  <c r="AE120" i="14"/>
  <c r="AK120" i="14" s="1"/>
  <c r="BC120" i="14"/>
  <c r="BI120" i="14" s="1"/>
  <c r="CA122" i="14"/>
  <c r="CG122" i="14" s="1"/>
  <c r="CY122" i="14"/>
  <c r="DE122" i="14" s="1"/>
  <c r="G122" i="15"/>
  <c r="M122" i="15" s="1"/>
  <c r="AE122" i="15"/>
  <c r="AK122" i="15" s="1"/>
  <c r="BC122" i="15"/>
  <c r="BI122" i="15" s="1"/>
  <c r="CA122" i="15"/>
  <c r="CG122" i="15" s="1"/>
  <c r="CY122" i="15"/>
  <c r="DE122" i="15" s="1"/>
  <c r="G122" i="16"/>
  <c r="M122" i="16" s="1"/>
  <c r="AE122" i="16"/>
  <c r="AK122" i="16" s="1"/>
  <c r="BC122" i="16"/>
  <c r="BI122" i="16" s="1"/>
  <c r="CA122" i="16"/>
  <c r="CG122" i="16" s="1"/>
  <c r="CY122" i="16"/>
  <c r="DE122" i="16" s="1"/>
  <c r="G122" i="13"/>
  <c r="M122" i="13" s="1"/>
  <c r="AE122" i="13"/>
  <c r="AK122" i="13" s="1"/>
  <c r="CY123" i="13"/>
  <c r="DE123" i="13" s="1"/>
  <c r="CA123" i="13"/>
  <c r="CG123" i="13" s="1"/>
  <c r="BC123" i="13"/>
  <c r="BI123" i="13" s="1"/>
  <c r="G122" i="14"/>
  <c r="M122" i="14" s="1"/>
  <c r="AE122" i="14"/>
  <c r="AK122" i="14" s="1"/>
  <c r="BC122" i="14"/>
  <c r="BI122" i="14" s="1"/>
  <c r="CA120" i="14"/>
  <c r="CG120" i="14" s="1"/>
  <c r="CY120" i="14"/>
  <c r="DE120" i="14" s="1"/>
  <c r="G120" i="15"/>
  <c r="M120" i="15" s="1"/>
  <c r="AE120" i="15"/>
  <c r="AK120" i="15" s="1"/>
  <c r="BC120" i="15"/>
  <c r="BI120" i="15" s="1"/>
  <c r="CA120" i="15"/>
  <c r="CG120" i="15" s="1"/>
  <c r="CY120" i="15"/>
  <c r="DE120" i="15" s="1"/>
  <c r="G120" i="16"/>
  <c r="M120" i="16" s="1"/>
  <c r="AE120" i="16"/>
  <c r="AK120" i="16" s="1"/>
  <c r="BC120" i="16"/>
  <c r="BI120" i="16" s="1"/>
  <c r="CA120" i="16"/>
  <c r="CG120" i="16" s="1"/>
  <c r="CY120" i="16"/>
  <c r="DE120" i="16" s="1"/>
  <c r="AE99" i="16"/>
  <c r="AK99" i="16" s="1"/>
  <c r="CA99" i="15"/>
  <c r="CG99" i="15" s="1"/>
  <c r="G99" i="15"/>
  <c r="M99" i="15" s="1"/>
  <c r="CA99" i="13"/>
  <c r="CG99" i="13" s="1"/>
  <c r="CY99" i="16"/>
  <c r="DE99" i="16" s="1"/>
  <c r="CA91" i="13"/>
  <c r="CG91" i="13" s="1"/>
  <c r="BC91" i="14"/>
  <c r="BI91" i="14" s="1"/>
  <c r="AE91" i="15"/>
  <c r="AK91" i="15" s="1"/>
  <c r="G91" i="16"/>
  <c r="M91" i="16" s="1"/>
  <c r="CY91" i="16"/>
  <c r="DE91" i="16" s="1"/>
  <c r="CA95" i="13"/>
  <c r="CG95" i="13" s="1"/>
  <c r="BC95" i="14"/>
  <c r="BI95" i="14" s="1"/>
  <c r="AE95" i="15"/>
  <c r="AK95" i="15" s="1"/>
  <c r="G95" i="16"/>
  <c r="M95" i="16" s="1"/>
  <c r="CY95" i="16"/>
  <c r="DE95" i="16" s="1"/>
  <c r="CA103" i="13"/>
  <c r="CG103" i="13" s="1"/>
  <c r="BC103" i="14"/>
  <c r="BI103" i="14" s="1"/>
  <c r="AE103" i="15"/>
  <c r="AK103" i="15" s="1"/>
  <c r="G103" i="16"/>
  <c r="M103" i="16" s="1"/>
  <c r="CY103" i="16"/>
  <c r="DE103" i="16" s="1"/>
  <c r="AE101" i="13"/>
  <c r="AK101" i="13" s="1"/>
  <c r="CA101" i="13"/>
  <c r="CG101" i="13" s="1"/>
  <c r="G101" i="14"/>
  <c r="M101" i="14" s="1"/>
  <c r="BC101" i="14"/>
  <c r="BI101" i="14" s="1"/>
  <c r="CY101" i="14"/>
  <c r="DE101" i="14" s="1"/>
  <c r="AE101" i="15"/>
  <c r="AK101" i="15" s="1"/>
  <c r="CA101" i="15"/>
  <c r="CG101" i="15" s="1"/>
  <c r="G101" i="16"/>
  <c r="M101" i="16" s="1"/>
  <c r="BC101" i="16"/>
  <c r="BI101" i="16" s="1"/>
  <c r="CY101" i="16"/>
  <c r="DE101" i="16" s="1"/>
  <c r="AE97" i="13"/>
  <c r="AK97" i="13" s="1"/>
  <c r="CA97" i="13"/>
  <c r="CG97" i="13" s="1"/>
  <c r="G97" i="14"/>
  <c r="M97" i="14" s="1"/>
  <c r="BC97" i="14"/>
  <c r="BI97" i="14" s="1"/>
  <c r="CY97" i="14"/>
  <c r="DE97" i="14" s="1"/>
  <c r="AE97" i="15"/>
  <c r="AK97" i="15" s="1"/>
  <c r="CA97" i="15"/>
  <c r="CG97" i="15" s="1"/>
  <c r="G97" i="16"/>
  <c r="M97" i="16" s="1"/>
  <c r="BC97" i="16"/>
  <c r="BI97" i="16" s="1"/>
  <c r="CY97" i="16"/>
  <c r="DE97" i="16" s="1"/>
  <c r="G91" i="13"/>
  <c r="M91" i="13" s="1"/>
  <c r="AE100" i="13"/>
  <c r="AK100" i="13" s="1"/>
  <c r="BC100" i="13"/>
  <c r="BI100" i="13" s="1"/>
  <c r="CA100" i="13"/>
  <c r="CG100" i="13" s="1"/>
  <c r="CY100" i="13"/>
  <c r="DE100" i="13" s="1"/>
  <c r="G100" i="14"/>
  <c r="M100" i="14" s="1"/>
  <c r="AE100" i="14"/>
  <c r="AK100" i="14" s="1"/>
  <c r="BC100" i="14"/>
  <c r="BI100" i="14" s="1"/>
  <c r="CA100" i="14"/>
  <c r="CG100" i="14" s="1"/>
  <c r="CY100" i="14"/>
  <c r="DE100" i="14" s="1"/>
  <c r="G100" i="15"/>
  <c r="M100" i="15" s="1"/>
  <c r="AE100" i="15"/>
  <c r="AK100" i="15" s="1"/>
  <c r="BC100" i="15"/>
  <c r="BI100" i="15" s="1"/>
  <c r="CA100" i="15"/>
  <c r="CG100" i="15" s="1"/>
  <c r="CY100" i="15"/>
  <c r="DE100" i="15" s="1"/>
  <c r="G100" i="16"/>
  <c r="M100" i="16" s="1"/>
  <c r="AE100" i="16"/>
  <c r="AK100" i="16" s="1"/>
  <c r="BC100" i="16"/>
  <c r="BI100" i="16" s="1"/>
  <c r="CA100" i="16"/>
  <c r="CG100" i="16" s="1"/>
  <c r="CY100" i="16"/>
  <c r="DE100" i="16" s="1"/>
  <c r="G89" i="13"/>
  <c r="M89" i="13" s="1"/>
  <c r="AE102" i="13"/>
  <c r="AK102" i="13" s="1"/>
  <c r="BC102" i="13"/>
  <c r="BI102" i="13" s="1"/>
  <c r="CA102" i="13"/>
  <c r="CG102" i="13" s="1"/>
  <c r="CY102" i="13"/>
  <c r="DE102" i="13" s="1"/>
  <c r="G102" i="14"/>
  <c r="M102" i="14" s="1"/>
  <c r="AE102" i="14"/>
  <c r="AK102" i="14" s="1"/>
  <c r="BC102" i="14"/>
  <c r="BI102" i="14" s="1"/>
  <c r="CA102" i="14"/>
  <c r="CG102" i="14" s="1"/>
  <c r="CY102" i="14"/>
  <c r="DE102" i="14" s="1"/>
  <c r="G102" i="15"/>
  <c r="M102" i="15" s="1"/>
  <c r="AE102" i="15"/>
  <c r="AK102" i="15" s="1"/>
  <c r="BC102" i="15"/>
  <c r="BI102" i="15" s="1"/>
  <c r="CA102" i="15"/>
  <c r="CG102" i="15" s="1"/>
  <c r="CY102" i="15"/>
  <c r="DE102" i="15" s="1"/>
  <c r="G102" i="16"/>
  <c r="M102" i="16" s="1"/>
  <c r="AE102" i="16"/>
  <c r="AK102" i="16" s="1"/>
  <c r="BC102" i="16"/>
  <c r="BI102" i="16" s="1"/>
  <c r="CA102" i="16"/>
  <c r="CG102" i="16" s="1"/>
  <c r="CY102" i="16"/>
  <c r="DE102" i="16" s="1"/>
  <c r="CA125" i="14"/>
  <c r="CG125" i="14" s="1"/>
  <c r="BC125" i="15"/>
  <c r="BI125" i="15" s="1"/>
  <c r="G125" i="15"/>
  <c r="M125" i="15" s="1"/>
  <c r="T113" i="15"/>
  <c r="G113" i="15"/>
  <c r="AE117" i="16"/>
  <c r="AK117" i="16" s="1"/>
  <c r="CA121" i="14"/>
  <c r="CG121" i="14" s="1"/>
  <c r="G127" i="13"/>
  <c r="M127" i="13" s="1"/>
  <c r="CA119" i="14"/>
  <c r="CG119" i="14" s="1"/>
  <c r="CY119" i="15"/>
  <c r="DE119" i="15" s="1"/>
  <c r="CA119" i="16"/>
  <c r="CG119" i="16" s="1"/>
  <c r="CA123" i="14"/>
  <c r="CG123" i="14" s="1"/>
  <c r="AE123" i="16"/>
  <c r="AK123" i="16" s="1"/>
  <c r="DL113" i="13"/>
  <c r="CY113" i="13"/>
  <c r="AE128" i="14"/>
  <c r="AK128" i="14" s="1"/>
  <c r="CA114" i="14"/>
  <c r="CG114" i="14" s="1"/>
  <c r="CA114" i="15"/>
  <c r="CG114" i="15" s="1"/>
  <c r="BC114" i="16"/>
  <c r="BI114" i="16" s="1"/>
  <c r="G114" i="13"/>
  <c r="M114" i="13" s="1"/>
  <c r="BC115" i="13"/>
  <c r="BI115" i="13" s="1"/>
  <c r="CA128" i="14"/>
  <c r="CG128" i="14" s="1"/>
  <c r="CA128" i="15"/>
  <c r="CG128" i="15" s="1"/>
  <c r="AE128" i="16"/>
  <c r="AK128" i="16" s="1"/>
  <c r="CY128" i="16"/>
  <c r="DE128" i="16" s="1"/>
  <c r="G99" i="14"/>
  <c r="M99" i="14" s="1"/>
  <c r="AE91" i="13"/>
  <c r="AK91" i="13" s="1"/>
  <c r="BC91" i="16"/>
  <c r="BI91" i="16" s="1"/>
  <c r="CY95" i="14"/>
  <c r="DE95" i="14" s="1"/>
  <c r="G103" i="14"/>
  <c r="M103" i="14" s="1"/>
  <c r="BC103" i="16"/>
  <c r="BI103" i="16" s="1"/>
  <c r="CY101" i="13"/>
  <c r="DE101" i="13" s="1"/>
  <c r="G101" i="15"/>
  <c r="M101" i="15" s="1"/>
  <c r="G96" i="13"/>
  <c r="M96" i="13" s="1"/>
  <c r="BC97" i="15"/>
  <c r="BI97" i="15" s="1"/>
  <c r="G94" i="15"/>
  <c r="M94" i="15" s="1"/>
  <c r="AE117" i="14"/>
  <c r="AK117" i="14" s="1"/>
  <c r="CY126" i="13"/>
  <c r="DE126" i="13" s="1"/>
  <c r="CY117" i="14"/>
  <c r="DE117" i="14" s="1"/>
  <c r="BC118" i="13"/>
  <c r="BI118" i="13" s="1"/>
  <c r="CA125" i="15"/>
  <c r="CG125" i="15" s="1"/>
  <c r="CA117" i="14"/>
  <c r="CG117" i="14" s="1"/>
  <c r="AE125" i="16"/>
  <c r="AK125" i="16" s="1"/>
  <c r="AE125" i="13"/>
  <c r="AK125" i="13" s="1"/>
  <c r="T113" i="14"/>
  <c r="G113" i="14"/>
  <c r="DL113" i="14"/>
  <c r="CY113" i="14"/>
  <c r="CN113" i="15"/>
  <c r="CA113" i="15"/>
  <c r="BP113" i="16"/>
  <c r="BC113" i="16"/>
  <c r="AE117" i="15"/>
  <c r="AK117" i="15" s="1"/>
  <c r="G117" i="16"/>
  <c r="M117" i="16" s="1"/>
  <c r="CY117" i="16"/>
  <c r="DE117" i="16" s="1"/>
  <c r="CA122" i="13"/>
  <c r="CG122" i="13" s="1"/>
  <c r="BC121" i="14"/>
  <c r="BI121" i="14" s="1"/>
  <c r="AE121" i="15"/>
  <c r="AK121" i="15" s="1"/>
  <c r="G121" i="16"/>
  <c r="M121" i="16" s="1"/>
  <c r="CY121" i="16"/>
  <c r="DE121" i="16" s="1"/>
  <c r="AE119" i="13"/>
  <c r="AK119" i="13" s="1"/>
  <c r="CA116" i="13"/>
  <c r="CG116" i="13" s="1"/>
  <c r="G115" i="14"/>
  <c r="M115" i="14" s="1"/>
  <c r="BC115" i="14"/>
  <c r="BI115" i="14" s="1"/>
  <c r="CY127" i="14"/>
  <c r="DE127" i="14" s="1"/>
  <c r="AE127" i="15"/>
  <c r="AK127" i="15" s="1"/>
  <c r="CA127" i="15"/>
  <c r="CG127" i="15" s="1"/>
  <c r="G127" i="16"/>
  <c r="M127" i="16" s="1"/>
  <c r="BC127" i="16"/>
  <c r="BI127" i="16" s="1"/>
  <c r="G123" i="13"/>
  <c r="M123" i="13" s="1"/>
  <c r="CY128" i="13"/>
  <c r="DE128" i="13" s="1"/>
  <c r="BC128" i="13"/>
  <c r="BI128" i="13" s="1"/>
  <c r="AE127" i="14"/>
  <c r="AK127" i="14" s="1"/>
  <c r="CA115" i="14"/>
  <c r="CG115" i="14" s="1"/>
  <c r="G115" i="15"/>
  <c r="M115" i="15" s="1"/>
  <c r="BC115" i="15"/>
  <c r="BI115" i="15" s="1"/>
  <c r="CY115" i="15"/>
  <c r="DE115" i="15" s="1"/>
  <c r="AE115" i="16"/>
  <c r="AK115" i="16" s="1"/>
  <c r="CA115" i="16"/>
  <c r="CG115" i="16" s="1"/>
  <c r="CY125" i="16"/>
  <c r="DE125" i="16" s="1"/>
  <c r="G116" i="13"/>
  <c r="M116" i="13" s="1"/>
  <c r="AE116" i="13"/>
  <c r="AK116" i="13" s="1"/>
  <c r="CY117" i="13"/>
  <c r="DE117" i="13" s="1"/>
  <c r="CA117" i="13"/>
  <c r="CG117" i="13" s="1"/>
  <c r="BC117" i="13"/>
  <c r="BI117" i="13" s="1"/>
  <c r="G116" i="14"/>
  <c r="M116" i="14" s="1"/>
  <c r="AE116" i="14"/>
  <c r="AK116" i="14" s="1"/>
  <c r="BC116" i="14"/>
  <c r="BI116" i="14" s="1"/>
  <c r="CA126" i="14"/>
  <c r="CG126" i="14" s="1"/>
  <c r="CY126" i="14"/>
  <c r="DE126" i="14" s="1"/>
  <c r="G126" i="15"/>
  <c r="M126" i="15" s="1"/>
  <c r="AE126" i="15"/>
  <c r="AK126" i="15" s="1"/>
  <c r="BC126" i="15"/>
  <c r="BI126" i="15" s="1"/>
  <c r="CA126" i="15"/>
  <c r="CG126" i="15" s="1"/>
  <c r="CY126" i="15"/>
  <c r="DE126" i="15" s="1"/>
  <c r="G126" i="16"/>
  <c r="M126" i="16" s="1"/>
  <c r="AE126" i="16"/>
  <c r="AK126" i="16" s="1"/>
  <c r="BC126" i="16"/>
  <c r="BI126" i="16" s="1"/>
  <c r="CA126" i="16"/>
  <c r="CG126" i="16" s="1"/>
  <c r="CY126" i="16"/>
  <c r="DE126" i="16" s="1"/>
  <c r="G118" i="13"/>
  <c r="M118" i="13" s="1"/>
  <c r="AE118" i="13"/>
  <c r="AK118" i="13" s="1"/>
  <c r="CY119" i="13"/>
  <c r="DE119" i="13" s="1"/>
  <c r="CA119" i="13"/>
  <c r="CG119" i="13" s="1"/>
  <c r="BC119" i="13"/>
  <c r="BI119" i="13" s="1"/>
  <c r="G118" i="14"/>
  <c r="M118" i="14" s="1"/>
  <c r="AE118" i="14"/>
  <c r="AK118" i="14" s="1"/>
  <c r="BC118" i="14"/>
  <c r="BI118" i="14" s="1"/>
  <c r="CA124" i="14"/>
  <c r="CG124" i="14" s="1"/>
  <c r="CY124" i="14"/>
  <c r="DE124" i="14" s="1"/>
  <c r="G124" i="15"/>
  <c r="M124" i="15" s="1"/>
  <c r="AE124" i="15"/>
  <c r="AK124" i="15" s="1"/>
  <c r="BC124" i="15"/>
  <c r="BI124" i="15" s="1"/>
  <c r="CA124" i="15"/>
  <c r="CG124" i="15" s="1"/>
  <c r="CY124" i="15"/>
  <c r="DE124" i="15" s="1"/>
  <c r="G124" i="16"/>
  <c r="M124" i="16" s="1"/>
  <c r="AE124" i="16"/>
  <c r="AK124" i="16" s="1"/>
  <c r="BC124" i="16"/>
  <c r="BI124" i="16" s="1"/>
  <c r="CA124" i="16"/>
  <c r="CG124" i="16" s="1"/>
  <c r="CY124" i="16"/>
  <c r="DE124" i="16" s="1"/>
  <c r="CY99" i="13"/>
  <c r="DE99" i="13" s="1"/>
  <c r="AE99" i="13"/>
  <c r="AK99" i="13" s="1"/>
  <c r="BC99" i="16"/>
  <c r="BI99" i="16" s="1"/>
  <c r="CY99" i="15"/>
  <c r="DE99" i="15" s="1"/>
  <c r="BC99" i="14"/>
  <c r="BI99" i="14" s="1"/>
  <c r="G102" i="13"/>
  <c r="M102" i="13" s="1"/>
  <c r="CY91" i="13"/>
  <c r="DE91" i="13" s="1"/>
  <c r="CA91" i="14"/>
  <c r="CG91" i="14" s="1"/>
  <c r="BC91" i="15"/>
  <c r="BI91" i="15" s="1"/>
  <c r="AE91" i="16"/>
  <c r="AK91" i="16" s="1"/>
  <c r="G98" i="13"/>
  <c r="M98" i="13" s="1"/>
  <c r="CY95" i="13"/>
  <c r="DE95" i="13" s="1"/>
  <c r="CA95" i="14"/>
  <c r="CG95" i="14" s="1"/>
  <c r="BC95" i="15"/>
  <c r="BI95" i="15" s="1"/>
  <c r="AE95" i="16"/>
  <c r="AK95" i="16" s="1"/>
  <c r="G90" i="13"/>
  <c r="M90" i="13" s="1"/>
  <c r="CY103" i="13"/>
  <c r="DE103" i="13" s="1"/>
  <c r="CA103" i="14"/>
  <c r="CG103" i="14" s="1"/>
  <c r="BC103" i="15"/>
  <c r="BI103" i="15" s="1"/>
  <c r="AE103" i="16"/>
  <c r="AK103" i="16" s="1"/>
  <c r="G100" i="13"/>
  <c r="M100" i="13" s="1"/>
  <c r="BC93" i="13"/>
  <c r="BI93" i="13" s="1"/>
  <c r="CY93" i="13"/>
  <c r="DE93" i="13" s="1"/>
  <c r="AE93" i="14"/>
  <c r="AK93" i="14" s="1"/>
  <c r="CA93" i="14"/>
  <c r="CG93" i="14" s="1"/>
  <c r="G93" i="15"/>
  <c r="M93" i="15" s="1"/>
  <c r="BC93" i="15"/>
  <c r="BI93" i="15" s="1"/>
  <c r="CY93" i="15"/>
  <c r="DE93" i="15" s="1"/>
  <c r="AE93" i="16"/>
  <c r="AK93" i="16" s="1"/>
  <c r="CA93" i="16"/>
  <c r="CG93" i="16" s="1"/>
  <c r="T88" i="13"/>
  <c r="G88" i="13"/>
  <c r="BC89" i="13"/>
  <c r="BI89" i="13" s="1"/>
  <c r="CY89" i="13"/>
  <c r="DE89" i="13" s="1"/>
  <c r="AE89" i="14"/>
  <c r="AK89" i="14" s="1"/>
  <c r="CA89" i="14"/>
  <c r="CG89" i="14" s="1"/>
  <c r="G89" i="15"/>
  <c r="M89" i="15" s="1"/>
  <c r="BC89" i="15"/>
  <c r="BI89" i="15" s="1"/>
  <c r="CY89" i="15"/>
  <c r="DE89" i="15" s="1"/>
  <c r="AE89" i="16"/>
  <c r="AK89" i="16" s="1"/>
  <c r="CA89" i="16"/>
  <c r="CG89" i="16" s="1"/>
  <c r="G103" i="13"/>
  <c r="M103" i="13" s="1"/>
  <c r="AR88" i="13"/>
  <c r="AE88" i="13"/>
  <c r="BP88" i="13"/>
  <c r="BC88" i="13"/>
  <c r="CN88" i="13"/>
  <c r="CA88" i="13"/>
  <c r="DL88" i="13"/>
  <c r="DL89" i="13" s="1"/>
  <c r="CY88" i="13"/>
  <c r="T88" i="14"/>
  <c r="G88" i="14"/>
  <c r="AR88" i="14"/>
  <c r="AE88" i="14"/>
  <c r="BP88" i="14"/>
  <c r="BC88" i="14"/>
  <c r="CN88" i="14"/>
  <c r="CA88" i="14"/>
  <c r="DL88" i="14"/>
  <c r="CY88" i="14"/>
  <c r="T88" i="15"/>
  <c r="G88" i="15"/>
  <c r="AR88" i="15"/>
  <c r="AE88" i="15"/>
  <c r="BP88" i="15"/>
  <c r="BP89" i="15" s="1"/>
  <c r="BP90" i="15" s="1"/>
  <c r="BP91" i="15" s="1"/>
  <c r="BC88" i="15"/>
  <c r="CN88" i="15"/>
  <c r="CA88" i="15"/>
  <c r="DL88" i="15"/>
  <c r="CY88" i="15"/>
  <c r="T88" i="16"/>
  <c r="G88" i="16"/>
  <c r="AR88" i="16"/>
  <c r="AR89" i="16" s="1"/>
  <c r="AE88" i="16"/>
  <c r="BP88" i="16"/>
  <c r="BC88" i="16"/>
  <c r="CN88" i="16"/>
  <c r="CA88" i="16"/>
  <c r="DL88" i="16"/>
  <c r="CY88" i="16"/>
  <c r="G101" i="13"/>
  <c r="M101" i="13" s="1"/>
  <c r="AE90" i="13"/>
  <c r="AK90" i="13" s="1"/>
  <c r="BC90" i="13"/>
  <c r="BI90" i="13" s="1"/>
  <c r="CA90" i="13"/>
  <c r="CG90" i="13" s="1"/>
  <c r="CY90" i="13"/>
  <c r="DE90" i="13" s="1"/>
  <c r="G90" i="14"/>
  <c r="M90" i="14" s="1"/>
  <c r="AE90" i="14"/>
  <c r="AK90" i="14" s="1"/>
  <c r="BC90" i="14"/>
  <c r="BI90" i="14" s="1"/>
  <c r="CA90" i="14"/>
  <c r="CG90" i="14" s="1"/>
  <c r="CY90" i="14"/>
  <c r="DE90" i="14" s="1"/>
  <c r="G90" i="15"/>
  <c r="M90" i="15" s="1"/>
  <c r="AE90" i="15"/>
  <c r="AK90" i="15" s="1"/>
  <c r="BC90" i="15"/>
  <c r="BI90" i="15" s="1"/>
  <c r="CA90" i="15"/>
  <c r="CG90" i="15" s="1"/>
  <c r="CY90" i="15"/>
  <c r="DE90" i="15" s="1"/>
  <c r="G90" i="16"/>
  <c r="M90" i="16" s="1"/>
  <c r="AE90" i="16"/>
  <c r="AK90" i="16" s="1"/>
  <c r="BC90" i="16"/>
  <c r="BI90" i="16" s="1"/>
  <c r="CA90" i="16"/>
  <c r="CG90" i="16" s="1"/>
  <c r="CY90" i="16"/>
  <c r="DE90" i="16" s="1"/>
  <c r="R17" i="2"/>
  <c r="S16" i="8" s="1"/>
  <c r="R22" i="2"/>
  <c r="R20" i="2"/>
  <c r="T14" i="8"/>
  <c r="Y16" i="2"/>
  <c r="U14" i="8" s="1"/>
  <c r="AE18" i="2"/>
  <c r="V17" i="8" s="1"/>
  <c r="K17" i="2"/>
  <c r="Q16" i="8" s="1"/>
  <c r="CX51" i="16"/>
  <c r="CX41" i="16"/>
  <c r="BZ50" i="16"/>
  <c r="BZ42" i="16"/>
  <c r="CX48" i="14"/>
  <c r="CX39" i="14"/>
  <c r="CX38" i="14"/>
  <c r="BZ53" i="14"/>
  <c r="BZ46" i="14"/>
  <c r="BZ42" i="14"/>
  <c r="BZ39" i="14"/>
  <c r="BB44" i="14"/>
  <c r="CX51" i="13"/>
  <c r="CX40" i="13"/>
  <c r="CX38" i="13"/>
  <c r="BZ50" i="13"/>
  <c r="BZ46" i="13"/>
  <c r="BZ42" i="13"/>
  <c r="BB53" i="13"/>
  <c r="F50" i="16"/>
  <c r="AD47" i="16"/>
  <c r="F42" i="16"/>
  <c r="F49" i="15"/>
  <c r="AD39" i="15"/>
  <c r="AD52" i="14"/>
  <c r="AD50" i="14"/>
  <c r="F49" i="14"/>
  <c r="F44" i="14"/>
  <c r="AD51" i="13"/>
  <c r="AD47" i="13"/>
  <c r="AD43" i="13"/>
  <c r="AD39" i="13"/>
  <c r="F52" i="13"/>
  <c r="F44" i="13"/>
  <c r="F39" i="13"/>
  <c r="CX50" i="16"/>
  <c r="CX40" i="16"/>
  <c r="BZ49" i="16"/>
  <c r="BZ41" i="16"/>
  <c r="BB53" i="16"/>
  <c r="BB51" i="16"/>
  <c r="BB49" i="16"/>
  <c r="BB47" i="16"/>
  <c r="BB45" i="16"/>
  <c r="BB43" i="16"/>
  <c r="BB41" i="16"/>
  <c r="BB39" i="16"/>
  <c r="BB38" i="16"/>
  <c r="BZ39" i="15"/>
  <c r="CX53" i="14"/>
  <c r="CX47" i="14"/>
  <c r="BZ41" i="14"/>
  <c r="BB48" i="14"/>
  <c r="CX46" i="13"/>
  <c r="BB52" i="13"/>
  <c r="BB48" i="13"/>
  <c r="BB44" i="13"/>
  <c r="AD48" i="16"/>
  <c r="AD41" i="16"/>
  <c r="F50" i="15"/>
  <c r="F43" i="15"/>
  <c r="F50" i="14"/>
  <c r="AD43" i="14"/>
  <c r="F42" i="14"/>
  <c r="AD40" i="14"/>
  <c r="CX48" i="16"/>
  <c r="CX43" i="16"/>
  <c r="BZ47" i="16"/>
  <c r="BZ39" i="16"/>
  <c r="BZ52" i="15"/>
  <c r="BZ47" i="15"/>
  <c r="BZ42" i="15"/>
  <c r="BZ38" i="15"/>
  <c r="CX44" i="14"/>
  <c r="BB49" i="14"/>
  <c r="BB43" i="14"/>
  <c r="CX47" i="13"/>
  <c r="CX43" i="13"/>
  <c r="BB49" i="13"/>
  <c r="BB45" i="13"/>
  <c r="BB41" i="13"/>
  <c r="F51" i="16"/>
  <c r="F46" i="16"/>
  <c r="F43" i="16"/>
  <c r="AD40" i="16"/>
  <c r="AD53" i="15"/>
  <c r="F52" i="15"/>
  <c r="AD50" i="15"/>
  <c r="F46" i="15"/>
  <c r="F42" i="15"/>
  <c r="AD53" i="14"/>
  <c r="F52" i="14"/>
  <c r="AD47" i="14"/>
  <c r="AD42" i="14"/>
  <c r="AD39" i="14"/>
  <c r="F49" i="13"/>
  <c r="F41" i="13"/>
  <c r="CX42" i="13"/>
  <c r="BB40" i="13"/>
  <c r="CX53" i="16"/>
  <c r="CX45" i="16"/>
  <c r="BZ52" i="16"/>
  <c r="BZ44" i="16"/>
  <c r="CX53" i="15"/>
  <c r="CX51" i="15"/>
  <c r="CX49" i="15"/>
  <c r="CX47" i="15"/>
  <c r="CX45" i="15"/>
  <c r="CX43" i="15"/>
  <c r="CX41" i="15"/>
  <c r="CX39" i="15"/>
  <c r="CX38" i="15"/>
  <c r="BZ49" i="15"/>
  <c r="BZ44" i="15"/>
  <c r="BB52" i="15"/>
  <c r="BB50" i="15"/>
  <c r="BB48" i="15"/>
  <c r="BB46" i="15"/>
  <c r="BB44" i="15"/>
  <c r="BB42" i="15"/>
  <c r="BB40" i="15"/>
  <c r="CX50" i="14"/>
  <c r="CX41" i="14"/>
  <c r="BZ52" i="14"/>
  <c r="BZ49" i="14"/>
  <c r="BZ45" i="14"/>
  <c r="BB42" i="14"/>
  <c r="CX50" i="13"/>
  <c r="CX39" i="13"/>
  <c r="BZ53" i="13"/>
  <c r="BZ49" i="13"/>
  <c r="BZ45" i="13"/>
  <c r="BZ41" i="13"/>
  <c r="BB38" i="13"/>
  <c r="AD53" i="16"/>
  <c r="AD52" i="16"/>
  <c r="AD44" i="16"/>
  <c r="AD47" i="15"/>
  <c r="AD44" i="15"/>
  <c r="AD40" i="15"/>
  <c r="AD45" i="14"/>
  <c r="AD50" i="13"/>
  <c r="AD46" i="13"/>
  <c r="AD42" i="13"/>
  <c r="F46" i="13"/>
  <c r="BB41" i="14"/>
  <c r="F47" i="16"/>
  <c r="AD48" i="15"/>
  <c r="CX52" i="16"/>
  <c r="CX44" i="16"/>
  <c r="BZ51" i="16"/>
  <c r="BZ43" i="16"/>
  <c r="BZ48" i="15"/>
  <c r="CX52" i="14"/>
  <c r="CX49" i="14"/>
  <c r="CX46" i="14"/>
  <c r="CX40" i="14"/>
  <c r="BZ51" i="14"/>
  <c r="BZ40" i="14"/>
  <c r="BB52" i="14"/>
  <c r="BB47" i="14"/>
  <c r="CX45" i="13"/>
  <c r="CX41" i="13"/>
  <c r="BZ38" i="13"/>
  <c r="BB51" i="13"/>
  <c r="BB47" i="13"/>
  <c r="BB43" i="13"/>
  <c r="BB39" i="13"/>
  <c r="F48" i="16"/>
  <c r="AD42" i="16"/>
  <c r="F39" i="16"/>
  <c r="AD38" i="16"/>
  <c r="AD38" i="15"/>
  <c r="F53" i="14"/>
  <c r="F51" i="14"/>
  <c r="F40" i="14"/>
  <c r="F53" i="13"/>
  <c r="F45" i="13"/>
  <c r="CX49" i="16"/>
  <c r="BZ48" i="16"/>
  <c r="BZ40" i="16"/>
  <c r="CX52" i="15"/>
  <c r="CX50" i="15"/>
  <c r="CX48" i="15"/>
  <c r="CX46" i="15"/>
  <c r="CX44" i="15"/>
  <c r="CX42" i="15"/>
  <c r="CX40" i="15"/>
  <c r="BZ53" i="15"/>
  <c r="BZ43" i="15"/>
  <c r="BB53" i="15"/>
  <c r="BB51" i="15"/>
  <c r="BB49" i="15"/>
  <c r="BB47" i="15"/>
  <c r="BB45" i="15"/>
  <c r="BB43" i="15"/>
  <c r="BB41" i="15"/>
  <c r="BB39" i="15"/>
  <c r="BB38" i="15"/>
  <c r="BZ47" i="14"/>
  <c r="BZ43" i="14"/>
  <c r="BZ38" i="14"/>
  <c r="BB51" i="14"/>
  <c r="BB46" i="14"/>
  <c r="BB39" i="14"/>
  <c r="CX52" i="13"/>
  <c r="BZ51" i="13"/>
  <c r="BZ47" i="13"/>
  <c r="BZ43" i="13"/>
  <c r="F53" i="16"/>
  <c r="CX46" i="16"/>
  <c r="BZ46" i="16"/>
  <c r="BB50" i="16"/>
  <c r="BB42" i="16"/>
  <c r="BZ40" i="13"/>
  <c r="BB42" i="13"/>
  <c r="AD51" i="16"/>
  <c r="F45" i="16"/>
  <c r="AD51" i="15"/>
  <c r="AD49" i="15"/>
  <c r="F44" i="15"/>
  <c r="AD42" i="15"/>
  <c r="F48" i="14"/>
  <c r="F42" i="13"/>
  <c r="CX42" i="16"/>
  <c r="CX39" i="16"/>
  <c r="BZ53" i="16"/>
  <c r="BZ45" i="15"/>
  <c r="CX42" i="14"/>
  <c r="BZ50" i="14"/>
  <c r="BB45" i="14"/>
  <c r="BZ52" i="13"/>
  <c r="AD46" i="16"/>
  <c r="F53" i="15"/>
  <c r="AD45" i="15"/>
  <c r="F39" i="15"/>
  <c r="F43" i="14"/>
  <c r="AD49" i="13"/>
  <c r="AD44" i="13"/>
  <c r="F51" i="13"/>
  <c r="F48" i="13"/>
  <c r="F41" i="16"/>
  <c r="AD39" i="16"/>
  <c r="F38" i="16"/>
  <c r="F47" i="15"/>
  <c r="AD49" i="14"/>
  <c r="F45" i="14"/>
  <c r="BZ45" i="16"/>
  <c r="BZ39" i="13"/>
  <c r="BB46" i="13"/>
  <c r="AD49" i="16"/>
  <c r="AD43" i="15"/>
  <c r="F40" i="15"/>
  <c r="AD51" i="14"/>
  <c r="F47" i="14"/>
  <c r="AD48" i="13"/>
  <c r="BZ38" i="16"/>
  <c r="BB53" i="14"/>
  <c r="CX44" i="13"/>
  <c r="AD50" i="16"/>
  <c r="F44" i="16"/>
  <c r="F45" i="15"/>
  <c r="AD38" i="13"/>
  <c r="F47" i="13"/>
  <c r="BZ44" i="13"/>
  <c r="BB52" i="16"/>
  <c r="BB44" i="16"/>
  <c r="BZ51" i="15"/>
  <c r="BZ41" i="15"/>
  <c r="CX45" i="14"/>
  <c r="BZ44" i="14"/>
  <c r="BB40" i="14"/>
  <c r="F51" i="15"/>
  <c r="BB46" i="16"/>
  <c r="CX47" i="16"/>
  <c r="BZ50" i="15"/>
  <c r="BZ40" i="15"/>
  <c r="BZ48" i="14"/>
  <c r="BB50" i="14"/>
  <c r="F52" i="16"/>
  <c r="AD45" i="16"/>
  <c r="F48" i="15"/>
  <c r="AD46" i="15"/>
  <c r="AD44" i="14"/>
  <c r="AD52" i="13"/>
  <c r="AD41" i="13"/>
  <c r="F43" i="13"/>
  <c r="F40" i="13"/>
  <c r="CX38" i="16"/>
  <c r="BB48" i="16"/>
  <c r="BB40" i="16"/>
  <c r="BZ46" i="15"/>
  <c r="CX43" i="14"/>
  <c r="BZ48" i="13"/>
  <c r="BB50" i="13"/>
  <c r="F49" i="16"/>
  <c r="F41" i="15"/>
  <c r="AD48" i="14"/>
  <c r="AD46" i="14"/>
  <c r="AD41" i="14"/>
  <c r="AD38" i="14"/>
  <c r="F38" i="14"/>
  <c r="CX51" i="14"/>
  <c r="BB38" i="14"/>
  <c r="CX53" i="13"/>
  <c r="CX48" i="13"/>
  <c r="AD43" i="16"/>
  <c r="F40" i="16"/>
  <c r="F38" i="15"/>
  <c r="F46" i="14"/>
  <c r="F41" i="14"/>
  <c r="F39" i="14"/>
  <c r="AD45" i="13"/>
  <c r="AD40" i="13"/>
  <c r="AD53" i="13"/>
  <c r="CX49" i="13"/>
  <c r="AD52" i="15"/>
  <c r="AD41" i="15"/>
  <c r="F50" i="13"/>
  <c r="F38" i="13"/>
  <c r="H47" i="10"/>
  <c r="Y47" i="10" s="1"/>
  <c r="K69" i="22" s="1"/>
  <c r="H52" i="10"/>
  <c r="Y52" i="10" s="1"/>
  <c r="K74" i="22" s="1"/>
  <c r="H48" i="10"/>
  <c r="Y48" i="10" s="1"/>
  <c r="K70" i="22" s="1"/>
  <c r="H44" i="10"/>
  <c r="Y44" i="10" s="1"/>
  <c r="K66" i="22" s="1"/>
  <c r="H40" i="10"/>
  <c r="Y40" i="10" s="1"/>
  <c r="K62" i="22" s="1"/>
  <c r="H54" i="10"/>
  <c r="Y54" i="10" s="1"/>
  <c r="K76" i="22" s="1"/>
  <c r="AF39" i="10"/>
  <c r="H39" i="10"/>
  <c r="H43" i="10"/>
  <c r="Y43" i="10" s="1"/>
  <c r="K65" i="22" s="1"/>
  <c r="H42" i="10"/>
  <c r="Y42" i="10" s="1"/>
  <c r="K64" i="22" s="1"/>
  <c r="H46" i="10"/>
  <c r="Y46" i="10" s="1"/>
  <c r="K68" i="22" s="1"/>
  <c r="H51" i="10"/>
  <c r="Y51" i="10" s="1"/>
  <c r="K73" i="22" s="1"/>
  <c r="H50" i="10"/>
  <c r="Y50" i="10" s="1"/>
  <c r="K72" i="22" s="1"/>
  <c r="H45" i="10"/>
  <c r="Y45" i="10" s="1"/>
  <c r="K67" i="22" s="1"/>
  <c r="H49" i="10"/>
  <c r="Y49" i="10" s="1"/>
  <c r="K71" i="22" s="1"/>
  <c r="H41" i="10"/>
  <c r="Y41" i="10" s="1"/>
  <c r="K63" i="22" s="1"/>
  <c r="H53" i="10"/>
  <c r="Y53" i="10" s="1"/>
  <c r="K75" i="22" s="1"/>
  <c r="K23" i="2"/>
  <c r="K42" i="2" s="1"/>
  <c r="K41" i="2" s="1"/>
  <c r="P20" i="8"/>
  <c r="X18" i="2"/>
  <c r="T17" i="8" s="1"/>
  <c r="CW76" i="16" l="1"/>
  <c r="CW77" i="16" s="1"/>
  <c r="CW78" i="16" s="1"/>
  <c r="U162" i="16" s="1"/>
  <c r="U163" i="16" s="1"/>
  <c r="CO63" i="15"/>
  <c r="CO76" i="15"/>
  <c r="CN76" i="15"/>
  <c r="BO71" i="15"/>
  <c r="AW71" i="16"/>
  <c r="AW72" i="16" s="1"/>
  <c r="AW73" i="16" s="1"/>
  <c r="AW74" i="16" s="1"/>
  <c r="AW75" i="16" s="1"/>
  <c r="AW76" i="16" s="1"/>
  <c r="AW77" i="16" s="1"/>
  <c r="AW78" i="16" s="1"/>
  <c r="S162" i="16" s="1"/>
  <c r="S163" i="16" s="1"/>
  <c r="CB88" i="15"/>
  <c r="I13" i="10"/>
  <c r="W13" i="10" s="1"/>
  <c r="AB13" i="10" s="1"/>
  <c r="BW71" i="13"/>
  <c r="BW72" i="13" s="1"/>
  <c r="BW73" i="13" s="1"/>
  <c r="BW74" i="13" s="1"/>
  <c r="BW75" i="13" s="1"/>
  <c r="BW76" i="13" s="1"/>
  <c r="BW77" i="13" s="1"/>
  <c r="BW78" i="13" s="1"/>
  <c r="T162" i="13" s="1"/>
  <c r="T163" i="13" s="1"/>
  <c r="T165" i="13" s="1"/>
  <c r="T167" i="13" s="1"/>
  <c r="CX63" i="15"/>
  <c r="CX64" i="15" s="1"/>
  <c r="CX65" i="15" s="1"/>
  <c r="CX66" i="15" s="1"/>
  <c r="CX67" i="15" s="1"/>
  <c r="CX68" i="15" s="1"/>
  <c r="CX69" i="15" s="1"/>
  <c r="CX70" i="15" s="1"/>
  <c r="AX63" i="14"/>
  <c r="AX64" i="14" s="1"/>
  <c r="AX65" i="14" s="1"/>
  <c r="AX66" i="14" s="1"/>
  <c r="AX67" i="14" s="1"/>
  <c r="AX68" i="14" s="1"/>
  <c r="AX69" i="14" s="1"/>
  <c r="AX70" i="14" s="1"/>
  <c r="AX71" i="14" s="1"/>
  <c r="AX72" i="14" s="1"/>
  <c r="AX73" i="14" s="1"/>
  <c r="AX74" i="14" s="1"/>
  <c r="AX75" i="14" s="1"/>
  <c r="AX76" i="14" s="1"/>
  <c r="AX77" i="14" s="1"/>
  <c r="AX78" i="14" s="1"/>
  <c r="DX63" i="14"/>
  <c r="DX64" i="14" s="1"/>
  <c r="DX65" i="14" s="1"/>
  <c r="DX66" i="14" s="1"/>
  <c r="DX67" i="14" s="1"/>
  <c r="DX68" i="14" s="1"/>
  <c r="DX69" i="14" s="1"/>
  <c r="DX70" i="14" s="1"/>
  <c r="DX71" i="14" s="1"/>
  <c r="DX72" i="14" s="1"/>
  <c r="DX73" i="14" s="1"/>
  <c r="DX74" i="14" s="1"/>
  <c r="DX75" i="14" s="1"/>
  <c r="DX76" i="14" s="1"/>
  <c r="DX77" i="14" s="1"/>
  <c r="DX78" i="14" s="1"/>
  <c r="X63" i="14"/>
  <c r="X64" i="14" s="1"/>
  <c r="X65" i="14" s="1"/>
  <c r="X66" i="14" s="1"/>
  <c r="X67" i="14" s="1"/>
  <c r="X68" i="14" s="1"/>
  <c r="X69" i="14" s="1"/>
  <c r="X70" i="14" s="1"/>
  <c r="X71" i="14" s="1"/>
  <c r="X72" i="14" s="1"/>
  <c r="X73" i="14" s="1"/>
  <c r="X74" i="14" s="1"/>
  <c r="X75" i="14" s="1"/>
  <c r="X76" i="14" s="1"/>
  <c r="X77" i="14" s="1"/>
  <c r="X78" i="14" s="1"/>
  <c r="BW63" i="15"/>
  <c r="BW64" i="15" s="1"/>
  <c r="BW65" i="15" s="1"/>
  <c r="BW66" i="15" s="1"/>
  <c r="BW67" i="15" s="1"/>
  <c r="BW68" i="15" s="1"/>
  <c r="BW69" i="15" s="1"/>
  <c r="BW70" i="15" s="1"/>
  <c r="BW71" i="15" s="1"/>
  <c r="BW72" i="15" s="1"/>
  <c r="BW73" i="15" s="1"/>
  <c r="BW74" i="15" s="1"/>
  <c r="BW75" i="15" s="1"/>
  <c r="BW76" i="15" s="1"/>
  <c r="BW77" i="15" s="1"/>
  <c r="BW78" i="15" s="1"/>
  <c r="T162" i="15" s="1"/>
  <c r="T163" i="15" s="1"/>
  <c r="T165" i="15" s="1"/>
  <c r="T167" i="15" s="1"/>
  <c r="X63" i="13"/>
  <c r="X64" i="13" s="1"/>
  <c r="X65" i="13" s="1"/>
  <c r="X66" i="13" s="1"/>
  <c r="X67" i="13" s="1"/>
  <c r="X68" i="13" s="1"/>
  <c r="X69" i="13" s="1"/>
  <c r="X70" i="13" s="1"/>
  <c r="X71" i="13" s="1"/>
  <c r="X72" i="13" s="1"/>
  <c r="X73" i="13" s="1"/>
  <c r="X74" i="13" s="1"/>
  <c r="X75" i="13" s="1"/>
  <c r="X76" i="13" s="1"/>
  <c r="X77" i="13" s="1"/>
  <c r="X78" i="13" s="1"/>
  <c r="CX63" i="13"/>
  <c r="CX64" i="13" s="1"/>
  <c r="CX65" i="13" s="1"/>
  <c r="CX66" i="13" s="1"/>
  <c r="CX67" i="13" s="1"/>
  <c r="CX68" i="13" s="1"/>
  <c r="CX69" i="13" s="1"/>
  <c r="CX70" i="13" s="1"/>
  <c r="CX71" i="13" s="1"/>
  <c r="CX72" i="13" s="1"/>
  <c r="CX73" i="13" s="1"/>
  <c r="CX74" i="13" s="1"/>
  <c r="CX75" i="13" s="1"/>
  <c r="CX76" i="13" s="1"/>
  <c r="CX77" i="13" s="1"/>
  <c r="CX78" i="13" s="1"/>
  <c r="BX63" i="13"/>
  <c r="BX64" i="13" s="1"/>
  <c r="BX65" i="13" s="1"/>
  <c r="BX66" i="13" s="1"/>
  <c r="BX67" i="13" s="1"/>
  <c r="BX68" i="13" s="1"/>
  <c r="BX69" i="13" s="1"/>
  <c r="BX70" i="13" s="1"/>
  <c r="BX71" i="13" s="1"/>
  <c r="BX72" i="13" s="1"/>
  <c r="BX73" i="13" s="1"/>
  <c r="BX74" i="13" s="1"/>
  <c r="BX75" i="13" s="1"/>
  <c r="BX76" i="13" s="1"/>
  <c r="BX77" i="13" s="1"/>
  <c r="BX78" i="13" s="1"/>
  <c r="DX63" i="16"/>
  <c r="DX64" i="16" s="1"/>
  <c r="DX65" i="16" s="1"/>
  <c r="DX66" i="16" s="1"/>
  <c r="DX67" i="16" s="1"/>
  <c r="DX68" i="16" s="1"/>
  <c r="DX69" i="16" s="1"/>
  <c r="DX70" i="16" s="1"/>
  <c r="DX71" i="16" s="1"/>
  <c r="DX72" i="16" s="1"/>
  <c r="DX73" i="16" s="1"/>
  <c r="DX74" i="16" s="1"/>
  <c r="DX75" i="16" s="1"/>
  <c r="DX76" i="16" s="1"/>
  <c r="DX77" i="16" s="1"/>
  <c r="DX78" i="16" s="1"/>
  <c r="BX63" i="16"/>
  <c r="BX64" i="16" s="1"/>
  <c r="BX65" i="16" s="1"/>
  <c r="BX66" i="16" s="1"/>
  <c r="BX67" i="16" s="1"/>
  <c r="BX68" i="16" s="1"/>
  <c r="BX69" i="16" s="1"/>
  <c r="BX70" i="16" s="1"/>
  <c r="BX71" i="16" s="1"/>
  <c r="BX72" i="16" s="1"/>
  <c r="BX73" i="16" s="1"/>
  <c r="BX74" i="16" s="1"/>
  <c r="BX75" i="16" s="1"/>
  <c r="BX76" i="16" s="1"/>
  <c r="BX77" i="16" s="1"/>
  <c r="BX78" i="16" s="1"/>
  <c r="DW63" i="15"/>
  <c r="DW64" i="15" s="1"/>
  <c r="DW65" i="15" s="1"/>
  <c r="DW66" i="15" s="1"/>
  <c r="DW67" i="15" s="1"/>
  <c r="DW68" i="15" s="1"/>
  <c r="DW69" i="15" s="1"/>
  <c r="DW70" i="15" s="1"/>
  <c r="DW71" i="15" s="1"/>
  <c r="DW72" i="15" s="1"/>
  <c r="DW73" i="15" s="1"/>
  <c r="DW74" i="15" s="1"/>
  <c r="DW75" i="15" s="1"/>
  <c r="DW76" i="15" s="1"/>
  <c r="DW77" i="15" s="1"/>
  <c r="DW78" i="15" s="1"/>
  <c r="V162" i="15" s="1"/>
  <c r="V163" i="15" s="1"/>
  <c r="V165" i="15" s="1"/>
  <c r="V167" i="15" s="1"/>
  <c r="AW63" i="15"/>
  <c r="AW64" i="15" s="1"/>
  <c r="AW65" i="15" s="1"/>
  <c r="AW66" i="15" s="1"/>
  <c r="AW67" i="15" s="1"/>
  <c r="AW68" i="15" s="1"/>
  <c r="AW69" i="15" s="1"/>
  <c r="AW70" i="15" s="1"/>
  <c r="AW71" i="15" s="1"/>
  <c r="AW72" i="15" s="1"/>
  <c r="DX63" i="13"/>
  <c r="DX64" i="13" s="1"/>
  <c r="DX65" i="13" s="1"/>
  <c r="DX66" i="13" s="1"/>
  <c r="DX67" i="13" s="1"/>
  <c r="DX68" i="13" s="1"/>
  <c r="DX69" i="13" s="1"/>
  <c r="DX70" i="13" s="1"/>
  <c r="DX71" i="13" s="1"/>
  <c r="DX72" i="13" s="1"/>
  <c r="DX73" i="13" s="1"/>
  <c r="DX74" i="13" s="1"/>
  <c r="DX75" i="13" s="1"/>
  <c r="DX76" i="13" s="1"/>
  <c r="DX77" i="13" s="1"/>
  <c r="DX78" i="13" s="1"/>
  <c r="AX63" i="13"/>
  <c r="AX64" i="13" s="1"/>
  <c r="AX65" i="13" s="1"/>
  <c r="AX66" i="13" s="1"/>
  <c r="AX67" i="13" s="1"/>
  <c r="AX68" i="13" s="1"/>
  <c r="AX69" i="13" s="1"/>
  <c r="AX70" i="13" s="1"/>
  <c r="AX71" i="13" s="1"/>
  <c r="AX72" i="13" s="1"/>
  <c r="AX73" i="13" s="1"/>
  <c r="AX74" i="13" s="1"/>
  <c r="AX75" i="13" s="1"/>
  <c r="AX76" i="13" s="1"/>
  <c r="AX77" i="13" s="1"/>
  <c r="AX78" i="13" s="1"/>
  <c r="X63" i="15"/>
  <c r="X64" i="15" s="1"/>
  <c r="X65" i="15" s="1"/>
  <c r="X66" i="15" s="1"/>
  <c r="X67" i="15" s="1"/>
  <c r="X68" i="15" s="1"/>
  <c r="X69" i="15" s="1"/>
  <c r="X70" i="15" s="1"/>
  <c r="X71" i="15" s="1"/>
  <c r="X72" i="15" s="1"/>
  <c r="X73" i="15" s="1"/>
  <c r="X74" i="15" s="1"/>
  <c r="X75" i="15" s="1"/>
  <c r="X76" i="15" s="1"/>
  <c r="X77" i="15" s="1"/>
  <c r="X78" i="15" s="1"/>
  <c r="X63" i="16"/>
  <c r="X64" i="16" s="1"/>
  <c r="X65" i="16" s="1"/>
  <c r="X66" i="16" s="1"/>
  <c r="X67" i="16" s="1"/>
  <c r="X68" i="16" s="1"/>
  <c r="X69" i="16" s="1"/>
  <c r="X70" i="16" s="1"/>
  <c r="X71" i="16" s="1"/>
  <c r="X72" i="16" s="1"/>
  <c r="X73" i="16" s="1"/>
  <c r="X74" i="16" s="1"/>
  <c r="X75" i="16" s="1"/>
  <c r="X76" i="16" s="1"/>
  <c r="X77" i="16" s="1"/>
  <c r="X78" i="16" s="1"/>
  <c r="BX63" i="14"/>
  <c r="BX64" i="14" s="1"/>
  <c r="BX65" i="14" s="1"/>
  <c r="BX66" i="14" s="1"/>
  <c r="BX67" i="14" s="1"/>
  <c r="BX68" i="14" s="1"/>
  <c r="BX69" i="14" s="1"/>
  <c r="BX70" i="14" s="1"/>
  <c r="BX71" i="14" s="1"/>
  <c r="BX72" i="14" s="1"/>
  <c r="BX73" i="14" s="1"/>
  <c r="BX74" i="14" s="1"/>
  <c r="BX75" i="14" s="1"/>
  <c r="BX76" i="14" s="1"/>
  <c r="BX77" i="14" s="1"/>
  <c r="BX78" i="14" s="1"/>
  <c r="CX63" i="16"/>
  <c r="CX64" i="16" s="1"/>
  <c r="CX65" i="16" s="1"/>
  <c r="CX66" i="16" s="1"/>
  <c r="CX67" i="16" s="1"/>
  <c r="CX68" i="16" s="1"/>
  <c r="CX69" i="16" s="1"/>
  <c r="CX70" i="16" s="1"/>
  <c r="CX71" i="16" s="1"/>
  <c r="CX72" i="16" s="1"/>
  <c r="CX73" i="16" s="1"/>
  <c r="CX74" i="16" s="1"/>
  <c r="CX75" i="16" s="1"/>
  <c r="CX76" i="16" s="1"/>
  <c r="CX77" i="16" s="1"/>
  <c r="CX78" i="16" s="1"/>
  <c r="CX63" i="14"/>
  <c r="CX64" i="14" s="1"/>
  <c r="CX65" i="14" s="1"/>
  <c r="CX66" i="14" s="1"/>
  <c r="CX67" i="14" s="1"/>
  <c r="CX68" i="14" s="1"/>
  <c r="CX69" i="14" s="1"/>
  <c r="CX70" i="14" s="1"/>
  <c r="CX71" i="14" s="1"/>
  <c r="CX72" i="14" s="1"/>
  <c r="CX73" i="14" s="1"/>
  <c r="CX74" i="14" s="1"/>
  <c r="CX75" i="14" s="1"/>
  <c r="CX76" i="14" s="1"/>
  <c r="CX77" i="14" s="1"/>
  <c r="CX78" i="14" s="1"/>
  <c r="AJ166" i="15"/>
  <c r="AJ168" i="15" s="1"/>
  <c r="H33" i="12"/>
  <c r="AH166" i="13"/>
  <c r="AH168" i="13" s="1"/>
  <c r="G19" i="12"/>
  <c r="AI166" i="15"/>
  <c r="AI168" i="15" s="1"/>
  <c r="E33" i="12"/>
  <c r="AH166" i="14"/>
  <c r="AH168" i="14" s="1"/>
  <c r="G26" i="12"/>
  <c r="AJ166" i="13"/>
  <c r="AJ168" i="13" s="1"/>
  <c r="H19" i="12"/>
  <c r="AI166" i="14"/>
  <c r="AI168" i="14" s="1"/>
  <c r="E26" i="12"/>
  <c r="D19" i="12"/>
  <c r="AK166" i="13"/>
  <c r="AK168" i="13" s="1"/>
  <c r="E19" i="12"/>
  <c r="AI166" i="13"/>
  <c r="AI168" i="13" s="1"/>
  <c r="AJ166" i="14"/>
  <c r="AJ168" i="14" s="1"/>
  <c r="H26" i="12"/>
  <c r="AG166" i="15"/>
  <c r="AG168" i="15" s="1"/>
  <c r="F33" i="12"/>
  <c r="AG166" i="14"/>
  <c r="AG168" i="14" s="1"/>
  <c r="F26" i="12"/>
  <c r="D26" i="12"/>
  <c r="AK166" i="14"/>
  <c r="AK168" i="14" s="1"/>
  <c r="AH166" i="15"/>
  <c r="AH168" i="15" s="1"/>
  <c r="G33" i="12"/>
  <c r="F19" i="12"/>
  <c r="AG166" i="13"/>
  <c r="AG168" i="13" s="1"/>
  <c r="BO73" i="15"/>
  <c r="BO76" i="15"/>
  <c r="AX71" i="16"/>
  <c r="AX72" i="16" s="1"/>
  <c r="AX73" i="16" s="1"/>
  <c r="AX74" i="16" s="1"/>
  <c r="AX75" i="16" s="1"/>
  <c r="AX76" i="16" s="1"/>
  <c r="AX77" i="16" s="1"/>
  <c r="AX78" i="16" s="1"/>
  <c r="AN76" i="15"/>
  <c r="AO63" i="15"/>
  <c r="AN63" i="15"/>
  <c r="W73" i="14"/>
  <c r="W74" i="14" s="1"/>
  <c r="W75" i="14" s="1"/>
  <c r="W76" i="14" s="1"/>
  <c r="W77" i="14" s="1"/>
  <c r="W78" i="14" s="1"/>
  <c r="R162" i="14" s="1"/>
  <c r="R163" i="14" s="1"/>
  <c r="R165" i="14" s="1"/>
  <c r="R167" i="14" s="1"/>
  <c r="DO63" i="15"/>
  <c r="CO73" i="15"/>
  <c r="DN63" i="15"/>
  <c r="BW71" i="14"/>
  <c r="BW72" i="14" s="1"/>
  <c r="BW73" i="14" s="1"/>
  <c r="BW74" i="14" s="1"/>
  <c r="BW75" i="14" s="1"/>
  <c r="BW76" i="14" s="1"/>
  <c r="BW77" i="14" s="1"/>
  <c r="BW78" i="14" s="1"/>
  <c r="T162" i="14" s="1"/>
  <c r="T163" i="14" s="1"/>
  <c r="T165" i="14" s="1"/>
  <c r="T167" i="14" s="1"/>
  <c r="DO76" i="15"/>
  <c r="W71" i="13"/>
  <c r="W72" i="13" s="1"/>
  <c r="W73" i="13" s="1"/>
  <c r="W74" i="13" s="1"/>
  <c r="W75" i="13" s="1"/>
  <c r="W76" i="13" s="1"/>
  <c r="W77" i="13" s="1"/>
  <c r="W78" i="13" s="1"/>
  <c r="R162" i="13" s="1"/>
  <c r="R163" i="13" s="1"/>
  <c r="R165" i="13" s="1"/>
  <c r="R167" i="13" s="1"/>
  <c r="DN76" i="15"/>
  <c r="W71" i="16"/>
  <c r="W72" i="16" s="1"/>
  <c r="W73" i="16" s="1"/>
  <c r="W74" i="16" s="1"/>
  <c r="W75" i="16" s="1"/>
  <c r="W76" i="16" s="1"/>
  <c r="W77" i="16" s="1"/>
  <c r="W78" i="16" s="1"/>
  <c r="R162" i="16" s="1"/>
  <c r="R163" i="16" s="1"/>
  <c r="AO76" i="15"/>
  <c r="DO71" i="15"/>
  <c r="AO73" i="15"/>
  <c r="DW71" i="16"/>
  <c r="DW72" i="16" s="1"/>
  <c r="DW73" i="16" s="1"/>
  <c r="DW74" i="16" s="1"/>
  <c r="DW75" i="16" s="1"/>
  <c r="DW76" i="16" s="1"/>
  <c r="DW77" i="16" s="1"/>
  <c r="DW78" i="16" s="1"/>
  <c r="V162" i="16" s="1"/>
  <c r="V163" i="16" s="1"/>
  <c r="DN71" i="15"/>
  <c r="CO71" i="15"/>
  <c r="CW71" i="15"/>
  <c r="CW72" i="15" s="1"/>
  <c r="CW73" i="15" s="1"/>
  <c r="CW74" i="15" s="1"/>
  <c r="CW75" i="15" s="1"/>
  <c r="CW76" i="15" s="1"/>
  <c r="CW77" i="15" s="1"/>
  <c r="CW78" i="15" s="1"/>
  <c r="U162" i="15" s="1"/>
  <c r="U163" i="15" s="1"/>
  <c r="U165" i="15" s="1"/>
  <c r="U167" i="15" s="1"/>
  <c r="DW71" i="14"/>
  <c r="DW72" i="14" s="1"/>
  <c r="DW73" i="14" s="1"/>
  <c r="DW74" i="14" s="1"/>
  <c r="DW75" i="14" s="1"/>
  <c r="DW76" i="14" s="1"/>
  <c r="DW77" i="14" s="1"/>
  <c r="DW78" i="14" s="1"/>
  <c r="V162" i="14" s="1"/>
  <c r="V163" i="14" s="1"/>
  <c r="V165" i="14" s="1"/>
  <c r="V167" i="14" s="1"/>
  <c r="AO71" i="15"/>
  <c r="CN71" i="15"/>
  <c r="AN71" i="15"/>
  <c r="DO73" i="15"/>
  <c r="DN73" i="15"/>
  <c r="BO78" i="15"/>
  <c r="W73" i="15"/>
  <c r="W74" i="15" s="1"/>
  <c r="W75" i="15" s="1"/>
  <c r="W76" i="15" s="1"/>
  <c r="W77" i="15" s="1"/>
  <c r="W78" i="15" s="1"/>
  <c r="R162" i="15" s="1"/>
  <c r="R163" i="15" s="1"/>
  <c r="R165" i="15" s="1"/>
  <c r="R167" i="15" s="1"/>
  <c r="CN73" i="15"/>
  <c r="DN78" i="15"/>
  <c r="BW71" i="16"/>
  <c r="BW72" i="16" s="1"/>
  <c r="BW73" i="16" s="1"/>
  <c r="BW74" i="16" s="1"/>
  <c r="BW75" i="16" s="1"/>
  <c r="BW76" i="16" s="1"/>
  <c r="BW77" i="16" s="1"/>
  <c r="BW78" i="16" s="1"/>
  <c r="T162" i="16" s="1"/>
  <c r="T163" i="16" s="1"/>
  <c r="CW73" i="14"/>
  <c r="CW74" i="14" s="1"/>
  <c r="CW75" i="14" s="1"/>
  <c r="CW76" i="14" s="1"/>
  <c r="CW77" i="14" s="1"/>
  <c r="CW78" i="14" s="1"/>
  <c r="U162" i="14" s="1"/>
  <c r="U163" i="14" s="1"/>
  <c r="U165" i="14" s="1"/>
  <c r="U167" i="14" s="1"/>
  <c r="AW73" i="13"/>
  <c r="AW74" i="13" s="1"/>
  <c r="AW75" i="13" s="1"/>
  <c r="AW76" i="13" s="1"/>
  <c r="AW77" i="13" s="1"/>
  <c r="AW78" i="13" s="1"/>
  <c r="S162" i="13" s="1"/>
  <c r="S163" i="13" s="1"/>
  <c r="S165" i="13" s="1"/>
  <c r="S167" i="13" s="1"/>
  <c r="AW78" i="14"/>
  <c r="S162" i="14" s="1"/>
  <c r="S163" i="14" s="1"/>
  <c r="S165" i="14" s="1"/>
  <c r="S167" i="14" s="1"/>
  <c r="CO78" i="15"/>
  <c r="CN78" i="15"/>
  <c r="DO78" i="15"/>
  <c r="X42" i="2"/>
  <c r="T20" i="8" s="1"/>
  <c r="R42" i="2"/>
  <c r="R41" i="2" s="1"/>
  <c r="AO78" i="15"/>
  <c r="AF22" i="2"/>
  <c r="AF42" i="2" s="1"/>
  <c r="CN89" i="14"/>
  <c r="CN90" i="14" s="1"/>
  <c r="CN91" i="14" s="1"/>
  <c r="CN92" i="14" s="1"/>
  <c r="CN93" i="14" s="1"/>
  <c r="CN94" i="14" s="1"/>
  <c r="CN95" i="14" s="1"/>
  <c r="CN96" i="14" s="1"/>
  <c r="CN97" i="14" s="1"/>
  <c r="CN98" i="14" s="1"/>
  <c r="CN99" i="14" s="1"/>
  <c r="CN100" i="14" s="1"/>
  <c r="CN101" i="14" s="1"/>
  <c r="CN102" i="14" s="1"/>
  <c r="CN103" i="14" s="1"/>
  <c r="Z161" i="14" s="1"/>
  <c r="Q20" i="8"/>
  <c r="AN78" i="15"/>
  <c r="DL114" i="13"/>
  <c r="DL115" i="13" s="1"/>
  <c r="DL116" i="13" s="1"/>
  <c r="DL117" i="13" s="1"/>
  <c r="DL118" i="13" s="1"/>
  <c r="DL119" i="13" s="1"/>
  <c r="DL120" i="13" s="1"/>
  <c r="DL121" i="13" s="1"/>
  <c r="DL122" i="13" s="1"/>
  <c r="DL123" i="13" s="1"/>
  <c r="DL124" i="13" s="1"/>
  <c r="DL125" i="13" s="1"/>
  <c r="DL126" i="13" s="1"/>
  <c r="DL127" i="13" s="1"/>
  <c r="DL128" i="13" s="1"/>
  <c r="AF161" i="13" s="1"/>
  <c r="CN114" i="14"/>
  <c r="CN115" i="14" s="1"/>
  <c r="CN116" i="14" s="1"/>
  <c r="CN117" i="14" s="1"/>
  <c r="CN118" i="14" s="1"/>
  <c r="CN119" i="14" s="1"/>
  <c r="CN120" i="14" s="1"/>
  <c r="CN121" i="14" s="1"/>
  <c r="CN122" i="14" s="1"/>
  <c r="CN123" i="14" s="1"/>
  <c r="CN124" i="14" s="1"/>
  <c r="CN125" i="14" s="1"/>
  <c r="CN126" i="14" s="1"/>
  <c r="CN127" i="14" s="1"/>
  <c r="CN128" i="14" s="1"/>
  <c r="AE161" i="14" s="1"/>
  <c r="AR114" i="13"/>
  <c r="AR115" i="13" s="1"/>
  <c r="AR116" i="13" s="1"/>
  <c r="AR117" i="13" s="1"/>
  <c r="AR118" i="13" s="1"/>
  <c r="AR119" i="13" s="1"/>
  <c r="AR120" i="13" s="1"/>
  <c r="AR121" i="13" s="1"/>
  <c r="AR122" i="13" s="1"/>
  <c r="AR123" i="13" s="1"/>
  <c r="AR124" i="13" s="1"/>
  <c r="AR125" i="13" s="1"/>
  <c r="AR126" i="13" s="1"/>
  <c r="AR127" i="13" s="1"/>
  <c r="AR128" i="13" s="1"/>
  <c r="AC161" i="13" s="1"/>
  <c r="T114" i="16"/>
  <c r="T115" i="16" s="1"/>
  <c r="T116" i="16" s="1"/>
  <c r="T117" i="16" s="1"/>
  <c r="T118" i="16" s="1"/>
  <c r="T119" i="16" s="1"/>
  <c r="T120" i="16" s="1"/>
  <c r="T121" i="16" s="1"/>
  <c r="T122" i="16" s="1"/>
  <c r="T123" i="16" s="1"/>
  <c r="T124" i="16" s="1"/>
  <c r="T125" i="16" s="1"/>
  <c r="T126" i="16" s="1"/>
  <c r="T127" i="16" s="1"/>
  <c r="T128" i="16" s="1"/>
  <c r="AB161" i="16" s="1"/>
  <c r="AR114" i="15"/>
  <c r="AR115" i="15" s="1"/>
  <c r="AR116" i="15" s="1"/>
  <c r="AR117" i="15" s="1"/>
  <c r="AR118" i="15" s="1"/>
  <c r="AR119" i="15" s="1"/>
  <c r="AR120" i="15" s="1"/>
  <c r="AR121" i="15" s="1"/>
  <c r="AR122" i="15" s="1"/>
  <c r="AR123" i="15" s="1"/>
  <c r="AR124" i="15" s="1"/>
  <c r="AR125" i="15" s="1"/>
  <c r="AR126" i="15" s="1"/>
  <c r="AR127" i="15" s="1"/>
  <c r="AR128" i="15" s="1"/>
  <c r="AC161" i="15" s="1"/>
  <c r="CN89" i="16"/>
  <c r="CN90" i="16" s="1"/>
  <c r="CN91" i="16" s="1"/>
  <c r="CN92" i="16" s="1"/>
  <c r="CN93" i="16" s="1"/>
  <c r="CN94" i="16" s="1"/>
  <c r="CN95" i="16" s="1"/>
  <c r="CN96" i="16" s="1"/>
  <c r="CN97" i="16" s="1"/>
  <c r="CN98" i="16" s="1"/>
  <c r="CN99" i="16" s="1"/>
  <c r="CN100" i="16" s="1"/>
  <c r="CN101" i="16" s="1"/>
  <c r="CN102" i="16" s="1"/>
  <c r="CN103" i="16" s="1"/>
  <c r="Z161" i="16" s="1"/>
  <c r="T114" i="15"/>
  <c r="T115" i="15" s="1"/>
  <c r="T116" i="15" s="1"/>
  <c r="T117" i="15" s="1"/>
  <c r="T118" i="15" s="1"/>
  <c r="T119" i="15" s="1"/>
  <c r="T120" i="15" s="1"/>
  <c r="T121" i="15" s="1"/>
  <c r="T122" i="15" s="1"/>
  <c r="T123" i="15" s="1"/>
  <c r="T124" i="15" s="1"/>
  <c r="T125" i="15" s="1"/>
  <c r="T126" i="15" s="1"/>
  <c r="T127" i="15" s="1"/>
  <c r="T128" i="15" s="1"/>
  <c r="AB161" i="15" s="1"/>
  <c r="DL89" i="16"/>
  <c r="DL90" i="16" s="1"/>
  <c r="DL91" i="16" s="1"/>
  <c r="DL92" i="16" s="1"/>
  <c r="DL93" i="16" s="1"/>
  <c r="DL94" i="16" s="1"/>
  <c r="DL95" i="16" s="1"/>
  <c r="DL96" i="16" s="1"/>
  <c r="DL97" i="16" s="1"/>
  <c r="DL98" i="16" s="1"/>
  <c r="DL99" i="16" s="1"/>
  <c r="DL100" i="16" s="1"/>
  <c r="DL101" i="16" s="1"/>
  <c r="DL102" i="16" s="1"/>
  <c r="DL103" i="16" s="1"/>
  <c r="AA161" i="16" s="1"/>
  <c r="T89" i="16"/>
  <c r="T90" i="16" s="1"/>
  <c r="T91" i="16" s="1"/>
  <c r="T92" i="16" s="1"/>
  <c r="T93" i="16" s="1"/>
  <c r="T94" i="16" s="1"/>
  <c r="T95" i="16" s="1"/>
  <c r="T96" i="16" s="1"/>
  <c r="T97" i="16" s="1"/>
  <c r="T98" i="16" s="1"/>
  <c r="T99" i="16" s="1"/>
  <c r="T100" i="16" s="1"/>
  <c r="T101" i="16" s="1"/>
  <c r="T102" i="16" s="1"/>
  <c r="T103" i="16" s="1"/>
  <c r="W161" i="16" s="1"/>
  <c r="AR89" i="15"/>
  <c r="AR90" i="15" s="1"/>
  <c r="AR91" i="15" s="1"/>
  <c r="AR92" i="15" s="1"/>
  <c r="AR93" i="15" s="1"/>
  <c r="AR94" i="15" s="1"/>
  <c r="AR95" i="15" s="1"/>
  <c r="AR96" i="15" s="1"/>
  <c r="AR97" i="15" s="1"/>
  <c r="AR98" i="15" s="1"/>
  <c r="AR99" i="15" s="1"/>
  <c r="AR100" i="15" s="1"/>
  <c r="AR101" i="15" s="1"/>
  <c r="AR102" i="15" s="1"/>
  <c r="AR103" i="15" s="1"/>
  <c r="X161" i="15" s="1"/>
  <c r="BP89" i="14"/>
  <c r="BP90" i="14" s="1"/>
  <c r="BP91" i="14" s="1"/>
  <c r="BP92" i="14" s="1"/>
  <c r="BP93" i="14" s="1"/>
  <c r="BP94" i="14" s="1"/>
  <c r="BP95" i="14" s="1"/>
  <c r="BP96" i="14" s="1"/>
  <c r="BP97" i="14" s="1"/>
  <c r="BP98" i="14" s="1"/>
  <c r="BP99" i="14" s="1"/>
  <c r="BP100" i="14" s="1"/>
  <c r="BP101" i="14" s="1"/>
  <c r="BP102" i="14" s="1"/>
  <c r="BP103" i="14" s="1"/>
  <c r="Y161" i="14" s="1"/>
  <c r="CN89" i="13"/>
  <c r="CN90" i="13" s="1"/>
  <c r="CN91" i="13" s="1"/>
  <c r="CN92" i="13" s="1"/>
  <c r="CN93" i="13" s="1"/>
  <c r="CN94" i="13" s="1"/>
  <c r="CN95" i="13" s="1"/>
  <c r="CN96" i="13" s="1"/>
  <c r="CN97" i="13" s="1"/>
  <c r="CN98" i="13" s="1"/>
  <c r="CN99" i="13" s="1"/>
  <c r="CN100" i="13" s="1"/>
  <c r="CN101" i="13" s="1"/>
  <c r="CN102" i="13" s="1"/>
  <c r="CN103" i="13" s="1"/>
  <c r="Z161" i="13" s="1"/>
  <c r="T89" i="14"/>
  <c r="T90" i="14" s="1"/>
  <c r="T91" i="14" s="1"/>
  <c r="T92" i="14" s="1"/>
  <c r="T93" i="14" s="1"/>
  <c r="T94" i="14" s="1"/>
  <c r="T95" i="14" s="1"/>
  <c r="T96" i="14" s="1"/>
  <c r="T97" i="14" s="1"/>
  <c r="T98" i="14" s="1"/>
  <c r="T99" i="14" s="1"/>
  <c r="T100" i="14" s="1"/>
  <c r="T101" i="14" s="1"/>
  <c r="T102" i="14" s="1"/>
  <c r="T103" i="14" s="1"/>
  <c r="W161" i="14" s="1"/>
  <c r="BP114" i="14"/>
  <c r="BP115" i="14" s="1"/>
  <c r="BP116" i="14" s="1"/>
  <c r="BP117" i="14" s="1"/>
  <c r="BP118" i="14" s="1"/>
  <c r="BP119" i="14" s="1"/>
  <c r="BP120" i="14" s="1"/>
  <c r="BP121" i="14" s="1"/>
  <c r="BP122" i="14" s="1"/>
  <c r="BP123" i="14" s="1"/>
  <c r="BP124" i="14" s="1"/>
  <c r="BP125" i="14" s="1"/>
  <c r="BP126" i="14" s="1"/>
  <c r="BP127" i="14" s="1"/>
  <c r="BP128" i="14" s="1"/>
  <c r="AD161" i="14" s="1"/>
  <c r="T114" i="13"/>
  <c r="T115" i="13" s="1"/>
  <c r="T116" i="13" s="1"/>
  <c r="T117" i="13" s="1"/>
  <c r="T118" i="13" s="1"/>
  <c r="T119" i="13" s="1"/>
  <c r="T120" i="13" s="1"/>
  <c r="T121" i="13" s="1"/>
  <c r="T122" i="13" s="1"/>
  <c r="T123" i="13" s="1"/>
  <c r="T124" i="13" s="1"/>
  <c r="T125" i="13" s="1"/>
  <c r="T126" i="13" s="1"/>
  <c r="T127" i="13" s="1"/>
  <c r="T128" i="13" s="1"/>
  <c r="AB161" i="13" s="1"/>
  <c r="AR90" i="16"/>
  <c r="AR91" i="16" s="1"/>
  <c r="AR92" i="16" s="1"/>
  <c r="AR93" i="16" s="1"/>
  <c r="AR94" i="16" s="1"/>
  <c r="AR95" i="16" s="1"/>
  <c r="AR96" i="16" s="1"/>
  <c r="AR97" i="16" s="1"/>
  <c r="AR98" i="16" s="1"/>
  <c r="AR99" i="16" s="1"/>
  <c r="AR100" i="16" s="1"/>
  <c r="AR101" i="16" s="1"/>
  <c r="AR102" i="16" s="1"/>
  <c r="AR103" i="16" s="1"/>
  <c r="X161" i="16" s="1"/>
  <c r="BP114" i="15"/>
  <c r="BP115" i="15" s="1"/>
  <c r="BP116" i="15" s="1"/>
  <c r="BP117" i="15" s="1"/>
  <c r="BP118" i="15" s="1"/>
  <c r="BP119" i="15" s="1"/>
  <c r="BP120" i="15" s="1"/>
  <c r="BP121" i="15" s="1"/>
  <c r="BP122" i="15" s="1"/>
  <c r="BP123" i="15" s="1"/>
  <c r="BP124" i="15" s="1"/>
  <c r="BP125" i="15" s="1"/>
  <c r="BP126" i="15" s="1"/>
  <c r="BP127" i="15" s="1"/>
  <c r="BP128" i="15" s="1"/>
  <c r="AD161" i="15" s="1"/>
  <c r="D32" i="22"/>
  <c r="AF88" i="16"/>
  <c r="AI88" i="16" s="1"/>
  <c r="H88" i="15"/>
  <c r="K88" i="15" s="1"/>
  <c r="BD88" i="14"/>
  <c r="BG88" i="14" s="1"/>
  <c r="CB88" i="13"/>
  <c r="CE88" i="13" s="1"/>
  <c r="CB88" i="16"/>
  <c r="CE88" i="16" s="1"/>
  <c r="BD88" i="15"/>
  <c r="BG88" i="15" s="1"/>
  <c r="CZ88" i="14"/>
  <c r="DC88" i="14" s="1"/>
  <c r="H88" i="14"/>
  <c r="K88" i="14" s="1"/>
  <c r="AF88" i="13"/>
  <c r="AI88" i="13" s="1"/>
  <c r="CZ88" i="16"/>
  <c r="DC88" i="16" s="1"/>
  <c r="CZ88" i="15"/>
  <c r="DC88" i="15" s="1"/>
  <c r="BD88" i="13"/>
  <c r="BG88" i="13" s="1"/>
  <c r="H88" i="16"/>
  <c r="K88" i="16" s="1"/>
  <c r="AF88" i="14"/>
  <c r="AI88" i="14" s="1"/>
  <c r="BD88" i="16"/>
  <c r="BG88" i="16" s="1"/>
  <c r="H88" i="13"/>
  <c r="K88" i="13" s="1"/>
  <c r="CB88" i="14"/>
  <c r="CE88" i="14" s="1"/>
  <c r="CZ88" i="13"/>
  <c r="DC88" i="13" s="1"/>
  <c r="AF88" i="15"/>
  <c r="DL89" i="15"/>
  <c r="DL90" i="15" s="1"/>
  <c r="DL91" i="15" s="1"/>
  <c r="DL92" i="15" s="1"/>
  <c r="DL93" i="15" s="1"/>
  <c r="DL94" i="15" s="1"/>
  <c r="DL95" i="15" s="1"/>
  <c r="DL96" i="15" s="1"/>
  <c r="DL97" i="15" s="1"/>
  <c r="DL98" i="15" s="1"/>
  <c r="DL99" i="15" s="1"/>
  <c r="DL100" i="15" s="1"/>
  <c r="DL101" i="15" s="1"/>
  <c r="DL102" i="15" s="1"/>
  <c r="DL103" i="15" s="1"/>
  <c r="AA161" i="15" s="1"/>
  <c r="T89" i="15"/>
  <c r="T90" i="15" s="1"/>
  <c r="T91" i="15" s="1"/>
  <c r="T92" i="15" s="1"/>
  <c r="T93" i="15" s="1"/>
  <c r="T94" i="15" s="1"/>
  <c r="T95" i="15" s="1"/>
  <c r="T96" i="15" s="1"/>
  <c r="T97" i="15" s="1"/>
  <c r="T98" i="15" s="1"/>
  <c r="T99" i="15" s="1"/>
  <c r="T100" i="15" s="1"/>
  <c r="T101" i="15" s="1"/>
  <c r="T102" i="15" s="1"/>
  <c r="T103" i="15" s="1"/>
  <c r="W161" i="15" s="1"/>
  <c r="AR89" i="14"/>
  <c r="AR90" i="14" s="1"/>
  <c r="AR91" i="14" s="1"/>
  <c r="AR92" i="14" s="1"/>
  <c r="AR93" i="14" s="1"/>
  <c r="AR94" i="14" s="1"/>
  <c r="AR95" i="14" s="1"/>
  <c r="AR96" i="14" s="1"/>
  <c r="AR97" i="14" s="1"/>
  <c r="AR98" i="14" s="1"/>
  <c r="AR99" i="14" s="1"/>
  <c r="AR100" i="14" s="1"/>
  <c r="AR101" i="14" s="1"/>
  <c r="AR102" i="14" s="1"/>
  <c r="AR103" i="14" s="1"/>
  <c r="X161" i="14" s="1"/>
  <c r="DL90" i="13"/>
  <c r="DL91" i="13" s="1"/>
  <c r="DL92" i="13" s="1"/>
  <c r="DL93" i="13" s="1"/>
  <c r="DL94" i="13" s="1"/>
  <c r="DL95" i="13" s="1"/>
  <c r="DL96" i="13" s="1"/>
  <c r="DL97" i="13" s="1"/>
  <c r="DL98" i="13" s="1"/>
  <c r="DL99" i="13" s="1"/>
  <c r="DL100" i="13" s="1"/>
  <c r="DL101" i="13" s="1"/>
  <c r="DL102" i="13" s="1"/>
  <c r="DL103" i="13" s="1"/>
  <c r="AA161" i="13" s="1"/>
  <c r="BP89" i="13"/>
  <c r="BP90" i="13" s="1"/>
  <c r="BP91" i="13" s="1"/>
  <c r="BP92" i="13" s="1"/>
  <c r="BP93" i="13" s="1"/>
  <c r="BP94" i="13" s="1"/>
  <c r="BP95" i="13" s="1"/>
  <c r="BP96" i="13" s="1"/>
  <c r="BP97" i="13" s="1"/>
  <c r="BP98" i="13" s="1"/>
  <c r="BP99" i="13" s="1"/>
  <c r="BP100" i="13" s="1"/>
  <c r="BP101" i="13" s="1"/>
  <c r="BP102" i="13" s="1"/>
  <c r="BP103" i="13" s="1"/>
  <c r="Y161" i="13" s="1"/>
  <c r="T89" i="13"/>
  <c r="T90" i="13" s="1"/>
  <c r="T91" i="13" s="1"/>
  <c r="T92" i="13" s="1"/>
  <c r="T93" i="13" s="1"/>
  <c r="T94" i="13" s="1"/>
  <c r="T95" i="13" s="1"/>
  <c r="T96" i="13" s="1"/>
  <c r="T97" i="13" s="1"/>
  <c r="T98" i="13" s="1"/>
  <c r="T99" i="13" s="1"/>
  <c r="T100" i="13" s="1"/>
  <c r="T101" i="13" s="1"/>
  <c r="T102" i="13" s="1"/>
  <c r="T103" i="13" s="1"/>
  <c r="W161" i="13" s="1"/>
  <c r="T114" i="14"/>
  <c r="T115" i="14" s="1"/>
  <c r="T116" i="14" s="1"/>
  <c r="T117" i="14" s="1"/>
  <c r="T118" i="14" s="1"/>
  <c r="T119" i="14" s="1"/>
  <c r="T120" i="14" s="1"/>
  <c r="T121" i="14" s="1"/>
  <c r="T122" i="14" s="1"/>
  <c r="T123" i="14" s="1"/>
  <c r="T124" i="14" s="1"/>
  <c r="T125" i="14" s="1"/>
  <c r="T126" i="14" s="1"/>
  <c r="T127" i="14" s="1"/>
  <c r="T128" i="14" s="1"/>
  <c r="AB161" i="14" s="1"/>
  <c r="DL114" i="16"/>
  <c r="DL115" i="16" s="1"/>
  <c r="DL116" i="16" s="1"/>
  <c r="DL117" i="16" s="1"/>
  <c r="DL118" i="16" s="1"/>
  <c r="DL119" i="16" s="1"/>
  <c r="DL120" i="16" s="1"/>
  <c r="DL121" i="16" s="1"/>
  <c r="DL122" i="16" s="1"/>
  <c r="DL123" i="16" s="1"/>
  <c r="DL124" i="16" s="1"/>
  <c r="DL125" i="16" s="1"/>
  <c r="DL126" i="16" s="1"/>
  <c r="DL127" i="16" s="1"/>
  <c r="DL128" i="16" s="1"/>
  <c r="AF161" i="16" s="1"/>
  <c r="CN114" i="13"/>
  <c r="CN115" i="13" s="1"/>
  <c r="CN116" i="13" s="1"/>
  <c r="CN117" i="13" s="1"/>
  <c r="CN118" i="13" s="1"/>
  <c r="CN119" i="13" s="1"/>
  <c r="CN120" i="13" s="1"/>
  <c r="CN121" i="13" s="1"/>
  <c r="CN122" i="13" s="1"/>
  <c r="CN123" i="13" s="1"/>
  <c r="CN124" i="13" s="1"/>
  <c r="CN125" i="13" s="1"/>
  <c r="CN126" i="13" s="1"/>
  <c r="CN127" i="13" s="1"/>
  <c r="CN128" i="13" s="1"/>
  <c r="AE161" i="13" s="1"/>
  <c r="DL114" i="15"/>
  <c r="DL115" i="15" s="1"/>
  <c r="DL116" i="15" s="1"/>
  <c r="DL117" i="15" s="1"/>
  <c r="DL118" i="15" s="1"/>
  <c r="DL119" i="15" s="1"/>
  <c r="DL120" i="15" s="1"/>
  <c r="DL121" i="15" s="1"/>
  <c r="DL122" i="15" s="1"/>
  <c r="DL123" i="15" s="1"/>
  <c r="DL124" i="15" s="1"/>
  <c r="DL125" i="15" s="1"/>
  <c r="DL126" i="15" s="1"/>
  <c r="DL127" i="15" s="1"/>
  <c r="DL128" i="15" s="1"/>
  <c r="AF161" i="15" s="1"/>
  <c r="CN116" i="16"/>
  <c r="CN117" i="16" s="1"/>
  <c r="CN118" i="16" s="1"/>
  <c r="CN119" i="16" s="1"/>
  <c r="CN120" i="16" s="1"/>
  <c r="CN121" i="16" s="1"/>
  <c r="CN122" i="16" s="1"/>
  <c r="CN123" i="16" s="1"/>
  <c r="CN124" i="16" s="1"/>
  <c r="CN125" i="16" s="1"/>
  <c r="CN126" i="16" s="1"/>
  <c r="CN127" i="16" s="1"/>
  <c r="CN128" i="16" s="1"/>
  <c r="AE161" i="16" s="1"/>
  <c r="E32" i="22"/>
  <c r="CZ113" i="16"/>
  <c r="DC113" i="16" s="1"/>
  <c r="H113" i="16"/>
  <c r="K113" i="16" s="1"/>
  <c r="AF113" i="15"/>
  <c r="BD113" i="14"/>
  <c r="BG113" i="14" s="1"/>
  <c r="CB113" i="13"/>
  <c r="CE113" i="13" s="1"/>
  <c r="BD113" i="16"/>
  <c r="BG113" i="16" s="1"/>
  <c r="CB113" i="15"/>
  <c r="CZ113" i="14"/>
  <c r="DC113" i="14" s="1"/>
  <c r="H113" i="14"/>
  <c r="K113" i="14" s="1"/>
  <c r="AF113" i="13"/>
  <c r="AI113" i="13" s="1"/>
  <c r="CZ113" i="15"/>
  <c r="AF113" i="14"/>
  <c r="AI113" i="14" s="1"/>
  <c r="CB113" i="16"/>
  <c r="CE113" i="16" s="1"/>
  <c r="H113" i="15"/>
  <c r="K113" i="15" s="1"/>
  <c r="BD113" i="13"/>
  <c r="BG113" i="13" s="1"/>
  <c r="BD113" i="15"/>
  <c r="CZ113" i="13"/>
  <c r="DC113" i="13" s="1"/>
  <c r="CB113" i="14"/>
  <c r="CE113" i="14" s="1"/>
  <c r="AF113" i="16"/>
  <c r="AI113" i="16" s="1"/>
  <c r="H113" i="13"/>
  <c r="K113" i="13" s="1"/>
  <c r="BP89" i="16"/>
  <c r="BP90" i="16" s="1"/>
  <c r="BP91" i="16" s="1"/>
  <c r="BP92" i="16" s="1"/>
  <c r="BP93" i="16" s="1"/>
  <c r="BP94" i="16" s="1"/>
  <c r="BP95" i="16" s="1"/>
  <c r="BP96" i="16" s="1"/>
  <c r="BP97" i="16" s="1"/>
  <c r="BP98" i="16" s="1"/>
  <c r="BP99" i="16" s="1"/>
  <c r="BP100" i="16" s="1"/>
  <c r="BP101" i="16" s="1"/>
  <c r="BP102" i="16" s="1"/>
  <c r="BP103" i="16" s="1"/>
  <c r="Y161" i="16" s="1"/>
  <c r="CN114" i="15"/>
  <c r="CN115" i="15" s="1"/>
  <c r="CN116" i="15" s="1"/>
  <c r="CN117" i="15" s="1"/>
  <c r="CN118" i="15" s="1"/>
  <c r="CN119" i="15" s="1"/>
  <c r="CN120" i="15" s="1"/>
  <c r="CN121" i="15" s="1"/>
  <c r="CN122" i="15" s="1"/>
  <c r="CN123" i="15" s="1"/>
  <c r="CN124" i="15" s="1"/>
  <c r="CN125" i="15" s="1"/>
  <c r="CN126" i="15" s="1"/>
  <c r="CN127" i="15" s="1"/>
  <c r="CN128" i="15" s="1"/>
  <c r="AE161" i="15" s="1"/>
  <c r="AR115" i="16"/>
  <c r="AR116" i="16" s="1"/>
  <c r="AR117" i="16" s="1"/>
  <c r="AR118" i="16" s="1"/>
  <c r="AR119" i="16" s="1"/>
  <c r="AR120" i="16" s="1"/>
  <c r="AR121" i="16" s="1"/>
  <c r="AR122" i="16" s="1"/>
  <c r="AR123" i="16" s="1"/>
  <c r="AR124" i="16" s="1"/>
  <c r="AR125" i="16" s="1"/>
  <c r="AR126" i="16" s="1"/>
  <c r="AR127" i="16" s="1"/>
  <c r="AR128" i="16" s="1"/>
  <c r="AC161" i="16" s="1"/>
  <c r="CN89" i="15"/>
  <c r="CN90" i="15" s="1"/>
  <c r="CN91" i="15" s="1"/>
  <c r="CN92" i="15" s="1"/>
  <c r="CN93" i="15" s="1"/>
  <c r="CN94" i="15" s="1"/>
  <c r="CN95" i="15" s="1"/>
  <c r="CN96" i="15" s="1"/>
  <c r="CN97" i="15" s="1"/>
  <c r="CN98" i="15" s="1"/>
  <c r="CN99" i="15" s="1"/>
  <c r="CN100" i="15" s="1"/>
  <c r="CN101" i="15" s="1"/>
  <c r="CN102" i="15" s="1"/>
  <c r="CN103" i="15" s="1"/>
  <c r="Z161" i="15" s="1"/>
  <c r="DL89" i="14"/>
  <c r="DL90" i="14" s="1"/>
  <c r="DL91" i="14" s="1"/>
  <c r="DL92" i="14" s="1"/>
  <c r="DL93" i="14" s="1"/>
  <c r="DL94" i="14" s="1"/>
  <c r="DL95" i="14" s="1"/>
  <c r="DL96" i="14" s="1"/>
  <c r="DL97" i="14" s="1"/>
  <c r="DL98" i="14" s="1"/>
  <c r="DL99" i="14" s="1"/>
  <c r="DL100" i="14" s="1"/>
  <c r="DL101" i="14" s="1"/>
  <c r="DL102" i="14" s="1"/>
  <c r="DL103" i="14" s="1"/>
  <c r="AA161" i="14" s="1"/>
  <c r="AR89" i="13"/>
  <c r="AR90" i="13" s="1"/>
  <c r="AR91" i="13" s="1"/>
  <c r="AR92" i="13" s="1"/>
  <c r="AR93" i="13" s="1"/>
  <c r="AR94" i="13" s="1"/>
  <c r="AR95" i="13" s="1"/>
  <c r="AR96" i="13" s="1"/>
  <c r="AR97" i="13" s="1"/>
  <c r="AR98" i="13" s="1"/>
  <c r="AR99" i="13" s="1"/>
  <c r="AR100" i="13" s="1"/>
  <c r="AR101" i="13" s="1"/>
  <c r="AR102" i="13" s="1"/>
  <c r="AR103" i="13" s="1"/>
  <c r="X161" i="13" s="1"/>
  <c r="BP114" i="16"/>
  <c r="BP115" i="16" s="1"/>
  <c r="BP116" i="16" s="1"/>
  <c r="BP117" i="16" s="1"/>
  <c r="BP118" i="16" s="1"/>
  <c r="BP119" i="16" s="1"/>
  <c r="BP120" i="16" s="1"/>
  <c r="BP121" i="16" s="1"/>
  <c r="BP122" i="16" s="1"/>
  <c r="BP123" i="16" s="1"/>
  <c r="BP124" i="16" s="1"/>
  <c r="BP125" i="16" s="1"/>
  <c r="BP126" i="16" s="1"/>
  <c r="BP127" i="16" s="1"/>
  <c r="BP128" i="16" s="1"/>
  <c r="AD161" i="16" s="1"/>
  <c r="DL114" i="14"/>
  <c r="DL115" i="14" s="1"/>
  <c r="DL116" i="14" s="1"/>
  <c r="DL117" i="14" s="1"/>
  <c r="DL118" i="14" s="1"/>
  <c r="DL119" i="14" s="1"/>
  <c r="DL120" i="14" s="1"/>
  <c r="DL121" i="14" s="1"/>
  <c r="DL122" i="14" s="1"/>
  <c r="DL123" i="14" s="1"/>
  <c r="DL124" i="14" s="1"/>
  <c r="DL125" i="14" s="1"/>
  <c r="DL126" i="14" s="1"/>
  <c r="DL127" i="14" s="1"/>
  <c r="DL128" i="14" s="1"/>
  <c r="AF161" i="14" s="1"/>
  <c r="BP92" i="15"/>
  <c r="BP93" i="15" s="1"/>
  <c r="BP94" i="15" s="1"/>
  <c r="BP95" i="15" s="1"/>
  <c r="BP96" i="15" s="1"/>
  <c r="BP97" i="15" s="1"/>
  <c r="BP98" i="15" s="1"/>
  <c r="BP99" i="15" s="1"/>
  <c r="BP100" i="15" s="1"/>
  <c r="BP101" i="15" s="1"/>
  <c r="BP102" i="15" s="1"/>
  <c r="BP103" i="15" s="1"/>
  <c r="Y161" i="15" s="1"/>
  <c r="BP114" i="13"/>
  <c r="BP115" i="13" s="1"/>
  <c r="BP116" i="13" s="1"/>
  <c r="BP117" i="13" s="1"/>
  <c r="BP118" i="13" s="1"/>
  <c r="BP119" i="13" s="1"/>
  <c r="BP120" i="13" s="1"/>
  <c r="BP121" i="13" s="1"/>
  <c r="BP122" i="13" s="1"/>
  <c r="BP123" i="13" s="1"/>
  <c r="BP124" i="13" s="1"/>
  <c r="BP125" i="13" s="1"/>
  <c r="BP126" i="13" s="1"/>
  <c r="BP127" i="13" s="1"/>
  <c r="BP128" i="13" s="1"/>
  <c r="AD161" i="13" s="1"/>
  <c r="AR114" i="14"/>
  <c r="AR115" i="14" s="1"/>
  <c r="AR116" i="14" s="1"/>
  <c r="AR117" i="14" s="1"/>
  <c r="AR118" i="14" s="1"/>
  <c r="AR119" i="14" s="1"/>
  <c r="AR120" i="14" s="1"/>
  <c r="AR121" i="14" s="1"/>
  <c r="AR122" i="14" s="1"/>
  <c r="AR123" i="14" s="1"/>
  <c r="AR124" i="14" s="1"/>
  <c r="AR125" i="14" s="1"/>
  <c r="AR126" i="14" s="1"/>
  <c r="AR127" i="14" s="1"/>
  <c r="AR128" i="14" s="1"/>
  <c r="AC161" i="14" s="1"/>
  <c r="Y18" i="2"/>
  <c r="U17" i="8" s="1"/>
  <c r="Y22" i="2"/>
  <c r="Y42" i="2" s="1"/>
  <c r="AF40" i="10"/>
  <c r="AF41" i="10" s="1"/>
  <c r="AF42" i="10" s="1"/>
  <c r="AF43" i="10" s="1"/>
  <c r="AF44" i="10" s="1"/>
  <c r="AF45" i="10" s="1"/>
  <c r="AF46" i="10" s="1"/>
  <c r="AF47" i="10" s="1"/>
  <c r="AF48" i="10" s="1"/>
  <c r="AF49" i="10" s="1"/>
  <c r="AF50" i="10" s="1"/>
  <c r="AF51" i="10" s="1"/>
  <c r="AF52" i="10" s="1"/>
  <c r="AF53" i="10" s="1"/>
  <c r="AF54" i="10" s="1"/>
  <c r="K7" i="11" s="1"/>
  <c r="T38" i="13"/>
  <c r="G38" i="13"/>
  <c r="G40" i="13"/>
  <c r="M40" i="13" s="1"/>
  <c r="AE48" i="13"/>
  <c r="AK48" i="13" s="1"/>
  <c r="CA52" i="13"/>
  <c r="CG52" i="13" s="1"/>
  <c r="CA47" i="13"/>
  <c r="CG47" i="13" s="1"/>
  <c r="BC51" i="15"/>
  <c r="BI51" i="15" s="1"/>
  <c r="CY48" i="15"/>
  <c r="DE48" i="15" s="1"/>
  <c r="G40" i="14"/>
  <c r="M40" i="14" s="1"/>
  <c r="BC39" i="13"/>
  <c r="BI39" i="13" s="1"/>
  <c r="CA43" i="16"/>
  <c r="CG43" i="16" s="1"/>
  <c r="CY50" i="13"/>
  <c r="DE50" i="13" s="1"/>
  <c r="BC42" i="15"/>
  <c r="BI42" i="15" s="1"/>
  <c r="DL38" i="15"/>
  <c r="CY38" i="15"/>
  <c r="CY53" i="15"/>
  <c r="DE53" i="15" s="1"/>
  <c r="G49" i="13"/>
  <c r="M49" i="13" s="1"/>
  <c r="AE50" i="15"/>
  <c r="AK50" i="15" s="1"/>
  <c r="BC45" i="13"/>
  <c r="BI45" i="13" s="1"/>
  <c r="CA42" i="15"/>
  <c r="CG42" i="15" s="1"/>
  <c r="G42" i="14"/>
  <c r="M42" i="14" s="1"/>
  <c r="BC48" i="13"/>
  <c r="BI48" i="13" s="1"/>
  <c r="BP38" i="16"/>
  <c r="BC38" i="16"/>
  <c r="BC53" i="16"/>
  <c r="BI53" i="16" s="1"/>
  <c r="AE39" i="13"/>
  <c r="AK39" i="13" s="1"/>
  <c r="AE39" i="15"/>
  <c r="AK39" i="15" s="1"/>
  <c r="CA50" i="13"/>
  <c r="CG50" i="13" s="1"/>
  <c r="CA53" i="14"/>
  <c r="CG53" i="14" s="1"/>
  <c r="H96" i="10"/>
  <c r="Y96" i="10" s="1"/>
  <c r="M66" i="22" s="1"/>
  <c r="H92" i="10"/>
  <c r="Y92" i="10" s="1"/>
  <c r="M62" i="22" s="1"/>
  <c r="G50" i="13"/>
  <c r="M50" i="13" s="1"/>
  <c r="G41" i="14"/>
  <c r="M41" i="14" s="1"/>
  <c r="CY51" i="14"/>
  <c r="DE51" i="14" s="1"/>
  <c r="BC50" i="13"/>
  <c r="BI50" i="13" s="1"/>
  <c r="G43" i="13"/>
  <c r="M43" i="13" s="1"/>
  <c r="BC50" i="14"/>
  <c r="BI50" i="14" s="1"/>
  <c r="BN50" i="14" s="1"/>
  <c r="CA44" i="14"/>
  <c r="CG44" i="14" s="1"/>
  <c r="AR38" i="13"/>
  <c r="AE38" i="13"/>
  <c r="G47" i="14"/>
  <c r="M47" i="14" s="1"/>
  <c r="G45" i="14"/>
  <c r="M45" i="14" s="1"/>
  <c r="AE44" i="13"/>
  <c r="AK44" i="13" s="1"/>
  <c r="BC45" i="14"/>
  <c r="BI45" i="14" s="1"/>
  <c r="BN45" i="14" s="1"/>
  <c r="G48" i="14"/>
  <c r="M48" i="14" s="1"/>
  <c r="CA40" i="13"/>
  <c r="CG40" i="13" s="1"/>
  <c r="CA51" i="13"/>
  <c r="CG51" i="13" s="1"/>
  <c r="BP38" i="15"/>
  <c r="BC38" i="15"/>
  <c r="BC53" i="15"/>
  <c r="BI53" i="15" s="1"/>
  <c r="CY50" i="15"/>
  <c r="DE50" i="15" s="1"/>
  <c r="G51" i="14"/>
  <c r="M51" i="14" s="1"/>
  <c r="BC43" i="13"/>
  <c r="BI43" i="13" s="1"/>
  <c r="CA40" i="14"/>
  <c r="CG40" i="14" s="1"/>
  <c r="CA51" i="16"/>
  <c r="CG51" i="16" s="1"/>
  <c r="AE46" i="13"/>
  <c r="AK46" i="13" s="1"/>
  <c r="AE53" i="16"/>
  <c r="AK53" i="16" s="1"/>
  <c r="BC42" i="14"/>
  <c r="BI42" i="14" s="1"/>
  <c r="BN42" i="14" s="1"/>
  <c r="BC44" i="15"/>
  <c r="BI44" i="15" s="1"/>
  <c r="CY39" i="15"/>
  <c r="DE39" i="15" s="1"/>
  <c r="CA44" i="16"/>
  <c r="CG44" i="16" s="1"/>
  <c r="AE39" i="14"/>
  <c r="AK39" i="14" s="1"/>
  <c r="AP39" i="14" s="1"/>
  <c r="G52" i="15"/>
  <c r="M52" i="15" s="1"/>
  <c r="BC49" i="13"/>
  <c r="BI49" i="13" s="1"/>
  <c r="CA47" i="15"/>
  <c r="CG47" i="15" s="1"/>
  <c r="AE43" i="14"/>
  <c r="AK43" i="14" s="1"/>
  <c r="AP43" i="14" s="1"/>
  <c r="BC52" i="13"/>
  <c r="BI52" i="13" s="1"/>
  <c r="BC39" i="16"/>
  <c r="BI39" i="16" s="1"/>
  <c r="CA41" i="16"/>
  <c r="CG41" i="16" s="1"/>
  <c r="AE43" i="13"/>
  <c r="AK43" i="13" s="1"/>
  <c r="G49" i="15"/>
  <c r="M49" i="15" s="1"/>
  <c r="DL38" i="13"/>
  <c r="CY38" i="13"/>
  <c r="DL38" i="14"/>
  <c r="CY38" i="14"/>
  <c r="H103" i="10"/>
  <c r="Y103" i="10" s="1"/>
  <c r="M73" i="22" s="1"/>
  <c r="H98" i="10"/>
  <c r="Y98" i="10" s="1"/>
  <c r="M68" i="22" s="1"/>
  <c r="AE41" i="15"/>
  <c r="AK41" i="15" s="1"/>
  <c r="G46" i="14"/>
  <c r="M46" i="14" s="1"/>
  <c r="T38" i="14"/>
  <c r="G38" i="14"/>
  <c r="CA48" i="13"/>
  <c r="CG48" i="13" s="1"/>
  <c r="AE41" i="13"/>
  <c r="AK41" i="13" s="1"/>
  <c r="CA48" i="14"/>
  <c r="CG48" i="14" s="1"/>
  <c r="CY45" i="14"/>
  <c r="DE45" i="14" s="1"/>
  <c r="G45" i="15"/>
  <c r="M45" i="15" s="1"/>
  <c r="AE51" i="14"/>
  <c r="AK51" i="14" s="1"/>
  <c r="AP51" i="14" s="1"/>
  <c r="AE49" i="14"/>
  <c r="AK49" i="14" s="1"/>
  <c r="AP49" i="14" s="1"/>
  <c r="AE49" i="13"/>
  <c r="AK49" i="13" s="1"/>
  <c r="CA50" i="14"/>
  <c r="CG50" i="14" s="1"/>
  <c r="AE42" i="15"/>
  <c r="AK42" i="15" s="1"/>
  <c r="BC42" i="16"/>
  <c r="BI42" i="16" s="1"/>
  <c r="CY52" i="13"/>
  <c r="DE52" i="13" s="1"/>
  <c r="BC39" i="15"/>
  <c r="BI39" i="15" s="1"/>
  <c r="CA43" i="15"/>
  <c r="CG43" i="15" s="1"/>
  <c r="CY52" i="15"/>
  <c r="DE52" i="15" s="1"/>
  <c r="G53" i="14"/>
  <c r="M53" i="14" s="1"/>
  <c r="BC47" i="13"/>
  <c r="BI47" i="13" s="1"/>
  <c r="CA51" i="14"/>
  <c r="CG51" i="14" s="1"/>
  <c r="CY44" i="16"/>
  <c r="DE44" i="16" s="1"/>
  <c r="AE50" i="13"/>
  <c r="AK50" i="13" s="1"/>
  <c r="BP38" i="13"/>
  <c r="BC38" i="13"/>
  <c r="CA45" i="14"/>
  <c r="CG45" i="14" s="1"/>
  <c r="BC46" i="15"/>
  <c r="BI46" i="15" s="1"/>
  <c r="CY41" i="15"/>
  <c r="DE41" i="15" s="1"/>
  <c r="CA52" i="16"/>
  <c r="CG52" i="16" s="1"/>
  <c r="AE42" i="14"/>
  <c r="AK42" i="14" s="1"/>
  <c r="AP42" i="14" s="1"/>
  <c r="AE53" i="15"/>
  <c r="AK53" i="15" s="1"/>
  <c r="CY43" i="13"/>
  <c r="DE43" i="13" s="1"/>
  <c r="CA52" i="15"/>
  <c r="CG52" i="15" s="1"/>
  <c r="G50" i="14"/>
  <c r="M50" i="14" s="1"/>
  <c r="CY46" i="13"/>
  <c r="DE46" i="13" s="1"/>
  <c r="BC41" i="16"/>
  <c r="BI41" i="16" s="1"/>
  <c r="CA49" i="16"/>
  <c r="CG49" i="16" s="1"/>
  <c r="AE47" i="13"/>
  <c r="AK47" i="13" s="1"/>
  <c r="G42" i="16"/>
  <c r="M42" i="16" s="1"/>
  <c r="CY40" i="13"/>
  <c r="DE40" i="13" s="1"/>
  <c r="CY39" i="14"/>
  <c r="DE39" i="14" s="1"/>
  <c r="G39" i="14"/>
  <c r="M39" i="14" s="1"/>
  <c r="G52" i="16"/>
  <c r="M52" i="16" s="1"/>
  <c r="CA45" i="16"/>
  <c r="CG45" i="16" s="1"/>
  <c r="BC42" i="13"/>
  <c r="BI42" i="13" s="1"/>
  <c r="AE42" i="13"/>
  <c r="AK42" i="13" s="1"/>
  <c r="H97" i="10"/>
  <c r="Y97" i="10" s="1"/>
  <c r="M67" i="22" s="1"/>
  <c r="AR38" i="14"/>
  <c r="AE38" i="14"/>
  <c r="CA40" i="15"/>
  <c r="CG40" i="15" s="1"/>
  <c r="G40" i="15"/>
  <c r="M40" i="15" s="1"/>
  <c r="CY42" i="14"/>
  <c r="DE42" i="14" s="1"/>
  <c r="BC39" i="14"/>
  <c r="BI39" i="14" s="1"/>
  <c r="BN39" i="14" s="1"/>
  <c r="CA53" i="15"/>
  <c r="CG53" i="15" s="1"/>
  <c r="BC51" i="13"/>
  <c r="BI51" i="13" s="1"/>
  <c r="AE45" i="14"/>
  <c r="AK45" i="14" s="1"/>
  <c r="AP45" i="14" s="1"/>
  <c r="BC48" i="15"/>
  <c r="BI48" i="15" s="1"/>
  <c r="AE47" i="14"/>
  <c r="AK47" i="14" s="1"/>
  <c r="AP47" i="14" s="1"/>
  <c r="CA39" i="16"/>
  <c r="CG39" i="16" s="1"/>
  <c r="BC48" i="14"/>
  <c r="BI48" i="14" s="1"/>
  <c r="BN48" i="14" s="1"/>
  <c r="AE51" i="13"/>
  <c r="AK51" i="13" s="1"/>
  <c r="AE47" i="16"/>
  <c r="AK47" i="16" s="1"/>
  <c r="H106" i="10"/>
  <c r="Y106" i="10" s="1"/>
  <c r="M76" i="22" s="1"/>
  <c r="CY49" i="13"/>
  <c r="DE49" i="13" s="1"/>
  <c r="CA46" i="15"/>
  <c r="CG46" i="15" s="1"/>
  <c r="CA51" i="15"/>
  <c r="CG51" i="15" s="1"/>
  <c r="T38" i="16"/>
  <c r="G38" i="16"/>
  <c r="CA45" i="15"/>
  <c r="CG45" i="15" s="1"/>
  <c r="BC46" i="14"/>
  <c r="BI46" i="14" s="1"/>
  <c r="BN46" i="14" s="1"/>
  <c r="CA48" i="16"/>
  <c r="CG48" i="16" s="1"/>
  <c r="CY46" i="14"/>
  <c r="DE46" i="14" s="1"/>
  <c r="CA52" i="14"/>
  <c r="CG52" i="14" s="1"/>
  <c r="CY53" i="16"/>
  <c r="DE53" i="16" s="1"/>
  <c r="BC43" i="14"/>
  <c r="BI43" i="14" s="1"/>
  <c r="BN43" i="14" s="1"/>
  <c r="BC45" i="16"/>
  <c r="BI45" i="16" s="1"/>
  <c r="CA42" i="16"/>
  <c r="CG42" i="16" s="1"/>
  <c r="H105" i="10"/>
  <c r="Y105" i="10" s="1"/>
  <c r="M75" i="22" s="1"/>
  <c r="H101" i="10"/>
  <c r="Y101" i="10" s="1"/>
  <c r="M71" i="22" s="1"/>
  <c r="AE53" i="13"/>
  <c r="AK53" i="13" s="1"/>
  <c r="AE43" i="16"/>
  <c r="AK43" i="16" s="1"/>
  <c r="AE46" i="14"/>
  <c r="AK46" i="14" s="1"/>
  <c r="AP46" i="14" s="1"/>
  <c r="BC40" i="16"/>
  <c r="BI40" i="16" s="1"/>
  <c r="AE46" i="15"/>
  <c r="AK46" i="15" s="1"/>
  <c r="CY47" i="16"/>
  <c r="DE47" i="16" s="1"/>
  <c r="BC44" i="16"/>
  <c r="BI44" i="16" s="1"/>
  <c r="CY44" i="13"/>
  <c r="DE44" i="13" s="1"/>
  <c r="AE49" i="16"/>
  <c r="AK49" i="16" s="1"/>
  <c r="AE39" i="16"/>
  <c r="AK39" i="16" s="1"/>
  <c r="AE45" i="15"/>
  <c r="AK45" i="15" s="1"/>
  <c r="CA53" i="16"/>
  <c r="CG53" i="16" s="1"/>
  <c r="AE51" i="15"/>
  <c r="AK51" i="15" s="1"/>
  <c r="CY46" i="16"/>
  <c r="DE46" i="16" s="1"/>
  <c r="BC51" i="14"/>
  <c r="BI51" i="14" s="1"/>
  <c r="BN51" i="14" s="1"/>
  <c r="BC45" i="15"/>
  <c r="BI45" i="15" s="1"/>
  <c r="CY42" i="15"/>
  <c r="DE42" i="15" s="1"/>
  <c r="CY49" i="16"/>
  <c r="DE49" i="16" s="1"/>
  <c r="G39" i="16"/>
  <c r="M39" i="16" s="1"/>
  <c r="CY41" i="13"/>
  <c r="DE41" i="13" s="1"/>
  <c r="CY49" i="14"/>
  <c r="DE49" i="14" s="1"/>
  <c r="G47" i="16"/>
  <c r="M47" i="16" s="1"/>
  <c r="AE44" i="15"/>
  <c r="AK44" i="15" s="1"/>
  <c r="CA49" i="13"/>
  <c r="CG49" i="13" s="1"/>
  <c r="CY41" i="14"/>
  <c r="DE41" i="14" s="1"/>
  <c r="BC52" i="15"/>
  <c r="BI52" i="15" s="1"/>
  <c r="CY47" i="15"/>
  <c r="DE47" i="15" s="1"/>
  <c r="BC40" i="13"/>
  <c r="BI40" i="13" s="1"/>
  <c r="AE53" i="14"/>
  <c r="AK53" i="14" s="1"/>
  <c r="AP53" i="14" s="1"/>
  <c r="G46" i="16"/>
  <c r="M46" i="16" s="1"/>
  <c r="BC49" i="14"/>
  <c r="BI49" i="14" s="1"/>
  <c r="BN49" i="14" s="1"/>
  <c r="CY43" i="16"/>
  <c r="DE43" i="16" s="1"/>
  <c r="AE41" i="16"/>
  <c r="AK41" i="16" s="1"/>
  <c r="CY47" i="14"/>
  <c r="DE47" i="14" s="1"/>
  <c r="BC47" i="16"/>
  <c r="BI47" i="16" s="1"/>
  <c r="G39" i="13"/>
  <c r="M39" i="13" s="1"/>
  <c r="G49" i="14"/>
  <c r="M49" i="14" s="1"/>
  <c r="BC53" i="13"/>
  <c r="BI53" i="13" s="1"/>
  <c r="CA39" i="14"/>
  <c r="CG39" i="14" s="1"/>
  <c r="CA50" i="16"/>
  <c r="CG50" i="16" s="1"/>
  <c r="H100" i="10"/>
  <c r="Y100" i="10" s="1"/>
  <c r="M70" i="22" s="1"/>
  <c r="BP38" i="14"/>
  <c r="BC38" i="14"/>
  <c r="BC40" i="14"/>
  <c r="BI40" i="14" s="1"/>
  <c r="BN40" i="14" s="1"/>
  <c r="G51" i="13"/>
  <c r="M51" i="13" s="1"/>
  <c r="CA47" i="14"/>
  <c r="CG47" i="14" s="1"/>
  <c r="BC52" i="14"/>
  <c r="BI52" i="14" s="1"/>
  <c r="BN52" i="14" s="1"/>
  <c r="H95" i="10"/>
  <c r="Y95" i="10" s="1"/>
  <c r="M65" i="22" s="1"/>
  <c r="T38" i="15"/>
  <c r="G38" i="15"/>
  <c r="AE52" i="13"/>
  <c r="AK52" i="13" s="1"/>
  <c r="G44" i="16"/>
  <c r="M44" i="16" s="1"/>
  <c r="G43" i="14"/>
  <c r="M43" i="14" s="1"/>
  <c r="G44" i="15"/>
  <c r="M44" i="15" s="1"/>
  <c r="BC41" i="15"/>
  <c r="BI41" i="15" s="1"/>
  <c r="AE38" i="15"/>
  <c r="AR38" i="15"/>
  <c r="CY52" i="16"/>
  <c r="DE52" i="16" s="1"/>
  <c r="CA49" i="14"/>
  <c r="CG49" i="14" s="1"/>
  <c r="CY45" i="16"/>
  <c r="DE45" i="16" s="1"/>
  <c r="AE40" i="16"/>
  <c r="AK40" i="16" s="1"/>
  <c r="G43" i="15"/>
  <c r="M43" i="15" s="1"/>
  <c r="CY40" i="16"/>
  <c r="DE40" i="16" s="1"/>
  <c r="CY51" i="13"/>
  <c r="DE51" i="13" s="1"/>
  <c r="G40" i="16"/>
  <c r="M40" i="16" s="1"/>
  <c r="AE44" i="14"/>
  <c r="AK44" i="14" s="1"/>
  <c r="AP44" i="14" s="1"/>
  <c r="AE43" i="15"/>
  <c r="AK43" i="15" s="1"/>
  <c r="AE49" i="15"/>
  <c r="AK49" i="15" s="1"/>
  <c r="BC43" i="15"/>
  <c r="BI43" i="15" s="1"/>
  <c r="AR38" i="16"/>
  <c r="AE38" i="16"/>
  <c r="AE48" i="15"/>
  <c r="AK48" i="15" s="1"/>
  <c r="CA45" i="13"/>
  <c r="CG45" i="13" s="1"/>
  <c r="CY45" i="15"/>
  <c r="DE45" i="15" s="1"/>
  <c r="G43" i="16"/>
  <c r="M43" i="16" s="1"/>
  <c r="G50" i="15"/>
  <c r="M50" i="15" s="1"/>
  <c r="CY50" i="16"/>
  <c r="DE50" i="16" s="1"/>
  <c r="BC44" i="14"/>
  <c r="BI44" i="14" s="1"/>
  <c r="BN44" i="14" s="1"/>
  <c r="H94" i="10"/>
  <c r="Y94" i="10" s="1"/>
  <c r="M64" i="22" s="1"/>
  <c r="AF91" i="10"/>
  <c r="H91" i="10"/>
  <c r="AE40" i="13"/>
  <c r="AK40" i="13" s="1"/>
  <c r="CY48" i="13"/>
  <c r="DE48" i="13" s="1"/>
  <c r="AE48" i="14"/>
  <c r="AK48" i="14" s="1"/>
  <c r="AP48" i="14" s="1"/>
  <c r="BC48" i="16"/>
  <c r="BI48" i="16" s="1"/>
  <c r="G48" i="15"/>
  <c r="M48" i="15" s="1"/>
  <c r="BC46" i="16"/>
  <c r="BI46" i="16" s="1"/>
  <c r="BC52" i="16"/>
  <c r="BI52" i="16" s="1"/>
  <c r="BC53" i="14"/>
  <c r="BI53" i="14" s="1"/>
  <c r="BN53" i="14" s="1"/>
  <c r="BC46" i="13"/>
  <c r="BI46" i="13" s="1"/>
  <c r="G41" i="16"/>
  <c r="M41" i="16" s="1"/>
  <c r="G53" i="15"/>
  <c r="M53" i="15" s="1"/>
  <c r="CY39" i="16"/>
  <c r="DE39" i="16" s="1"/>
  <c r="G45" i="16"/>
  <c r="M45" i="16" s="1"/>
  <c r="G53" i="16"/>
  <c r="M53" i="16" s="1"/>
  <c r="CN38" i="14"/>
  <c r="CN39" i="14" s="1"/>
  <c r="CA38" i="14"/>
  <c r="BC47" i="15"/>
  <c r="BI47" i="15" s="1"/>
  <c r="CY44" i="15"/>
  <c r="DE44" i="15" s="1"/>
  <c r="G45" i="13"/>
  <c r="M45" i="13" s="1"/>
  <c r="AE42" i="16"/>
  <c r="AK42" i="16" s="1"/>
  <c r="CY45" i="13"/>
  <c r="DE45" i="13" s="1"/>
  <c r="CY52" i="14"/>
  <c r="DE52" i="14" s="1"/>
  <c r="BC41" i="14"/>
  <c r="BI41" i="14" s="1"/>
  <c r="BN41" i="14" s="1"/>
  <c r="AE47" i="15"/>
  <c r="AK47" i="15" s="1"/>
  <c r="CA53" i="13"/>
  <c r="CG53" i="13" s="1"/>
  <c r="CY50" i="14"/>
  <c r="DE50" i="14" s="1"/>
  <c r="CA44" i="15"/>
  <c r="CG44" i="15" s="1"/>
  <c r="CY49" i="15"/>
  <c r="DE49" i="15" s="1"/>
  <c r="CY42" i="13"/>
  <c r="DE42" i="13" s="1"/>
  <c r="G42" i="15"/>
  <c r="M42" i="15" s="1"/>
  <c r="G51" i="16"/>
  <c r="M51" i="16" s="1"/>
  <c r="CY44" i="14"/>
  <c r="DE44" i="14" s="1"/>
  <c r="CY48" i="16"/>
  <c r="DE48" i="16" s="1"/>
  <c r="AE48" i="16"/>
  <c r="AK48" i="16" s="1"/>
  <c r="CY53" i="14"/>
  <c r="DE53" i="14" s="1"/>
  <c r="BC49" i="16"/>
  <c r="BI49" i="16" s="1"/>
  <c r="G44" i="13"/>
  <c r="M44" i="13" s="1"/>
  <c r="AE50" i="14"/>
  <c r="AK50" i="14" s="1"/>
  <c r="AP50" i="14" s="1"/>
  <c r="CA42" i="13"/>
  <c r="CG42" i="13" s="1"/>
  <c r="CA42" i="14"/>
  <c r="CG42" i="14" s="1"/>
  <c r="CY41" i="16"/>
  <c r="DE41" i="16" s="1"/>
  <c r="H104" i="10"/>
  <c r="Y104" i="10" s="1"/>
  <c r="M74" i="22" s="1"/>
  <c r="G49" i="16"/>
  <c r="M49" i="16" s="1"/>
  <c r="G47" i="13"/>
  <c r="M47" i="13" s="1"/>
  <c r="G42" i="13"/>
  <c r="M42" i="13" s="1"/>
  <c r="AE52" i="16"/>
  <c r="AK52" i="16" s="1"/>
  <c r="AE52" i="15"/>
  <c r="AK52" i="15" s="1"/>
  <c r="CY43" i="14"/>
  <c r="DE43" i="14" s="1"/>
  <c r="CA41" i="15"/>
  <c r="CG41" i="15" s="1"/>
  <c r="G47" i="15"/>
  <c r="M47" i="15" s="1"/>
  <c r="BC50" i="16"/>
  <c r="BI50" i="16" s="1"/>
  <c r="CA40" i="16"/>
  <c r="CG40" i="16" s="1"/>
  <c r="CY40" i="14"/>
  <c r="DE40" i="14" s="1"/>
  <c r="CA41" i="13"/>
  <c r="CG41" i="13" s="1"/>
  <c r="CY43" i="15"/>
  <c r="DE43" i="15" s="1"/>
  <c r="CY47" i="13"/>
  <c r="DE47" i="13" s="1"/>
  <c r="BC43" i="16"/>
  <c r="BI43" i="16" s="1"/>
  <c r="CY48" i="14"/>
  <c r="DE48" i="14" s="1"/>
  <c r="H102" i="10"/>
  <c r="Y102" i="10" s="1"/>
  <c r="M72" i="22" s="1"/>
  <c r="AE41" i="14"/>
  <c r="AK41" i="14" s="1"/>
  <c r="AP41" i="14" s="1"/>
  <c r="CA50" i="15"/>
  <c r="CG50" i="15" s="1"/>
  <c r="AE50" i="16"/>
  <c r="AK50" i="16" s="1"/>
  <c r="G39" i="15"/>
  <c r="M39" i="15" s="1"/>
  <c r="CA46" i="16"/>
  <c r="CG46" i="16" s="1"/>
  <c r="CY40" i="15"/>
  <c r="DE40" i="15" s="1"/>
  <c r="CN38" i="13"/>
  <c r="CA38" i="13"/>
  <c r="AE40" i="15"/>
  <c r="AK40" i="15" s="1"/>
  <c r="BC50" i="15"/>
  <c r="BI50" i="15" s="1"/>
  <c r="G52" i="14"/>
  <c r="M52" i="14" s="1"/>
  <c r="CA47" i="16"/>
  <c r="CG47" i="16" s="1"/>
  <c r="CA41" i="14"/>
  <c r="CG41" i="14" s="1"/>
  <c r="G44" i="14"/>
  <c r="M44" i="14" s="1"/>
  <c r="G50" i="16"/>
  <c r="M50" i="16" s="1"/>
  <c r="H93" i="10"/>
  <c r="Y93" i="10" s="1"/>
  <c r="M63" i="22" s="1"/>
  <c r="H99" i="10"/>
  <c r="Y99" i="10" s="1"/>
  <c r="M69" i="22" s="1"/>
  <c r="AE45" i="13"/>
  <c r="AK45" i="13" s="1"/>
  <c r="CY53" i="13"/>
  <c r="DE53" i="13" s="1"/>
  <c r="G41" i="15"/>
  <c r="M41" i="15" s="1"/>
  <c r="DL38" i="16"/>
  <c r="CY38" i="16"/>
  <c r="AE45" i="16"/>
  <c r="AK45" i="16" s="1"/>
  <c r="G51" i="15"/>
  <c r="M51" i="15" s="1"/>
  <c r="CA44" i="13"/>
  <c r="CG44" i="13" s="1"/>
  <c r="CN38" i="16"/>
  <c r="CA38" i="16"/>
  <c r="CA39" i="13"/>
  <c r="CG39" i="13" s="1"/>
  <c r="G48" i="13"/>
  <c r="M48" i="13" s="1"/>
  <c r="AE46" i="16"/>
  <c r="AK46" i="16" s="1"/>
  <c r="CY42" i="16"/>
  <c r="DE42" i="16" s="1"/>
  <c r="AE51" i="16"/>
  <c r="AK51" i="16" s="1"/>
  <c r="CA43" i="13"/>
  <c r="CG43" i="13" s="1"/>
  <c r="CA43" i="14"/>
  <c r="CG43" i="14" s="1"/>
  <c r="BC49" i="15"/>
  <c r="BI49" i="15" s="1"/>
  <c r="CY46" i="15"/>
  <c r="DE46" i="15" s="1"/>
  <c r="G53" i="13"/>
  <c r="M53" i="13" s="1"/>
  <c r="G48" i="16"/>
  <c r="M48" i="16" s="1"/>
  <c r="BC47" i="14"/>
  <c r="BI47" i="14" s="1"/>
  <c r="BN47" i="14" s="1"/>
  <c r="CA48" i="15"/>
  <c r="CG48" i="15" s="1"/>
  <c r="G46" i="13"/>
  <c r="M46" i="13" s="1"/>
  <c r="AE44" i="16"/>
  <c r="AK44" i="16" s="1"/>
  <c r="CY39" i="13"/>
  <c r="DE39" i="13" s="1"/>
  <c r="BC40" i="15"/>
  <c r="BI40" i="15" s="1"/>
  <c r="CA49" i="15"/>
  <c r="CG49" i="15" s="1"/>
  <c r="CY51" i="15"/>
  <c r="DE51" i="15" s="1"/>
  <c r="G41" i="13"/>
  <c r="M41" i="13" s="1"/>
  <c r="G46" i="15"/>
  <c r="M46" i="15" s="1"/>
  <c r="BC41" i="13"/>
  <c r="BI41" i="13" s="1"/>
  <c r="CN38" i="15"/>
  <c r="CA38" i="15"/>
  <c r="AE40" i="14"/>
  <c r="AK40" i="14" s="1"/>
  <c r="AP40" i="14" s="1"/>
  <c r="BC44" i="13"/>
  <c r="BI44" i="13" s="1"/>
  <c r="CA39" i="15"/>
  <c r="CG39" i="15" s="1"/>
  <c r="BC51" i="16"/>
  <c r="BI51" i="16" s="1"/>
  <c r="G52" i="13"/>
  <c r="M52" i="13" s="1"/>
  <c r="AE52" i="14"/>
  <c r="AK52" i="14" s="1"/>
  <c r="AP52" i="14" s="1"/>
  <c r="CA46" i="13"/>
  <c r="CG46" i="13" s="1"/>
  <c r="CA46" i="14"/>
  <c r="CG46" i="14" s="1"/>
  <c r="CY51" i="16"/>
  <c r="DE51" i="16" s="1"/>
  <c r="BZ26" i="15"/>
  <c r="BZ18" i="15"/>
  <c r="BZ15" i="15"/>
  <c r="BZ17" i="15"/>
  <c r="BZ23" i="15"/>
  <c r="CX26" i="15"/>
  <c r="CX24" i="15"/>
  <c r="CX22" i="15"/>
  <c r="CX20" i="15"/>
  <c r="CX18" i="15"/>
  <c r="CX16" i="15"/>
  <c r="CX14" i="15"/>
  <c r="BZ20" i="15"/>
  <c r="BZ25" i="15"/>
  <c r="BZ22" i="15"/>
  <c r="BZ14" i="15"/>
  <c r="BZ12" i="15"/>
  <c r="CX12" i="15"/>
  <c r="BZ27" i="15"/>
  <c r="BZ19" i="15"/>
  <c r="CX27" i="15"/>
  <c r="CX25" i="15"/>
  <c r="CX23" i="15"/>
  <c r="CX21" i="15"/>
  <c r="CX19" i="15"/>
  <c r="CX17" i="15"/>
  <c r="CX13" i="15"/>
  <c r="CX15" i="15"/>
  <c r="BZ21" i="15"/>
  <c r="BZ24" i="15"/>
  <c r="BZ13" i="15"/>
  <c r="BZ16" i="15"/>
  <c r="BZ20" i="16"/>
  <c r="BZ15" i="16"/>
  <c r="CX24" i="14"/>
  <c r="CX18" i="14"/>
  <c r="BB27" i="14"/>
  <c r="BZ25" i="14"/>
  <c r="BZ18" i="14"/>
  <c r="AD26" i="16"/>
  <c r="BB22" i="16"/>
  <c r="BB19" i="16"/>
  <c r="BB26" i="15"/>
  <c r="BB25" i="15"/>
  <c r="BB24" i="15"/>
  <c r="AD22" i="15"/>
  <c r="AD20" i="15"/>
  <c r="AD18" i="15"/>
  <c r="AD13" i="15"/>
  <c r="BB12" i="15"/>
  <c r="AD26" i="14"/>
  <c r="F23" i="14"/>
  <c r="AD21" i="14"/>
  <c r="AD18" i="14"/>
  <c r="AD16" i="14"/>
  <c r="F12" i="14"/>
  <c r="BB25" i="13"/>
  <c r="BB21" i="13"/>
  <c r="BB17" i="13"/>
  <c r="BB13" i="13"/>
  <c r="AD17" i="13"/>
  <c r="AD25" i="13"/>
  <c r="F20" i="13"/>
  <c r="AD12" i="13"/>
  <c r="CX26" i="16"/>
  <c r="CX24" i="16"/>
  <c r="CX22" i="16"/>
  <c r="CX20" i="16"/>
  <c r="CX18" i="16"/>
  <c r="CX16" i="16"/>
  <c r="CX14" i="16"/>
  <c r="BZ25" i="16"/>
  <c r="CX21" i="14"/>
  <c r="BB23" i="14"/>
  <c r="BB20" i="14"/>
  <c r="BZ24" i="14"/>
  <c r="BZ17" i="14"/>
  <c r="CX26" i="13"/>
  <c r="CX22" i="13"/>
  <c r="CX19" i="13"/>
  <c r="CX15" i="13"/>
  <c r="BZ27" i="13"/>
  <c r="BZ23" i="13"/>
  <c r="BZ19" i="13"/>
  <c r="BZ15" i="13"/>
  <c r="AD25" i="16"/>
  <c r="AD24" i="16"/>
  <c r="AD23" i="16"/>
  <c r="BB21" i="16"/>
  <c r="BB20" i="16"/>
  <c r="BB18" i="16"/>
  <c r="F16" i="16"/>
  <c r="AD14" i="16"/>
  <c r="BB13" i="16"/>
  <c r="F13" i="16"/>
  <c r="AD27" i="15"/>
  <c r="AD23" i="15"/>
  <c r="F17" i="15"/>
  <c r="F16" i="15"/>
  <c r="F15" i="15"/>
  <c r="F14" i="15"/>
  <c r="AD24" i="14"/>
  <c r="F18" i="14"/>
  <c r="F16" i="14"/>
  <c r="AD13" i="14"/>
  <c r="AD18" i="13"/>
  <c r="AD26" i="13"/>
  <c r="F25" i="13"/>
  <c r="F17" i="13"/>
  <c r="F12" i="13"/>
  <c r="BZ27" i="16"/>
  <c r="BZ19" i="16"/>
  <c r="CX23" i="14"/>
  <c r="BZ22" i="14"/>
  <c r="BZ12" i="14"/>
  <c r="CX25" i="13"/>
  <c r="BZ26" i="13"/>
  <c r="BZ18" i="13"/>
  <c r="BZ14" i="13"/>
  <c r="BB27" i="16"/>
  <c r="F24" i="16"/>
  <c r="AD20" i="16"/>
  <c r="AD18" i="16"/>
  <c r="AD12" i="15"/>
  <c r="AD22" i="14"/>
  <c r="AD20" i="13"/>
  <c r="F19" i="13"/>
  <c r="BB17" i="15"/>
  <c r="BZ22" i="16"/>
  <c r="BZ17" i="16"/>
  <c r="CX27" i="14"/>
  <c r="CX17" i="14"/>
  <c r="CX14" i="14"/>
  <c r="BB26" i="14"/>
  <c r="BB16" i="14"/>
  <c r="BB13" i="14"/>
  <c r="BZ23" i="14"/>
  <c r="BZ16" i="14"/>
  <c r="F27" i="16"/>
  <c r="F26" i="16"/>
  <c r="AD22" i="16"/>
  <c r="AD19" i="16"/>
  <c r="BB17" i="16"/>
  <c r="BB16" i="16"/>
  <c r="F15" i="16"/>
  <c r="AD25" i="15"/>
  <c r="AD24" i="15"/>
  <c r="F22" i="15"/>
  <c r="F21" i="15"/>
  <c r="F20" i="15"/>
  <c r="F19" i="15"/>
  <c r="F18" i="15"/>
  <c r="AD27" i="14"/>
  <c r="F26" i="14"/>
  <c r="AD19" i="14"/>
  <c r="AD14" i="14"/>
  <c r="BB24" i="13"/>
  <c r="BB20" i="13"/>
  <c r="BB16" i="13"/>
  <c r="AD19" i="13"/>
  <c r="AD27" i="13"/>
  <c r="F22" i="13"/>
  <c r="F14" i="13"/>
  <c r="BZ14" i="16"/>
  <c r="BB19" i="14"/>
  <c r="CX18" i="13"/>
  <c r="BZ22" i="13"/>
  <c r="BZ12" i="13"/>
  <c r="F12" i="16"/>
  <c r="AD26" i="15"/>
  <c r="F23" i="15"/>
  <c r="F13" i="15"/>
  <c r="F24" i="14"/>
  <c r="F21" i="14"/>
  <c r="AD12" i="14"/>
  <c r="F27" i="13"/>
  <c r="AD25" i="14"/>
  <c r="BZ24" i="16"/>
  <c r="CX26" i="14"/>
  <c r="CX20" i="14"/>
  <c r="CX16" i="14"/>
  <c r="CX12" i="14"/>
  <c r="BB25" i="14"/>
  <c r="BB22" i="14"/>
  <c r="BB15" i="14"/>
  <c r="BZ15" i="14"/>
  <c r="CX21" i="13"/>
  <c r="CX14" i="13"/>
  <c r="F25" i="16"/>
  <c r="F23" i="16"/>
  <c r="AD21" i="16"/>
  <c r="AD17" i="16"/>
  <c r="F24" i="15"/>
  <c r="BB16" i="15"/>
  <c r="BB14" i="15"/>
  <c r="AD17" i="14"/>
  <c r="AD15" i="14"/>
  <c r="BB27" i="13"/>
  <c r="BB23" i="13"/>
  <c r="BB19" i="13"/>
  <c r="BB15" i="13"/>
  <c r="AD13" i="13"/>
  <c r="AD21" i="13"/>
  <c r="F24" i="13"/>
  <c r="F16" i="13"/>
  <c r="CX27" i="16"/>
  <c r="CX25" i="16"/>
  <c r="CX23" i="16"/>
  <c r="CX21" i="16"/>
  <c r="CX19" i="16"/>
  <c r="CX17" i="16"/>
  <c r="CX15" i="16"/>
  <c r="CX13" i="16"/>
  <c r="CX12" i="16"/>
  <c r="BZ21" i="16"/>
  <c r="BZ16" i="16"/>
  <c r="BZ12" i="16"/>
  <c r="CX13" i="14"/>
  <c r="BB18" i="14"/>
  <c r="BZ21" i="14"/>
  <c r="BZ14" i="14"/>
  <c r="CX24" i="13"/>
  <c r="CX17" i="13"/>
  <c r="BZ25" i="13"/>
  <c r="BZ21" i="13"/>
  <c r="BZ17" i="13"/>
  <c r="BZ13" i="13"/>
  <c r="BB26" i="16"/>
  <c r="F20" i="16"/>
  <c r="AD16" i="16"/>
  <c r="BB15" i="16"/>
  <c r="F14" i="16"/>
  <c r="AD13" i="16"/>
  <c r="AD12" i="16"/>
  <c r="BB27" i="15"/>
  <c r="F27" i="15"/>
  <c r="F26" i="15"/>
  <c r="F25" i="15"/>
  <c r="BB21" i="15"/>
  <c r="BB20" i="15"/>
  <c r="BB19" i="15"/>
  <c r="BB18" i="15"/>
  <c r="BB15" i="15"/>
  <c r="BB13" i="15"/>
  <c r="F27" i="14"/>
  <c r="F22" i="14"/>
  <c r="BZ23" i="16"/>
  <c r="CX22" i="14"/>
  <c r="BB17" i="14"/>
  <c r="BZ20" i="13"/>
  <c r="BB24" i="16"/>
  <c r="F22" i="16"/>
  <c r="F19" i="16"/>
  <c r="AD15" i="16"/>
  <c r="AD17" i="15"/>
  <c r="F19" i="14"/>
  <c r="F14" i="14"/>
  <c r="BB22" i="13"/>
  <c r="BB12" i="13"/>
  <c r="AD23" i="13"/>
  <c r="BZ26" i="16"/>
  <c r="CX27" i="13"/>
  <c r="CX16" i="13"/>
  <c r="AD14" i="15"/>
  <c r="AD23" i="14"/>
  <c r="AD24" i="13"/>
  <c r="F23" i="13"/>
  <c r="F13" i="13"/>
  <c r="CX25" i="14"/>
  <c r="BZ13" i="14"/>
  <c r="BB25" i="16"/>
  <c r="AD21" i="15"/>
  <c r="BB14" i="13"/>
  <c r="F26" i="13"/>
  <c r="BZ18" i="16"/>
  <c r="BB21" i="14"/>
  <c r="BZ27" i="14"/>
  <c r="BZ24" i="13"/>
  <c r="AD15" i="15"/>
  <c r="F12" i="15"/>
  <c r="AD20" i="14"/>
  <c r="CX15" i="14"/>
  <c r="BZ26" i="14"/>
  <c r="CX20" i="13"/>
  <c r="F25" i="14"/>
  <c r="F15" i="13"/>
  <c r="F15" i="14"/>
  <c r="BB24" i="14"/>
  <c r="CX12" i="13"/>
  <c r="BZ16" i="13"/>
  <c r="F17" i="16"/>
  <c r="BB14" i="16"/>
  <c r="AD19" i="15"/>
  <c r="AD16" i="15"/>
  <c r="F17" i="14"/>
  <c r="BB18" i="13"/>
  <c r="AD15" i="13"/>
  <c r="F18" i="13"/>
  <c r="CX19" i="14"/>
  <c r="BB14" i="14"/>
  <c r="BZ20" i="14"/>
  <c r="CX23" i="13"/>
  <c r="BB23" i="16"/>
  <c r="F21" i="16"/>
  <c r="BB12" i="16"/>
  <c r="F13" i="14"/>
  <c r="AD16" i="13"/>
  <c r="F21" i="13"/>
  <c r="BZ13" i="16"/>
  <c r="BZ19" i="14"/>
  <c r="CX13" i="13"/>
  <c r="AD27" i="16"/>
  <c r="F18" i="16"/>
  <c r="BB23" i="15"/>
  <c r="AD22" i="13"/>
  <c r="BB26" i="13"/>
  <c r="BB12" i="14"/>
  <c r="BB22" i="15"/>
  <c r="F20" i="14"/>
  <c r="AD14" i="13"/>
  <c r="H24" i="10"/>
  <c r="Y24" i="10" s="1"/>
  <c r="J72" i="22" s="1"/>
  <c r="H17" i="10"/>
  <c r="Y17" i="10" s="1"/>
  <c r="J65" i="22" s="1"/>
  <c r="H14" i="10"/>
  <c r="Y14" i="10" s="1"/>
  <c r="J62" i="22" s="1"/>
  <c r="Q69" i="2"/>
  <c r="R24" i="8" s="1"/>
  <c r="I39" i="10"/>
  <c r="W39" i="10" s="1"/>
  <c r="AB39" i="10" s="1"/>
  <c r="H23" i="10"/>
  <c r="Y23" i="10" s="1"/>
  <c r="J71" i="22" s="1"/>
  <c r="H21" i="10"/>
  <c r="Y21" i="10" s="1"/>
  <c r="J69" i="22" s="1"/>
  <c r="H26" i="10"/>
  <c r="Y26" i="10" s="1"/>
  <c r="J74" i="22" s="1"/>
  <c r="H15" i="10"/>
  <c r="Y15" i="10" s="1"/>
  <c r="J63" i="22" s="1"/>
  <c r="H27" i="10"/>
  <c r="Y27" i="10" s="1"/>
  <c r="J75" i="22" s="1"/>
  <c r="AF18" i="2"/>
  <c r="W17" i="8" s="1"/>
  <c r="H18" i="10"/>
  <c r="Y18" i="10" s="1"/>
  <c r="J66" i="22" s="1"/>
  <c r="H13" i="10"/>
  <c r="AF13" i="10"/>
  <c r="H20" i="10"/>
  <c r="Y20" i="10" s="1"/>
  <c r="J68" i="22" s="1"/>
  <c r="H16" i="10"/>
  <c r="H22" i="10"/>
  <c r="H19" i="10"/>
  <c r="H25" i="10"/>
  <c r="H28" i="10"/>
  <c r="Q19" i="8"/>
  <c r="K69" i="2"/>
  <c r="Q24" i="8" s="1"/>
  <c r="R21" i="2"/>
  <c r="V20" i="8"/>
  <c r="BX63" i="15" l="1"/>
  <c r="BX64" i="15" s="1"/>
  <c r="BX65" i="15" s="1"/>
  <c r="BX66" i="15" s="1"/>
  <c r="BX67" i="15" s="1"/>
  <c r="BX68" i="15" s="1"/>
  <c r="BX69" i="15" s="1"/>
  <c r="BX70" i="15" s="1"/>
  <c r="BX71" i="15" s="1"/>
  <c r="BX72" i="15" s="1"/>
  <c r="BX73" i="15" s="1"/>
  <c r="BX74" i="15" s="1"/>
  <c r="BX75" i="15" s="1"/>
  <c r="BX76" i="15" s="1"/>
  <c r="BX77" i="15" s="1"/>
  <c r="BX78" i="15" s="1"/>
  <c r="CN40" i="14"/>
  <c r="AR39" i="14"/>
  <c r="AR40" i="14" s="1"/>
  <c r="AR41" i="14" s="1"/>
  <c r="AR42" i="14" s="1"/>
  <c r="AR43" i="14" s="1"/>
  <c r="AR44" i="14" s="1"/>
  <c r="AR45" i="14" s="1"/>
  <c r="AR46" i="14" s="1"/>
  <c r="AR47" i="14" s="1"/>
  <c r="AR48" i="14" s="1"/>
  <c r="AR49" i="14" s="1"/>
  <c r="AR50" i="14" s="1"/>
  <c r="AR51" i="14" s="1"/>
  <c r="AR52" i="14" s="1"/>
  <c r="AR53" i="14" s="1"/>
  <c r="N161" i="14" s="1"/>
  <c r="Y39" i="10"/>
  <c r="BI113" i="13"/>
  <c r="BQ113" i="13"/>
  <c r="BQ114" i="13" s="1"/>
  <c r="BQ115" i="13" s="1"/>
  <c r="BQ116" i="13" s="1"/>
  <c r="BQ117" i="13" s="1"/>
  <c r="BQ118" i="13" s="1"/>
  <c r="BQ119" i="13" s="1"/>
  <c r="BQ120" i="13" s="1"/>
  <c r="BQ121" i="13" s="1"/>
  <c r="BQ122" i="13" s="1"/>
  <c r="BQ123" i="13" s="1"/>
  <c r="BQ124" i="13" s="1"/>
  <c r="BQ125" i="13" s="1"/>
  <c r="BQ126" i="13" s="1"/>
  <c r="BQ127" i="13" s="1"/>
  <c r="BQ128" i="13" s="1"/>
  <c r="AD162" i="13" s="1"/>
  <c r="AD163" i="13" s="1"/>
  <c r="AD165" i="13" s="1"/>
  <c r="AD167" i="13" s="1"/>
  <c r="AK88" i="14"/>
  <c r="AS88" i="14"/>
  <c r="AS89" i="14" s="1"/>
  <c r="AS90" i="14" s="1"/>
  <c r="AS91" i="14" s="1"/>
  <c r="AS92" i="14" s="1"/>
  <c r="AS93" i="14" s="1"/>
  <c r="AS94" i="14" s="1"/>
  <c r="AS95" i="14" s="1"/>
  <c r="AS96" i="14" s="1"/>
  <c r="AS97" i="14" s="1"/>
  <c r="AS98" i="14" s="1"/>
  <c r="AS99" i="14" s="1"/>
  <c r="AS100" i="14" s="1"/>
  <c r="AS101" i="14" s="1"/>
  <c r="AS102" i="14" s="1"/>
  <c r="AS103" i="14" s="1"/>
  <c r="X162" i="14" s="1"/>
  <c r="X163" i="14" s="1"/>
  <c r="X165" i="14" s="1"/>
  <c r="X167" i="14" s="1"/>
  <c r="DE88" i="16"/>
  <c r="DO88" i="16" s="1"/>
  <c r="DO89" i="16" s="1"/>
  <c r="DO90" i="16" s="1"/>
  <c r="DO91" i="16" s="1"/>
  <c r="DO92" i="16" s="1"/>
  <c r="DO93" i="16" s="1"/>
  <c r="DO94" i="16" s="1"/>
  <c r="DO95" i="16" s="1"/>
  <c r="DO96" i="16" s="1"/>
  <c r="DO97" i="16" s="1"/>
  <c r="DO98" i="16" s="1"/>
  <c r="DO99" i="16" s="1"/>
  <c r="DO100" i="16" s="1"/>
  <c r="DO101" i="16" s="1"/>
  <c r="DO102" i="16" s="1"/>
  <c r="DO103" i="16" s="1"/>
  <c r="DM88" i="16"/>
  <c r="DM89" i="16" s="1"/>
  <c r="DM90" i="16" s="1"/>
  <c r="DM91" i="16" s="1"/>
  <c r="DM92" i="16" s="1"/>
  <c r="DM93" i="16" s="1"/>
  <c r="DM94" i="16" s="1"/>
  <c r="DM95" i="16" s="1"/>
  <c r="DM96" i="16" s="1"/>
  <c r="DM97" i="16" s="1"/>
  <c r="DM98" i="16" s="1"/>
  <c r="DM99" i="16" s="1"/>
  <c r="DM100" i="16" s="1"/>
  <c r="DM101" i="16" s="1"/>
  <c r="DM102" i="16" s="1"/>
  <c r="DM103" i="16" s="1"/>
  <c r="AA162" i="16" s="1"/>
  <c r="AA163" i="16" s="1"/>
  <c r="M88" i="15"/>
  <c r="U88" i="15"/>
  <c r="U89" i="15" s="1"/>
  <c r="U90" i="15" s="1"/>
  <c r="U91" i="15" s="1"/>
  <c r="U92" i="15" s="1"/>
  <c r="U93" i="15" s="1"/>
  <c r="U94" i="15" s="1"/>
  <c r="U95" i="15" s="1"/>
  <c r="U96" i="15" s="1"/>
  <c r="U97" i="15" s="1"/>
  <c r="U98" i="15" s="1"/>
  <c r="U99" i="15" s="1"/>
  <c r="U100" i="15" s="1"/>
  <c r="U101" i="15" s="1"/>
  <c r="U102" i="15" s="1"/>
  <c r="U103" i="15" s="1"/>
  <c r="W162" i="15" s="1"/>
  <c r="W163" i="15" s="1"/>
  <c r="W165" i="15" s="1"/>
  <c r="W167" i="15" s="1"/>
  <c r="CG88" i="14"/>
  <c r="M88" i="16"/>
  <c r="U88" i="16"/>
  <c r="U89" i="16" s="1"/>
  <c r="U90" i="16" s="1"/>
  <c r="U91" i="16" s="1"/>
  <c r="U92" i="16" s="1"/>
  <c r="U93" i="16" s="1"/>
  <c r="U94" i="16" s="1"/>
  <c r="U95" i="16" s="1"/>
  <c r="U96" i="16" s="1"/>
  <c r="U97" i="16" s="1"/>
  <c r="U98" i="16" s="1"/>
  <c r="U99" i="16" s="1"/>
  <c r="U100" i="16" s="1"/>
  <c r="U101" i="16" s="1"/>
  <c r="U102" i="16" s="1"/>
  <c r="U103" i="16" s="1"/>
  <c r="W162" i="16" s="1"/>
  <c r="W163" i="16" s="1"/>
  <c r="AK88" i="13"/>
  <c r="CG88" i="16"/>
  <c r="CQ88" i="16" s="1"/>
  <c r="CQ89" i="16" s="1"/>
  <c r="CQ90" i="16" s="1"/>
  <c r="CQ91" i="16" s="1"/>
  <c r="CQ92" i="16" s="1"/>
  <c r="CQ93" i="16" s="1"/>
  <c r="CQ94" i="16" s="1"/>
  <c r="CQ95" i="16" s="1"/>
  <c r="CQ96" i="16" s="1"/>
  <c r="CQ97" i="16" s="1"/>
  <c r="CQ98" i="16" s="1"/>
  <c r="CQ99" i="16" s="1"/>
  <c r="CQ100" i="16" s="1"/>
  <c r="CQ101" i="16" s="1"/>
  <c r="CQ102" i="16" s="1"/>
  <c r="CQ103" i="16" s="1"/>
  <c r="CO88" i="16"/>
  <c r="CO89" i="16" s="1"/>
  <c r="CO90" i="16" s="1"/>
  <c r="CO91" i="16" s="1"/>
  <c r="CO92" i="16" s="1"/>
  <c r="CO93" i="16" s="1"/>
  <c r="CO94" i="16" s="1"/>
  <c r="CO95" i="16" s="1"/>
  <c r="CO96" i="16" s="1"/>
  <c r="CO97" i="16" s="1"/>
  <c r="CO98" i="16" s="1"/>
  <c r="CO99" i="16" s="1"/>
  <c r="CO100" i="16" s="1"/>
  <c r="CO101" i="16" s="1"/>
  <c r="CO102" i="16" s="1"/>
  <c r="CO103" i="16" s="1"/>
  <c r="Z162" i="16" s="1"/>
  <c r="AK88" i="16"/>
  <c r="AU88" i="16" s="1"/>
  <c r="AU89" i="16" s="1"/>
  <c r="AU90" i="16" s="1"/>
  <c r="AU91" i="16" s="1"/>
  <c r="AU92" i="16" s="1"/>
  <c r="AU93" i="16" s="1"/>
  <c r="AU94" i="16" s="1"/>
  <c r="AU95" i="16" s="1"/>
  <c r="AU96" i="16" s="1"/>
  <c r="AU97" i="16" s="1"/>
  <c r="AU98" i="16" s="1"/>
  <c r="AU99" i="16" s="1"/>
  <c r="AU100" i="16" s="1"/>
  <c r="AU101" i="16" s="1"/>
  <c r="AU102" i="16" s="1"/>
  <c r="AU103" i="16" s="1"/>
  <c r="AS88" i="16"/>
  <c r="AS89" i="16" s="1"/>
  <c r="AS90" i="16" s="1"/>
  <c r="AS91" i="16" s="1"/>
  <c r="AS92" i="16" s="1"/>
  <c r="AS93" i="16" s="1"/>
  <c r="AS94" i="16" s="1"/>
  <c r="AS95" i="16" s="1"/>
  <c r="AS96" i="16" s="1"/>
  <c r="AS97" i="16" s="1"/>
  <c r="AS98" i="16" s="1"/>
  <c r="AS99" i="16" s="1"/>
  <c r="AS100" i="16" s="1"/>
  <c r="AS101" i="16" s="1"/>
  <c r="AS102" i="16" s="1"/>
  <c r="AS103" i="16" s="1"/>
  <c r="X162" i="16" s="1"/>
  <c r="X163" i="16" s="1"/>
  <c r="DE113" i="13"/>
  <c r="DM113" i="13"/>
  <c r="DM114" i="13" s="1"/>
  <c r="DM115" i="13" s="1"/>
  <c r="DM116" i="13" s="1"/>
  <c r="DM117" i="13" s="1"/>
  <c r="DM118" i="13" s="1"/>
  <c r="DM119" i="13" s="1"/>
  <c r="DM120" i="13" s="1"/>
  <c r="DM121" i="13" s="1"/>
  <c r="DM122" i="13" s="1"/>
  <c r="DM123" i="13" s="1"/>
  <c r="DM124" i="13" s="1"/>
  <c r="DM125" i="13" s="1"/>
  <c r="DM126" i="13" s="1"/>
  <c r="DM127" i="13" s="1"/>
  <c r="DM128" i="13" s="1"/>
  <c r="AF162" i="13" s="1"/>
  <c r="AF163" i="13" s="1"/>
  <c r="AF165" i="13" s="1"/>
  <c r="AF167" i="13" s="1"/>
  <c r="M113" i="14"/>
  <c r="U113" i="14"/>
  <c r="U114" i="14" s="1"/>
  <c r="U115" i="14" s="1"/>
  <c r="U116" i="14" s="1"/>
  <c r="U117" i="14" s="1"/>
  <c r="U118" i="14" s="1"/>
  <c r="U119" i="14" s="1"/>
  <c r="U120" i="14" s="1"/>
  <c r="U121" i="14" s="1"/>
  <c r="U122" i="14" s="1"/>
  <c r="U123" i="14" s="1"/>
  <c r="U124" i="14" s="1"/>
  <c r="U125" i="14" s="1"/>
  <c r="U126" i="14" s="1"/>
  <c r="U127" i="14" s="1"/>
  <c r="U128" i="14" s="1"/>
  <c r="AB162" i="14" s="1"/>
  <c r="AB163" i="14" s="1"/>
  <c r="AB165" i="14" s="1"/>
  <c r="AB167" i="14" s="1"/>
  <c r="CG113" i="13"/>
  <c r="CO113" i="13"/>
  <c r="CO114" i="13" s="1"/>
  <c r="CO115" i="13" s="1"/>
  <c r="CO116" i="13" s="1"/>
  <c r="CO117" i="13" s="1"/>
  <c r="CO118" i="13" s="1"/>
  <c r="CO119" i="13" s="1"/>
  <c r="CO120" i="13" s="1"/>
  <c r="CO121" i="13" s="1"/>
  <c r="CO122" i="13" s="1"/>
  <c r="CO123" i="13" s="1"/>
  <c r="CO124" i="13" s="1"/>
  <c r="CO125" i="13" s="1"/>
  <c r="CO126" i="13" s="1"/>
  <c r="CO127" i="13" s="1"/>
  <c r="CO128" i="13" s="1"/>
  <c r="AE162" i="13" s="1"/>
  <c r="AE163" i="13" s="1"/>
  <c r="AE165" i="13" s="1"/>
  <c r="AE167" i="13" s="1"/>
  <c r="M88" i="13"/>
  <c r="U88" i="13"/>
  <c r="U89" i="13" s="1"/>
  <c r="U90" i="13" s="1"/>
  <c r="U91" i="13" s="1"/>
  <c r="U92" i="13" s="1"/>
  <c r="U93" i="13" s="1"/>
  <c r="U94" i="13" s="1"/>
  <c r="U95" i="13" s="1"/>
  <c r="U96" i="13" s="1"/>
  <c r="U97" i="13" s="1"/>
  <c r="U98" i="13" s="1"/>
  <c r="U99" i="13" s="1"/>
  <c r="U100" i="13" s="1"/>
  <c r="U101" i="13" s="1"/>
  <c r="U102" i="13" s="1"/>
  <c r="U103" i="13" s="1"/>
  <c r="W162" i="13" s="1"/>
  <c r="W163" i="13" s="1"/>
  <c r="W165" i="13" s="1"/>
  <c r="W167" i="13" s="1"/>
  <c r="BI88" i="13"/>
  <c r="BQ88" i="13"/>
  <c r="BQ89" i="13" s="1"/>
  <c r="BQ90" i="13" s="1"/>
  <c r="BQ91" i="13" s="1"/>
  <c r="BQ92" i="13" s="1"/>
  <c r="BQ93" i="13" s="1"/>
  <c r="BQ94" i="13" s="1"/>
  <c r="BQ95" i="13" s="1"/>
  <c r="BQ96" i="13" s="1"/>
  <c r="BQ97" i="13" s="1"/>
  <c r="BQ98" i="13" s="1"/>
  <c r="BQ99" i="13" s="1"/>
  <c r="BQ100" i="13" s="1"/>
  <c r="BQ101" i="13" s="1"/>
  <c r="BQ102" i="13" s="1"/>
  <c r="BQ103" i="13" s="1"/>
  <c r="Y162" i="13" s="1"/>
  <c r="M88" i="14"/>
  <c r="U88" i="14"/>
  <c r="U89" i="14" s="1"/>
  <c r="U90" i="14" s="1"/>
  <c r="U91" i="14" s="1"/>
  <c r="U92" i="14" s="1"/>
  <c r="U93" i="14" s="1"/>
  <c r="U94" i="14" s="1"/>
  <c r="U95" i="14" s="1"/>
  <c r="U96" i="14" s="1"/>
  <c r="U97" i="14" s="1"/>
  <c r="U98" i="14" s="1"/>
  <c r="U99" i="14" s="1"/>
  <c r="U100" i="14" s="1"/>
  <c r="U101" i="14" s="1"/>
  <c r="U102" i="14" s="1"/>
  <c r="U103" i="14" s="1"/>
  <c r="W162" i="14" s="1"/>
  <c r="W163" i="14" s="1"/>
  <c r="W165" i="14" s="1"/>
  <c r="W167" i="14" s="1"/>
  <c r="CG88" i="13"/>
  <c r="CO88" i="13"/>
  <c r="CO89" i="13" s="1"/>
  <c r="CO90" i="13" s="1"/>
  <c r="CO91" i="13" s="1"/>
  <c r="CO92" i="13" s="1"/>
  <c r="CO93" i="13" s="1"/>
  <c r="CO94" i="13" s="1"/>
  <c r="CO95" i="13" s="1"/>
  <c r="CO96" i="13" s="1"/>
  <c r="CO97" i="13" s="1"/>
  <c r="CO98" i="13" s="1"/>
  <c r="CO99" i="13" s="1"/>
  <c r="CO100" i="13" s="1"/>
  <c r="CO101" i="13" s="1"/>
  <c r="CO102" i="13" s="1"/>
  <c r="CO103" i="13" s="1"/>
  <c r="Z162" i="13" s="1"/>
  <c r="Z163" i="13" s="1"/>
  <c r="Z165" i="13" s="1"/>
  <c r="Z167" i="13" s="1"/>
  <c r="DE88" i="13"/>
  <c r="DM88" i="13"/>
  <c r="DM89" i="13" s="1"/>
  <c r="DM90" i="13" s="1"/>
  <c r="DM91" i="13" s="1"/>
  <c r="DM92" i="13" s="1"/>
  <c r="DM93" i="13" s="1"/>
  <c r="DM94" i="13" s="1"/>
  <c r="DM95" i="13" s="1"/>
  <c r="DM96" i="13" s="1"/>
  <c r="DM97" i="13" s="1"/>
  <c r="DM98" i="13" s="1"/>
  <c r="DM99" i="13" s="1"/>
  <c r="DM100" i="13" s="1"/>
  <c r="DM101" i="13" s="1"/>
  <c r="DM102" i="13" s="1"/>
  <c r="DM103" i="13" s="1"/>
  <c r="AA162" i="13" s="1"/>
  <c r="AA163" i="13" s="1"/>
  <c r="AA165" i="13" s="1"/>
  <c r="AA167" i="13" s="1"/>
  <c r="BI88" i="15"/>
  <c r="BQ88" i="15"/>
  <c r="BQ89" i="15" s="1"/>
  <c r="BQ90" i="15" s="1"/>
  <c r="BQ91" i="15" s="1"/>
  <c r="BQ92" i="15" s="1"/>
  <c r="BQ93" i="15" s="1"/>
  <c r="BQ94" i="15" s="1"/>
  <c r="BQ95" i="15" s="1"/>
  <c r="BQ96" i="15" s="1"/>
  <c r="BQ97" i="15" s="1"/>
  <c r="BQ98" i="15" s="1"/>
  <c r="BQ99" i="15" s="1"/>
  <c r="BQ100" i="15" s="1"/>
  <c r="BQ101" i="15" s="1"/>
  <c r="BQ102" i="15" s="1"/>
  <c r="BQ103" i="15" s="1"/>
  <c r="Y162" i="15" s="1"/>
  <c r="Y163" i="15" s="1"/>
  <c r="Y165" i="15" s="1"/>
  <c r="Y167" i="15" s="1"/>
  <c r="M113" i="13"/>
  <c r="U113" i="13"/>
  <c r="U114" i="13" s="1"/>
  <c r="U115" i="13" s="1"/>
  <c r="U116" i="13" s="1"/>
  <c r="U117" i="13" s="1"/>
  <c r="U118" i="13" s="1"/>
  <c r="U119" i="13" s="1"/>
  <c r="U120" i="13" s="1"/>
  <c r="U121" i="13" s="1"/>
  <c r="U122" i="13" s="1"/>
  <c r="U123" i="13" s="1"/>
  <c r="U124" i="13" s="1"/>
  <c r="U125" i="13" s="1"/>
  <c r="U126" i="13" s="1"/>
  <c r="U127" i="13" s="1"/>
  <c r="U128" i="13" s="1"/>
  <c r="AB162" i="13" s="1"/>
  <c r="AB163" i="13" s="1"/>
  <c r="AB165" i="13" s="1"/>
  <c r="AB167" i="13" s="1"/>
  <c r="AK113" i="14"/>
  <c r="AS113" i="14"/>
  <c r="AS114" i="14" s="1"/>
  <c r="AS115" i="14" s="1"/>
  <c r="AS116" i="14" s="1"/>
  <c r="AS117" i="14" s="1"/>
  <c r="AS118" i="14" s="1"/>
  <c r="AS119" i="14" s="1"/>
  <c r="AS120" i="14" s="1"/>
  <c r="AS121" i="14" s="1"/>
  <c r="AS122" i="14" s="1"/>
  <c r="AS123" i="14" s="1"/>
  <c r="AS124" i="14" s="1"/>
  <c r="AS125" i="14" s="1"/>
  <c r="AS126" i="14" s="1"/>
  <c r="AS127" i="14" s="1"/>
  <c r="AS128" i="14" s="1"/>
  <c r="AC162" i="14" s="1"/>
  <c r="AC163" i="14" s="1"/>
  <c r="AC165" i="14" s="1"/>
  <c r="AC167" i="14" s="1"/>
  <c r="DE113" i="14"/>
  <c r="DM113" i="14"/>
  <c r="DM114" i="14" s="1"/>
  <c r="DM115" i="14" s="1"/>
  <c r="DM116" i="14" s="1"/>
  <c r="DM117" i="14" s="1"/>
  <c r="DM118" i="14" s="1"/>
  <c r="DM119" i="14" s="1"/>
  <c r="DM120" i="14" s="1"/>
  <c r="DM121" i="14" s="1"/>
  <c r="DM122" i="14" s="1"/>
  <c r="DM123" i="14" s="1"/>
  <c r="DM124" i="14" s="1"/>
  <c r="DM125" i="14" s="1"/>
  <c r="DM126" i="14" s="1"/>
  <c r="DM127" i="14" s="1"/>
  <c r="DM128" i="14" s="1"/>
  <c r="AF162" i="14" s="1"/>
  <c r="AF163" i="14" s="1"/>
  <c r="AF165" i="14" s="1"/>
  <c r="AF167" i="14" s="1"/>
  <c r="BI113" i="14"/>
  <c r="BQ113" i="14"/>
  <c r="BQ114" i="14" s="1"/>
  <c r="BQ115" i="14" s="1"/>
  <c r="BQ116" i="14" s="1"/>
  <c r="BQ117" i="14" s="1"/>
  <c r="BQ118" i="14" s="1"/>
  <c r="BQ119" i="14" s="1"/>
  <c r="BQ120" i="14" s="1"/>
  <c r="BQ121" i="14" s="1"/>
  <c r="BQ122" i="14" s="1"/>
  <c r="BQ123" i="14" s="1"/>
  <c r="BQ124" i="14" s="1"/>
  <c r="BQ125" i="14" s="1"/>
  <c r="BQ126" i="14" s="1"/>
  <c r="BQ127" i="14" s="1"/>
  <c r="BI88" i="14"/>
  <c r="BQ88" i="14"/>
  <c r="BQ89" i="14" s="1"/>
  <c r="BQ90" i="14" s="1"/>
  <c r="BQ91" i="14" s="1"/>
  <c r="BQ92" i="14" s="1"/>
  <c r="BQ93" i="14" s="1"/>
  <c r="BQ94" i="14" s="1"/>
  <c r="BQ95" i="14" s="1"/>
  <c r="BQ96" i="14" s="1"/>
  <c r="BQ97" i="14" s="1"/>
  <c r="BQ98" i="14" s="1"/>
  <c r="BQ99" i="14" s="1"/>
  <c r="BQ100" i="14" s="1"/>
  <c r="BQ101" i="14" s="1"/>
  <c r="BQ102" i="14" s="1"/>
  <c r="BQ103" i="14" s="1"/>
  <c r="Y162" i="14" s="1"/>
  <c r="Y163" i="14" s="1"/>
  <c r="Y165" i="14" s="1"/>
  <c r="Y167" i="14" s="1"/>
  <c r="DX63" i="15"/>
  <c r="DX64" i="15" s="1"/>
  <c r="DX65" i="15" s="1"/>
  <c r="DX66" i="15" s="1"/>
  <c r="DX67" i="15" s="1"/>
  <c r="DX68" i="15" s="1"/>
  <c r="DX69" i="15" s="1"/>
  <c r="DX70" i="15" s="1"/>
  <c r="DX71" i="15" s="1"/>
  <c r="DX72" i="15" s="1"/>
  <c r="DX73" i="15" s="1"/>
  <c r="DX74" i="15" s="1"/>
  <c r="DX75" i="15" s="1"/>
  <c r="DX76" i="15" s="1"/>
  <c r="DX77" i="15" s="1"/>
  <c r="DX78" i="15" s="1"/>
  <c r="AX63" i="15"/>
  <c r="AX64" i="15" s="1"/>
  <c r="AX65" i="15" s="1"/>
  <c r="AX66" i="15" s="1"/>
  <c r="AX67" i="15" s="1"/>
  <c r="AX68" i="15" s="1"/>
  <c r="AX69" i="15" s="1"/>
  <c r="AX70" i="15" s="1"/>
  <c r="AX71" i="15" s="1"/>
  <c r="AX72" i="15" s="1"/>
  <c r="AX73" i="15" s="1"/>
  <c r="AX74" i="15" s="1"/>
  <c r="AX75" i="15" s="1"/>
  <c r="AX76" i="15" s="1"/>
  <c r="AX77" i="15" s="1"/>
  <c r="AX78" i="15" s="1"/>
  <c r="BG113" i="15"/>
  <c r="DC113" i="15"/>
  <c r="DD113" i="15" s="1"/>
  <c r="CE113" i="15"/>
  <c r="CF113" i="15" s="1"/>
  <c r="AI113" i="15"/>
  <c r="AW73" i="15"/>
  <c r="AW74" i="15" s="1"/>
  <c r="AW75" i="15" s="1"/>
  <c r="AW76" i="15" s="1"/>
  <c r="AW77" i="15" s="1"/>
  <c r="AW78" i="15" s="1"/>
  <c r="S162" i="15" s="1"/>
  <c r="S163" i="15" s="1"/>
  <c r="S165" i="15" s="1"/>
  <c r="S167" i="15" s="1"/>
  <c r="CX71" i="15"/>
  <c r="CX72" i="15" s="1"/>
  <c r="CX73" i="15" s="1"/>
  <c r="CX74" i="15" s="1"/>
  <c r="CX75" i="15" s="1"/>
  <c r="CX76" i="15" s="1"/>
  <c r="CX77" i="15" s="1"/>
  <c r="CX78" i="15" s="1"/>
  <c r="S20" i="8"/>
  <c r="X69" i="2"/>
  <c r="T24" i="8" s="1"/>
  <c r="CG113" i="16"/>
  <c r="DE113" i="16"/>
  <c r="AK113" i="16"/>
  <c r="AS113" i="16"/>
  <c r="AS114" i="16" s="1"/>
  <c r="AS115" i="16" s="1"/>
  <c r="AS116" i="16" s="1"/>
  <c r="AS117" i="16" s="1"/>
  <c r="AS118" i="16" s="1"/>
  <c r="AS119" i="16" s="1"/>
  <c r="AS120" i="16" s="1"/>
  <c r="AS121" i="16" s="1"/>
  <c r="AS122" i="16" s="1"/>
  <c r="AS123" i="16" s="1"/>
  <c r="AS124" i="16" s="1"/>
  <c r="AS125" i="16" s="1"/>
  <c r="AS126" i="16" s="1"/>
  <c r="AS127" i="16" s="1"/>
  <c r="AS128" i="16" s="1"/>
  <c r="AC162" i="16" s="1"/>
  <c r="AC163" i="16" s="1"/>
  <c r="DV63" i="15"/>
  <c r="DY63" i="15"/>
  <c r="DY63" i="16"/>
  <c r="DV63" i="16"/>
  <c r="CV63" i="14"/>
  <c r="CY63" i="14"/>
  <c r="V63" i="15"/>
  <c r="Y63" i="15"/>
  <c r="DV63" i="14"/>
  <c r="DY63" i="14"/>
  <c r="AF65" i="10"/>
  <c r="H65" i="10"/>
  <c r="AV63" i="16"/>
  <c r="AY63" i="16"/>
  <c r="CO113" i="14"/>
  <c r="CO114" i="14" s="1"/>
  <c r="CO115" i="14" s="1"/>
  <c r="CO116" i="14" s="1"/>
  <c r="CO117" i="14" s="1"/>
  <c r="CO118" i="14" s="1"/>
  <c r="CO119" i="14" s="1"/>
  <c r="CO120" i="14" s="1"/>
  <c r="CO121" i="14" s="1"/>
  <c r="CO122" i="14" s="1"/>
  <c r="CO123" i="14" s="1"/>
  <c r="CO124" i="14" s="1"/>
  <c r="CO125" i="14" s="1"/>
  <c r="CO126" i="14" s="1"/>
  <c r="CO127" i="14" s="1"/>
  <c r="CO128" i="14" s="1"/>
  <c r="AE162" i="14" s="1"/>
  <c r="AE163" i="14" s="1"/>
  <c r="AE165" i="14" s="1"/>
  <c r="AE167" i="14" s="1"/>
  <c r="CF113" i="14"/>
  <c r="U113" i="15"/>
  <c r="U114" i="15" s="1"/>
  <c r="U115" i="15" s="1"/>
  <c r="U116" i="15" s="1"/>
  <c r="U117" i="15" s="1"/>
  <c r="U118" i="15" s="1"/>
  <c r="U119" i="15" s="1"/>
  <c r="U120" i="15" s="1"/>
  <c r="U121" i="15" s="1"/>
  <c r="U122" i="15" s="1"/>
  <c r="U123" i="15" s="1"/>
  <c r="U124" i="15" s="1"/>
  <c r="U125" i="15" s="1"/>
  <c r="U126" i="15" s="1"/>
  <c r="U127" i="15" s="1"/>
  <c r="U128" i="15" s="1"/>
  <c r="AB162" i="15" s="1"/>
  <c r="AB163" i="15" s="1"/>
  <c r="AB165" i="15" s="1"/>
  <c r="AB167" i="15" s="1"/>
  <c r="L113" i="15"/>
  <c r="AS113" i="13"/>
  <c r="AS114" i="13" s="1"/>
  <c r="AS115" i="13" s="1"/>
  <c r="AS116" i="13" s="1"/>
  <c r="AS117" i="13" s="1"/>
  <c r="AS118" i="13" s="1"/>
  <c r="AS119" i="13" s="1"/>
  <c r="AS120" i="13" s="1"/>
  <c r="AS121" i="13" s="1"/>
  <c r="AS122" i="13" s="1"/>
  <c r="AS123" i="13" s="1"/>
  <c r="AS124" i="13" s="1"/>
  <c r="AS125" i="13" s="1"/>
  <c r="AS126" i="13" s="1"/>
  <c r="AS127" i="13" s="1"/>
  <c r="AS128" i="13" s="1"/>
  <c r="AC162" i="13" s="1"/>
  <c r="AC163" i="13" s="1"/>
  <c r="AC165" i="13" s="1"/>
  <c r="AC167" i="13" s="1"/>
  <c r="AJ113" i="13"/>
  <c r="BQ113" i="16"/>
  <c r="BQ114" i="16" s="1"/>
  <c r="BQ115" i="16" s="1"/>
  <c r="BQ116" i="16" s="1"/>
  <c r="BQ117" i="16" s="1"/>
  <c r="BQ118" i="16" s="1"/>
  <c r="BQ119" i="16" s="1"/>
  <c r="BQ120" i="16" s="1"/>
  <c r="BQ121" i="16" s="1"/>
  <c r="BQ122" i="16" s="1"/>
  <c r="BQ123" i="16" s="1"/>
  <c r="BQ124" i="16" s="1"/>
  <c r="BQ125" i="16" s="1"/>
  <c r="BQ126" i="16" s="1"/>
  <c r="BQ127" i="16" s="1"/>
  <c r="BQ128" i="16" s="1"/>
  <c r="AD162" i="16" s="1"/>
  <c r="AD163" i="16" s="1"/>
  <c r="BH113" i="16"/>
  <c r="U113" i="16"/>
  <c r="U114" i="16" s="1"/>
  <c r="U115" i="16" s="1"/>
  <c r="U116" i="16" s="1"/>
  <c r="U117" i="16" s="1"/>
  <c r="U118" i="16" s="1"/>
  <c r="U119" i="16" s="1"/>
  <c r="U120" i="16" s="1"/>
  <c r="U121" i="16" s="1"/>
  <c r="U122" i="16" s="1"/>
  <c r="U123" i="16" s="1"/>
  <c r="U124" i="16" s="1"/>
  <c r="U125" i="16" s="1"/>
  <c r="U126" i="16" s="1"/>
  <c r="U127" i="16" s="1"/>
  <c r="U128" i="16" s="1"/>
  <c r="AB162" i="16" s="1"/>
  <c r="AB163" i="16" s="1"/>
  <c r="L113" i="16"/>
  <c r="AI88" i="15"/>
  <c r="BQ88" i="16"/>
  <c r="BQ89" i="16" s="1"/>
  <c r="BQ90" i="16" s="1"/>
  <c r="BQ91" i="16" s="1"/>
  <c r="BQ92" i="16" s="1"/>
  <c r="BQ93" i="16" s="1"/>
  <c r="BQ94" i="16" s="1"/>
  <c r="BQ95" i="16" s="1"/>
  <c r="BQ96" i="16" s="1"/>
  <c r="BQ97" i="16" s="1"/>
  <c r="BQ98" i="16" s="1"/>
  <c r="BQ99" i="16" s="1"/>
  <c r="BQ100" i="16" s="1"/>
  <c r="BQ101" i="16" s="1"/>
  <c r="BQ102" i="16" s="1"/>
  <c r="BQ103" i="16" s="1"/>
  <c r="Y162" i="16" s="1"/>
  <c r="Y163" i="16" s="1"/>
  <c r="BH88" i="16"/>
  <c r="DM88" i="15"/>
  <c r="DM89" i="15" s="1"/>
  <c r="DM90" i="15" s="1"/>
  <c r="DM91" i="15" s="1"/>
  <c r="DM92" i="15" s="1"/>
  <c r="DM93" i="15" s="1"/>
  <c r="DM94" i="15" s="1"/>
  <c r="DM95" i="15" s="1"/>
  <c r="DM96" i="15" s="1"/>
  <c r="DM97" i="15" s="1"/>
  <c r="DM98" i="15" s="1"/>
  <c r="DM99" i="15" s="1"/>
  <c r="DM100" i="15" s="1"/>
  <c r="DM101" i="15" s="1"/>
  <c r="DM102" i="15" s="1"/>
  <c r="DM103" i="15" s="1"/>
  <c r="AA162" i="15" s="1"/>
  <c r="AA163" i="15" s="1"/>
  <c r="AA165" i="15" s="1"/>
  <c r="AA167" i="15" s="1"/>
  <c r="DD88" i="15"/>
  <c r="DM88" i="14"/>
  <c r="DM89" i="14" s="1"/>
  <c r="DM90" i="14" s="1"/>
  <c r="DM91" i="14" s="1"/>
  <c r="DM92" i="14" s="1"/>
  <c r="DM93" i="14" s="1"/>
  <c r="DM94" i="14" s="1"/>
  <c r="DM95" i="14" s="1"/>
  <c r="DM96" i="14" s="1"/>
  <c r="DM97" i="14" s="1"/>
  <c r="DM98" i="14" s="1"/>
  <c r="DM99" i="14" s="1"/>
  <c r="DM100" i="14" s="1"/>
  <c r="DM101" i="14" s="1"/>
  <c r="DM102" i="14" s="1"/>
  <c r="DM103" i="14" s="1"/>
  <c r="AA162" i="14" s="1"/>
  <c r="AA163" i="14" s="1"/>
  <c r="AA165" i="14" s="1"/>
  <c r="AA167" i="14" s="1"/>
  <c r="DD88" i="14"/>
  <c r="BH88" i="14"/>
  <c r="AV63" i="15"/>
  <c r="AY63" i="15"/>
  <c r="CY63" i="16"/>
  <c r="CV63" i="16"/>
  <c r="V63" i="14"/>
  <c r="Y63" i="14"/>
  <c r="DE88" i="14"/>
  <c r="DD113" i="13"/>
  <c r="CO113" i="16"/>
  <c r="CO114" i="16" s="1"/>
  <c r="CO115" i="16" s="1"/>
  <c r="CO116" i="16" s="1"/>
  <c r="CO117" i="16" s="1"/>
  <c r="CO118" i="16" s="1"/>
  <c r="CO119" i="16" s="1"/>
  <c r="CO120" i="16" s="1"/>
  <c r="CO121" i="16" s="1"/>
  <c r="CO122" i="16" s="1"/>
  <c r="CO123" i="16" s="1"/>
  <c r="CO124" i="16" s="1"/>
  <c r="CO125" i="16" s="1"/>
  <c r="CO126" i="16" s="1"/>
  <c r="CO127" i="16" s="1"/>
  <c r="CO128" i="16" s="1"/>
  <c r="AE162" i="16" s="1"/>
  <c r="AE163" i="16" s="1"/>
  <c r="CF113" i="16"/>
  <c r="L113" i="14"/>
  <c r="CF113" i="13"/>
  <c r="DM113" i="16"/>
  <c r="DM114" i="16" s="1"/>
  <c r="DM115" i="16" s="1"/>
  <c r="DM116" i="16" s="1"/>
  <c r="DM117" i="16" s="1"/>
  <c r="DM118" i="16" s="1"/>
  <c r="DM119" i="16" s="1"/>
  <c r="DM120" i="16" s="1"/>
  <c r="DM121" i="16" s="1"/>
  <c r="DM122" i="16" s="1"/>
  <c r="DM123" i="16" s="1"/>
  <c r="DM124" i="16" s="1"/>
  <c r="DM125" i="16" s="1"/>
  <c r="DM126" i="16" s="1"/>
  <c r="DM127" i="16" s="1"/>
  <c r="DM128" i="16" s="1"/>
  <c r="AF162" i="16" s="1"/>
  <c r="AF163" i="16" s="1"/>
  <c r="DD113" i="16"/>
  <c r="AK113" i="13"/>
  <c r="M113" i="16"/>
  <c r="CG113" i="14"/>
  <c r="DD88" i="13"/>
  <c r="AJ88" i="14"/>
  <c r="DD88" i="16"/>
  <c r="BH88" i="15"/>
  <c r="L88" i="15"/>
  <c r="F32" i="22"/>
  <c r="I65" i="10"/>
  <c r="W65" i="10" s="1"/>
  <c r="AB65" i="10" s="1"/>
  <c r="V63" i="16"/>
  <c r="Y63" i="16"/>
  <c r="BV63" i="15"/>
  <c r="BY63" i="15"/>
  <c r="BV63" i="14"/>
  <c r="BY63" i="14"/>
  <c r="BI113" i="16"/>
  <c r="L113" i="13"/>
  <c r="BH113" i="15"/>
  <c r="AJ113" i="14"/>
  <c r="DD113" i="14"/>
  <c r="BH113" i="14"/>
  <c r="DE88" i="15"/>
  <c r="CO88" i="14"/>
  <c r="CO89" i="14" s="1"/>
  <c r="CO90" i="14" s="1"/>
  <c r="CO91" i="14" s="1"/>
  <c r="CO92" i="14" s="1"/>
  <c r="CO93" i="14" s="1"/>
  <c r="CO94" i="14" s="1"/>
  <c r="CO95" i="14" s="1"/>
  <c r="CO96" i="14" s="1"/>
  <c r="CO97" i="14" s="1"/>
  <c r="CO98" i="14" s="1"/>
  <c r="CO99" i="14" s="1"/>
  <c r="CO100" i="14" s="1"/>
  <c r="CO101" i="14" s="1"/>
  <c r="CO102" i="14" s="1"/>
  <c r="CO103" i="14" s="1"/>
  <c r="Z162" i="14" s="1"/>
  <c r="Z163" i="14" s="1"/>
  <c r="Z165" i="14" s="1"/>
  <c r="Z167" i="14" s="1"/>
  <c r="CF88" i="14"/>
  <c r="L88" i="16"/>
  <c r="AS88" i="13"/>
  <c r="AS89" i="13" s="1"/>
  <c r="AS90" i="13" s="1"/>
  <c r="AS91" i="13" s="1"/>
  <c r="AS92" i="13" s="1"/>
  <c r="AS93" i="13" s="1"/>
  <c r="AS94" i="13" s="1"/>
  <c r="AS95" i="13" s="1"/>
  <c r="AS96" i="13" s="1"/>
  <c r="AS97" i="13" s="1"/>
  <c r="AS98" i="13" s="1"/>
  <c r="AS99" i="13" s="1"/>
  <c r="AS100" i="13" s="1"/>
  <c r="AS101" i="13" s="1"/>
  <c r="AS102" i="13" s="1"/>
  <c r="AS103" i="13" s="1"/>
  <c r="X162" i="13" s="1"/>
  <c r="X163" i="13" s="1"/>
  <c r="X165" i="13" s="1"/>
  <c r="X167" i="13" s="1"/>
  <c r="AJ88" i="13"/>
  <c r="CF88" i="16"/>
  <c r="AJ88" i="16"/>
  <c r="G32" i="22"/>
  <c r="CE88" i="15"/>
  <c r="CV63" i="15"/>
  <c r="CY63" i="15"/>
  <c r="BV63" i="16"/>
  <c r="BY63" i="16"/>
  <c r="AV63" i="14"/>
  <c r="AY63" i="14"/>
  <c r="BI88" i="16"/>
  <c r="AJ113" i="16"/>
  <c r="BH113" i="13"/>
  <c r="M113" i="15"/>
  <c r="L88" i="13"/>
  <c r="BH88" i="13"/>
  <c r="L88" i="14"/>
  <c r="CF88" i="13"/>
  <c r="Y17" i="2"/>
  <c r="U16" i="8" s="1"/>
  <c r="DV63" i="13"/>
  <c r="DY63" i="13"/>
  <c r="AV63" i="13"/>
  <c r="AY63" i="13"/>
  <c r="V63" i="13"/>
  <c r="Y63" i="13"/>
  <c r="CV63" i="13"/>
  <c r="CY63" i="13"/>
  <c r="BV63" i="13"/>
  <c r="BY63" i="13"/>
  <c r="AI39" i="10"/>
  <c r="K61" i="22"/>
  <c r="BP39" i="13"/>
  <c r="BP40" i="13" s="1"/>
  <c r="BP41" i="13" s="1"/>
  <c r="BP42" i="13" s="1"/>
  <c r="BP43" i="13" s="1"/>
  <c r="BP44" i="13" s="1"/>
  <c r="BP45" i="13" s="1"/>
  <c r="BP46" i="13" s="1"/>
  <c r="BP47" i="13" s="1"/>
  <c r="BP48" i="13" s="1"/>
  <c r="BP49" i="13" s="1"/>
  <c r="BP50" i="13" s="1"/>
  <c r="BP51" i="13" s="1"/>
  <c r="BP52" i="13" s="1"/>
  <c r="BP53" i="13" s="1"/>
  <c r="O161" i="13" s="1"/>
  <c r="DL39" i="16"/>
  <c r="DL40" i="16" s="1"/>
  <c r="DL41" i="16" s="1"/>
  <c r="DL42" i="16" s="1"/>
  <c r="DL43" i="16" s="1"/>
  <c r="DL44" i="16" s="1"/>
  <c r="DL45" i="16" s="1"/>
  <c r="DL46" i="16" s="1"/>
  <c r="DL47" i="16" s="1"/>
  <c r="DL48" i="16" s="1"/>
  <c r="DL49" i="16" s="1"/>
  <c r="DL50" i="16" s="1"/>
  <c r="DL51" i="16" s="1"/>
  <c r="DL52" i="16" s="1"/>
  <c r="DL53" i="16" s="1"/>
  <c r="Q161" i="16" s="1"/>
  <c r="BP39" i="14"/>
  <c r="BP40" i="14" s="1"/>
  <c r="BP41" i="14" s="1"/>
  <c r="BP42" i="14" s="1"/>
  <c r="BP43" i="14" s="1"/>
  <c r="BP44" i="14" s="1"/>
  <c r="BP45" i="14" s="1"/>
  <c r="BP46" i="14" s="1"/>
  <c r="BP47" i="14" s="1"/>
  <c r="BP48" i="14" s="1"/>
  <c r="BP49" i="14" s="1"/>
  <c r="BP50" i="14" s="1"/>
  <c r="BP51" i="14" s="1"/>
  <c r="BP52" i="14" s="1"/>
  <c r="BP53" i="14" s="1"/>
  <c r="O161" i="14" s="1"/>
  <c r="DL39" i="13"/>
  <c r="DL40" i="13" s="1"/>
  <c r="DL41" i="13" s="1"/>
  <c r="DL42" i="13" s="1"/>
  <c r="DL43" i="13" s="1"/>
  <c r="DL44" i="13" s="1"/>
  <c r="DL45" i="13" s="1"/>
  <c r="DL46" i="13" s="1"/>
  <c r="DL47" i="13" s="1"/>
  <c r="DL48" i="13" s="1"/>
  <c r="DL49" i="13" s="1"/>
  <c r="DL50" i="13" s="1"/>
  <c r="DL51" i="13" s="1"/>
  <c r="DL52" i="13" s="1"/>
  <c r="DL53" i="13" s="1"/>
  <c r="Q161" i="13" s="1"/>
  <c r="CN39" i="16"/>
  <c r="CN40" i="16" s="1"/>
  <c r="CN41" i="16" s="1"/>
  <c r="CN42" i="16" s="1"/>
  <c r="CN43" i="16" s="1"/>
  <c r="CN44" i="16" s="1"/>
  <c r="CN45" i="16" s="1"/>
  <c r="CN46" i="16" s="1"/>
  <c r="CN47" i="16" s="1"/>
  <c r="CN48" i="16" s="1"/>
  <c r="CN49" i="16" s="1"/>
  <c r="CN50" i="16" s="1"/>
  <c r="CN51" i="16" s="1"/>
  <c r="CN52" i="16" s="1"/>
  <c r="CN53" i="16" s="1"/>
  <c r="P161" i="16" s="1"/>
  <c r="DL39" i="14"/>
  <c r="DL40" i="14" s="1"/>
  <c r="DL41" i="14" s="1"/>
  <c r="DL42" i="14" s="1"/>
  <c r="DL43" i="14" s="1"/>
  <c r="DL44" i="14" s="1"/>
  <c r="DL45" i="14" s="1"/>
  <c r="DL46" i="14" s="1"/>
  <c r="DL47" i="14" s="1"/>
  <c r="DL48" i="14" s="1"/>
  <c r="DL49" i="14" s="1"/>
  <c r="DL50" i="14" s="1"/>
  <c r="DL51" i="14" s="1"/>
  <c r="DL52" i="14" s="1"/>
  <c r="DL53" i="14" s="1"/>
  <c r="Q161" i="14" s="1"/>
  <c r="BP39" i="15"/>
  <c r="BP40" i="15" s="1"/>
  <c r="BP41" i="15" s="1"/>
  <c r="BP42" i="15" s="1"/>
  <c r="BP43" i="15" s="1"/>
  <c r="BP44" i="15" s="1"/>
  <c r="BP45" i="15" s="1"/>
  <c r="BP46" i="15" s="1"/>
  <c r="BP47" i="15" s="1"/>
  <c r="BP48" i="15" s="1"/>
  <c r="BP49" i="15" s="1"/>
  <c r="BP50" i="15" s="1"/>
  <c r="BP51" i="15" s="1"/>
  <c r="BP52" i="15" s="1"/>
  <c r="BP53" i="15" s="1"/>
  <c r="O161" i="15" s="1"/>
  <c r="AR39" i="13"/>
  <c r="AR40" i="13" s="1"/>
  <c r="AR41" i="13" s="1"/>
  <c r="AR42" i="13" s="1"/>
  <c r="AR43" i="13" s="1"/>
  <c r="AR44" i="13" s="1"/>
  <c r="AR45" i="13" s="1"/>
  <c r="AR46" i="13" s="1"/>
  <c r="AR47" i="13" s="1"/>
  <c r="AR48" i="13" s="1"/>
  <c r="AR49" i="13" s="1"/>
  <c r="AR50" i="13" s="1"/>
  <c r="AR51" i="13" s="1"/>
  <c r="AR52" i="13" s="1"/>
  <c r="AR53" i="13" s="1"/>
  <c r="N161" i="13" s="1"/>
  <c r="AF17" i="2"/>
  <c r="W16" i="8" s="1"/>
  <c r="CB12" i="15"/>
  <c r="CE12" i="15" s="1"/>
  <c r="CZ12" i="15"/>
  <c r="DC12" i="15" s="1"/>
  <c r="BD12" i="14"/>
  <c r="BG12" i="14" s="1"/>
  <c r="H12" i="14"/>
  <c r="K12" i="14" s="1"/>
  <c r="CB12" i="13"/>
  <c r="CE12" i="13" s="1"/>
  <c r="CZ12" i="14"/>
  <c r="DC12" i="14" s="1"/>
  <c r="CB12" i="14"/>
  <c r="CE12" i="14" s="1"/>
  <c r="CZ12" i="13"/>
  <c r="DC12" i="13" s="1"/>
  <c r="AF12" i="15"/>
  <c r="AI12" i="15" s="1"/>
  <c r="BD12" i="13"/>
  <c r="BG12" i="13" s="1"/>
  <c r="CZ12" i="16"/>
  <c r="DC12" i="16" s="1"/>
  <c r="BD12" i="16"/>
  <c r="BG12" i="16" s="1"/>
  <c r="H12" i="16"/>
  <c r="K12" i="16" s="1"/>
  <c r="AF12" i="14"/>
  <c r="AI12" i="14" s="1"/>
  <c r="AF12" i="16"/>
  <c r="AI12" i="16" s="1"/>
  <c r="CB12" i="16"/>
  <c r="CE12" i="16" s="1"/>
  <c r="BD12" i="15"/>
  <c r="BG12" i="15" s="1"/>
  <c r="H12" i="15"/>
  <c r="K12" i="15" s="1"/>
  <c r="AF12" i="13"/>
  <c r="AI12" i="13" s="1"/>
  <c r="H12" i="13"/>
  <c r="K12" i="13" s="1"/>
  <c r="CN39" i="15"/>
  <c r="CN40" i="15" s="1"/>
  <c r="CN41" i="15" s="1"/>
  <c r="CN42" i="15" s="1"/>
  <c r="CN43" i="15" s="1"/>
  <c r="CN44" i="15" s="1"/>
  <c r="CN45" i="15" s="1"/>
  <c r="CN46" i="15" s="1"/>
  <c r="CN47" i="15" s="1"/>
  <c r="CN48" i="15" s="1"/>
  <c r="CN49" i="15" s="1"/>
  <c r="CN50" i="15" s="1"/>
  <c r="CN51" i="15" s="1"/>
  <c r="CN52" i="15" s="1"/>
  <c r="CN53" i="15" s="1"/>
  <c r="P161" i="15" s="1"/>
  <c r="CN39" i="13"/>
  <c r="CN40" i="13" s="1"/>
  <c r="CN41" i="13" s="1"/>
  <c r="CN42" i="13" s="1"/>
  <c r="CN43" i="13" s="1"/>
  <c r="CN44" i="13" s="1"/>
  <c r="CN45" i="13" s="1"/>
  <c r="CN46" i="13" s="1"/>
  <c r="CN47" i="13" s="1"/>
  <c r="CN48" i="13" s="1"/>
  <c r="CN49" i="13" s="1"/>
  <c r="CN50" i="13" s="1"/>
  <c r="CN51" i="13" s="1"/>
  <c r="CN52" i="13" s="1"/>
  <c r="CN53" i="13" s="1"/>
  <c r="P161" i="13" s="1"/>
  <c r="T39" i="16"/>
  <c r="T40" i="16" s="1"/>
  <c r="T41" i="16" s="1"/>
  <c r="T42" i="16" s="1"/>
  <c r="T43" i="16" s="1"/>
  <c r="T44" i="16" s="1"/>
  <c r="T45" i="16" s="1"/>
  <c r="T46" i="16" s="1"/>
  <c r="T47" i="16" s="1"/>
  <c r="T48" i="16" s="1"/>
  <c r="T49" i="16" s="1"/>
  <c r="T50" i="16" s="1"/>
  <c r="T51" i="16" s="1"/>
  <c r="T52" i="16" s="1"/>
  <c r="T53" i="16" s="1"/>
  <c r="M161" i="16" s="1"/>
  <c r="T39" i="15"/>
  <c r="T40" i="15" s="1"/>
  <c r="T41" i="15" s="1"/>
  <c r="T42" i="15" s="1"/>
  <c r="T43" i="15" s="1"/>
  <c r="T44" i="15" s="1"/>
  <c r="T45" i="15" s="1"/>
  <c r="T46" i="15" s="1"/>
  <c r="T47" i="15" s="1"/>
  <c r="T48" i="15" s="1"/>
  <c r="T49" i="15" s="1"/>
  <c r="T50" i="15" s="1"/>
  <c r="T51" i="15" s="1"/>
  <c r="T52" i="15" s="1"/>
  <c r="T53" i="15" s="1"/>
  <c r="M161" i="15" s="1"/>
  <c r="AF92" i="10"/>
  <c r="AF93" i="10" s="1"/>
  <c r="AF94" i="10" s="1"/>
  <c r="AF95" i="10" s="1"/>
  <c r="AF96" i="10" s="1"/>
  <c r="AF97" i="10" s="1"/>
  <c r="AF98" i="10" s="1"/>
  <c r="AF99" i="10" s="1"/>
  <c r="AF100" i="10" s="1"/>
  <c r="AF101" i="10" s="1"/>
  <c r="AF102" i="10" s="1"/>
  <c r="AF103" i="10" s="1"/>
  <c r="AF104" i="10" s="1"/>
  <c r="AF105" i="10" s="1"/>
  <c r="AF106" i="10" s="1"/>
  <c r="CN41" i="14"/>
  <c r="CN42" i="14" s="1"/>
  <c r="CN43" i="14" s="1"/>
  <c r="CN44" i="14" s="1"/>
  <c r="CN45" i="14" s="1"/>
  <c r="CN46" i="14" s="1"/>
  <c r="CN47" i="14" s="1"/>
  <c r="CN48" i="14" s="1"/>
  <c r="CN49" i="14" s="1"/>
  <c r="CN50" i="14" s="1"/>
  <c r="CN51" i="14" s="1"/>
  <c r="CN52" i="14" s="1"/>
  <c r="CN53" i="14" s="1"/>
  <c r="P161" i="14" s="1"/>
  <c r="AR39" i="16"/>
  <c r="AR40" i="16" s="1"/>
  <c r="AR41" i="16" s="1"/>
  <c r="AR42" i="16" s="1"/>
  <c r="AR43" i="16" s="1"/>
  <c r="AR44" i="16" s="1"/>
  <c r="AR45" i="16" s="1"/>
  <c r="AR46" i="16" s="1"/>
  <c r="AR47" i="16" s="1"/>
  <c r="AR48" i="16" s="1"/>
  <c r="AR49" i="16" s="1"/>
  <c r="AR50" i="16" s="1"/>
  <c r="AR51" i="16" s="1"/>
  <c r="AR52" i="16" s="1"/>
  <c r="AR53" i="16" s="1"/>
  <c r="N161" i="16" s="1"/>
  <c r="T39" i="14"/>
  <c r="T40" i="14" s="1"/>
  <c r="T41" i="14" s="1"/>
  <c r="T42" i="14" s="1"/>
  <c r="T43" i="14" s="1"/>
  <c r="T44" i="14" s="1"/>
  <c r="T45" i="14" s="1"/>
  <c r="T46" i="14" s="1"/>
  <c r="T47" i="14" s="1"/>
  <c r="T48" i="14" s="1"/>
  <c r="T49" i="14" s="1"/>
  <c r="T50" i="14" s="1"/>
  <c r="T51" i="14" s="1"/>
  <c r="T52" i="14" s="1"/>
  <c r="T53" i="14" s="1"/>
  <c r="M161" i="14" s="1"/>
  <c r="AR39" i="15"/>
  <c r="AR40" i="15" s="1"/>
  <c r="AR41" i="15" s="1"/>
  <c r="AR42" i="15" s="1"/>
  <c r="AR43" i="15" s="1"/>
  <c r="AR44" i="15" s="1"/>
  <c r="AR45" i="15" s="1"/>
  <c r="AR46" i="15" s="1"/>
  <c r="AR47" i="15" s="1"/>
  <c r="AR48" i="15" s="1"/>
  <c r="AR49" i="15" s="1"/>
  <c r="AR50" i="15" s="1"/>
  <c r="AR51" i="15" s="1"/>
  <c r="AR52" i="15" s="1"/>
  <c r="AR53" i="15" s="1"/>
  <c r="N161" i="15" s="1"/>
  <c r="BP39" i="16"/>
  <c r="BP40" i="16" s="1"/>
  <c r="BP41" i="16" s="1"/>
  <c r="BP42" i="16" s="1"/>
  <c r="BP43" i="16" s="1"/>
  <c r="BP44" i="16" s="1"/>
  <c r="BP45" i="16" s="1"/>
  <c r="BP46" i="16" s="1"/>
  <c r="BP47" i="16" s="1"/>
  <c r="BP48" i="16" s="1"/>
  <c r="BP49" i="16" s="1"/>
  <c r="BP50" i="16" s="1"/>
  <c r="BP51" i="16" s="1"/>
  <c r="BP52" i="16" s="1"/>
  <c r="BP53" i="16" s="1"/>
  <c r="O161" i="16" s="1"/>
  <c r="DL39" i="15"/>
  <c r="DL40" i="15" s="1"/>
  <c r="DL41" i="15" s="1"/>
  <c r="DL42" i="15" s="1"/>
  <c r="DL43" i="15" s="1"/>
  <c r="DL44" i="15" s="1"/>
  <c r="DL45" i="15" s="1"/>
  <c r="DL46" i="15" s="1"/>
  <c r="DL47" i="15" s="1"/>
  <c r="DL48" i="15" s="1"/>
  <c r="DL49" i="15" s="1"/>
  <c r="DL50" i="15" s="1"/>
  <c r="DL51" i="15" s="1"/>
  <c r="DL52" i="15" s="1"/>
  <c r="DL53" i="15" s="1"/>
  <c r="Q161" i="15" s="1"/>
  <c r="T39" i="13"/>
  <c r="T40" i="13" s="1"/>
  <c r="T41" i="13" s="1"/>
  <c r="T42" i="13" s="1"/>
  <c r="T43" i="13" s="1"/>
  <c r="T44" i="13" s="1"/>
  <c r="T45" i="13" s="1"/>
  <c r="T46" i="13" s="1"/>
  <c r="T47" i="13" s="1"/>
  <c r="T48" i="13" s="1"/>
  <c r="T49" i="13" s="1"/>
  <c r="T50" i="13" s="1"/>
  <c r="T51" i="13" s="1"/>
  <c r="T52" i="13" s="1"/>
  <c r="T53" i="13" s="1"/>
  <c r="M161" i="13" s="1"/>
  <c r="AE27" i="16"/>
  <c r="AK27" i="16" s="1"/>
  <c r="T12" i="15"/>
  <c r="G12" i="15"/>
  <c r="G14" i="16"/>
  <c r="M14" i="16" s="1"/>
  <c r="G18" i="15"/>
  <c r="M18" i="15" s="1"/>
  <c r="CA16" i="15"/>
  <c r="CG16" i="15" s="1"/>
  <c r="H78" i="10"/>
  <c r="Y78" i="10" s="1"/>
  <c r="L74" i="22" s="1"/>
  <c r="R20" i="23" s="1"/>
  <c r="BC23" i="16"/>
  <c r="BI23" i="16" s="1"/>
  <c r="BC25" i="16"/>
  <c r="BI25" i="16" s="1"/>
  <c r="BC21" i="15"/>
  <c r="BI21" i="15" s="1"/>
  <c r="CY17" i="13"/>
  <c r="DE17" i="13" s="1"/>
  <c r="AE21" i="16"/>
  <c r="AK21" i="16" s="1"/>
  <c r="CA22" i="13"/>
  <c r="CG22" i="13" s="1"/>
  <c r="BC16" i="14"/>
  <c r="BI16" i="14" s="1"/>
  <c r="CA27" i="16"/>
  <c r="CG27" i="16" s="1"/>
  <c r="AE24" i="16"/>
  <c r="AK24" i="16" s="1"/>
  <c r="AE16" i="14"/>
  <c r="AK16" i="14" s="1"/>
  <c r="AP16" i="14" s="1"/>
  <c r="CA13" i="15"/>
  <c r="CG13" i="15" s="1"/>
  <c r="H70" i="10"/>
  <c r="Y70" i="10" s="1"/>
  <c r="L66" i="22" s="1"/>
  <c r="R12" i="23" s="1"/>
  <c r="CY23" i="13"/>
  <c r="DE23" i="13" s="1"/>
  <c r="CA13" i="14"/>
  <c r="CG13" i="14" s="1"/>
  <c r="CL13" i="14" s="1"/>
  <c r="CY27" i="13"/>
  <c r="DE27" i="13" s="1"/>
  <c r="AE15" i="16"/>
  <c r="AK15" i="16" s="1"/>
  <c r="G22" i="14"/>
  <c r="M22" i="14" s="1"/>
  <c r="G25" i="15"/>
  <c r="M25" i="15" s="1"/>
  <c r="AE16" i="16"/>
  <c r="AK16" i="16" s="1"/>
  <c r="CY24" i="13"/>
  <c r="DE24" i="13" s="1"/>
  <c r="DL12" i="16"/>
  <c r="CY12" i="16"/>
  <c r="CY27" i="16"/>
  <c r="DE27" i="16" s="1"/>
  <c r="BC27" i="13"/>
  <c r="BI27" i="13" s="1"/>
  <c r="G23" i="16"/>
  <c r="M23" i="16" s="1"/>
  <c r="DL12" i="14"/>
  <c r="CY12" i="14"/>
  <c r="G21" i="14"/>
  <c r="M21" i="14" s="1"/>
  <c r="CY18" i="13"/>
  <c r="DE18" i="13" s="1"/>
  <c r="BC20" i="13"/>
  <c r="BI20" i="13" s="1"/>
  <c r="G20" i="15"/>
  <c r="M20" i="15" s="1"/>
  <c r="AE19" i="16"/>
  <c r="AK19" i="16" s="1"/>
  <c r="BC26" i="14"/>
  <c r="BI26" i="14" s="1"/>
  <c r="AE20" i="13"/>
  <c r="AK20" i="13" s="1"/>
  <c r="CA18" i="13"/>
  <c r="CG18" i="13" s="1"/>
  <c r="T12" i="13"/>
  <c r="G12" i="13"/>
  <c r="AE24" i="14"/>
  <c r="AK24" i="14" s="1"/>
  <c r="AP24" i="14" s="1"/>
  <c r="BC13" i="16"/>
  <c r="BI13" i="16" s="1"/>
  <c r="AE25" i="16"/>
  <c r="AK25" i="16" s="1"/>
  <c r="CY26" i="13"/>
  <c r="DE26" i="13" s="1"/>
  <c r="CY16" i="16"/>
  <c r="DE16" i="16" s="1"/>
  <c r="AE25" i="13"/>
  <c r="AK25" i="13" s="1"/>
  <c r="AE18" i="14"/>
  <c r="AK18" i="14" s="1"/>
  <c r="AP18" i="14" s="1"/>
  <c r="AE22" i="15"/>
  <c r="AK22" i="15" s="1"/>
  <c r="CA25" i="14"/>
  <c r="CG25" i="14" s="1"/>
  <c r="CL25" i="14" s="1"/>
  <c r="CA24" i="15"/>
  <c r="CG24" i="15" s="1"/>
  <c r="CY25" i="15"/>
  <c r="DE25" i="15" s="1"/>
  <c r="CA25" i="15"/>
  <c r="CG25" i="15" s="1"/>
  <c r="CY26" i="15"/>
  <c r="DE26" i="15" s="1"/>
  <c r="H77" i="10"/>
  <c r="Y77" i="10" s="1"/>
  <c r="L73" i="22" s="1"/>
  <c r="H75" i="10"/>
  <c r="Y75" i="10" s="1"/>
  <c r="L71" i="22" s="1"/>
  <c r="R17" i="23" s="1"/>
  <c r="BP12" i="14"/>
  <c r="BC12" i="14"/>
  <c r="CA13" i="16"/>
  <c r="CG13" i="16" s="1"/>
  <c r="CA20" i="14"/>
  <c r="CG20" i="14" s="1"/>
  <c r="CL20" i="14" s="1"/>
  <c r="AE19" i="15"/>
  <c r="AK19" i="15" s="1"/>
  <c r="G25" i="14"/>
  <c r="M25" i="14" s="1"/>
  <c r="CA27" i="14"/>
  <c r="CG27" i="14" s="1"/>
  <c r="CL27" i="14" s="1"/>
  <c r="CY25" i="14"/>
  <c r="DE25" i="14" s="1"/>
  <c r="CA26" i="16"/>
  <c r="CG26" i="16" s="1"/>
  <c r="G19" i="16"/>
  <c r="M19" i="16" s="1"/>
  <c r="G27" i="14"/>
  <c r="M27" i="14" s="1"/>
  <c r="G26" i="15"/>
  <c r="M26" i="15" s="1"/>
  <c r="G20" i="16"/>
  <c r="M20" i="16" s="1"/>
  <c r="CA14" i="14"/>
  <c r="CG14" i="14" s="1"/>
  <c r="CL14" i="14" s="1"/>
  <c r="CY13" i="16"/>
  <c r="DE13" i="16" s="1"/>
  <c r="G16" i="13"/>
  <c r="M16" i="13" s="1"/>
  <c r="AE15" i="14"/>
  <c r="AK15" i="14" s="1"/>
  <c r="AP15" i="14" s="1"/>
  <c r="G25" i="16"/>
  <c r="M25" i="16" s="1"/>
  <c r="CY16" i="14"/>
  <c r="DE16" i="14" s="1"/>
  <c r="G24" i="14"/>
  <c r="M24" i="14" s="1"/>
  <c r="BC19" i="14"/>
  <c r="BI19" i="14" s="1"/>
  <c r="BC24" i="13"/>
  <c r="BI24" i="13" s="1"/>
  <c r="G21" i="15"/>
  <c r="M21" i="15" s="1"/>
  <c r="AE22" i="16"/>
  <c r="AK22" i="16" s="1"/>
  <c r="CY14" i="14"/>
  <c r="DE14" i="14" s="1"/>
  <c r="AE22" i="14"/>
  <c r="AK22" i="14" s="1"/>
  <c r="AP22" i="14" s="1"/>
  <c r="CA26" i="13"/>
  <c r="CG26" i="13" s="1"/>
  <c r="G17" i="13"/>
  <c r="M17" i="13" s="1"/>
  <c r="G14" i="15"/>
  <c r="M14" i="15" s="1"/>
  <c r="AE14" i="16"/>
  <c r="AK14" i="16" s="1"/>
  <c r="CA15" i="13"/>
  <c r="CG15" i="13" s="1"/>
  <c r="CA17" i="14"/>
  <c r="CG17" i="14" s="1"/>
  <c r="CL17" i="14" s="1"/>
  <c r="CY18" i="16"/>
  <c r="DE18" i="16" s="1"/>
  <c r="AE17" i="13"/>
  <c r="AK17" i="13" s="1"/>
  <c r="AE21" i="14"/>
  <c r="AK21" i="14" s="1"/>
  <c r="AP21" i="14" s="1"/>
  <c r="BC24" i="15"/>
  <c r="BI24" i="15" s="1"/>
  <c r="BC27" i="14"/>
  <c r="BI27" i="14" s="1"/>
  <c r="CA21" i="15"/>
  <c r="CG21" i="15" s="1"/>
  <c r="CY27" i="15"/>
  <c r="DE27" i="15" s="1"/>
  <c r="CA20" i="15"/>
  <c r="CG20" i="15" s="1"/>
  <c r="CA23" i="15"/>
  <c r="CG23" i="15" s="1"/>
  <c r="H74" i="10"/>
  <c r="Y74" i="10" s="1"/>
  <c r="L70" i="22" s="1"/>
  <c r="BC18" i="13"/>
  <c r="BI18" i="13" s="1"/>
  <c r="AE14" i="15"/>
  <c r="AK14" i="15" s="1"/>
  <c r="BC20" i="15"/>
  <c r="BI20" i="15" s="1"/>
  <c r="CA16" i="16"/>
  <c r="CG16" i="16" s="1"/>
  <c r="BC19" i="13"/>
  <c r="BI19" i="13" s="1"/>
  <c r="G27" i="13"/>
  <c r="M27" i="13" s="1"/>
  <c r="BC16" i="16"/>
  <c r="BI16" i="16" s="1"/>
  <c r="BC27" i="16"/>
  <c r="AE27" i="15"/>
  <c r="AK27" i="15" s="1"/>
  <c r="CA25" i="16"/>
  <c r="CG25" i="16" s="1"/>
  <c r="T12" i="14"/>
  <c r="G12" i="14"/>
  <c r="CY21" i="15"/>
  <c r="DE21" i="15" s="1"/>
  <c r="G20" i="14"/>
  <c r="M20" i="14" s="1"/>
  <c r="G17" i="14"/>
  <c r="M17" i="14" s="1"/>
  <c r="AE17" i="15"/>
  <c r="AK17" i="15" s="1"/>
  <c r="CA21" i="16"/>
  <c r="CG21" i="16" s="1"/>
  <c r="BC25" i="14"/>
  <c r="BI25" i="14" s="1"/>
  <c r="G19" i="15"/>
  <c r="M19" i="15" s="1"/>
  <c r="CA14" i="13"/>
  <c r="CG14" i="13" s="1"/>
  <c r="CY22" i="13"/>
  <c r="DE22" i="13" s="1"/>
  <c r="AE20" i="15"/>
  <c r="AK20" i="15" s="1"/>
  <c r="CA22" i="15"/>
  <c r="CG22" i="15" s="1"/>
  <c r="H76" i="10"/>
  <c r="Y76" i="10" s="1"/>
  <c r="L72" i="22" s="1"/>
  <c r="R18" i="23" s="1"/>
  <c r="AE16" i="15"/>
  <c r="AK16" i="15" s="1"/>
  <c r="H69" i="10"/>
  <c r="Y69" i="10" s="1"/>
  <c r="L65" i="22" s="1"/>
  <c r="R11" i="23" s="1"/>
  <c r="G21" i="13"/>
  <c r="M21" i="13" s="1"/>
  <c r="CY20" i="13"/>
  <c r="DE20" i="13" s="1"/>
  <c r="AE23" i="13"/>
  <c r="AK23" i="13" s="1"/>
  <c r="BC26" i="16"/>
  <c r="BI26" i="16" s="1"/>
  <c r="CY15" i="16"/>
  <c r="DE15" i="16" s="1"/>
  <c r="CY14" i="13"/>
  <c r="DE14" i="13" s="1"/>
  <c r="CA14" i="16"/>
  <c r="CG14" i="16" s="1"/>
  <c r="CY17" i="14"/>
  <c r="DE17" i="14" s="1"/>
  <c r="G25" i="13"/>
  <c r="M25" i="13" s="1"/>
  <c r="CA24" i="14"/>
  <c r="CG24" i="14" s="1"/>
  <c r="CL24" i="14" s="1"/>
  <c r="BC25" i="15"/>
  <c r="BI25" i="15" s="1"/>
  <c r="CA17" i="15"/>
  <c r="CG17" i="15" s="1"/>
  <c r="H79" i="10"/>
  <c r="Y79" i="10" s="1"/>
  <c r="L75" i="22" s="1"/>
  <c r="R21" i="23" s="1"/>
  <c r="H73" i="10"/>
  <c r="Y73" i="10" s="1"/>
  <c r="L69" i="22" s="1"/>
  <c r="R15" i="23" s="1"/>
  <c r="AE22" i="13"/>
  <c r="AK22" i="13" s="1"/>
  <c r="AE16" i="13"/>
  <c r="AK16" i="13" s="1"/>
  <c r="CY19" i="14"/>
  <c r="DE19" i="14" s="1"/>
  <c r="G17" i="16"/>
  <c r="M17" i="16" s="1"/>
  <c r="CA26" i="14"/>
  <c r="CG26" i="14" s="1"/>
  <c r="CL26" i="14" s="1"/>
  <c r="CA18" i="16"/>
  <c r="CG18" i="16" s="1"/>
  <c r="G23" i="13"/>
  <c r="M23" i="13" s="1"/>
  <c r="BP12" i="13"/>
  <c r="BC12" i="13"/>
  <c r="BC24" i="16"/>
  <c r="BI24" i="16" s="1"/>
  <c r="BC15" i="15"/>
  <c r="BI15" i="15" s="1"/>
  <c r="BC27" i="15"/>
  <c r="BI27" i="15" s="1"/>
  <c r="CA13" i="13"/>
  <c r="CG13" i="13" s="1"/>
  <c r="BC18" i="14"/>
  <c r="BI18" i="14" s="1"/>
  <c r="CY17" i="16"/>
  <c r="DE17" i="16" s="1"/>
  <c r="AE21" i="13"/>
  <c r="AK21" i="13" s="1"/>
  <c r="BC14" i="15"/>
  <c r="BI14" i="15" s="1"/>
  <c r="CY21" i="13"/>
  <c r="DE21" i="13" s="1"/>
  <c r="CY26" i="14"/>
  <c r="DE26" i="14" s="1"/>
  <c r="G23" i="15"/>
  <c r="M23" i="15" s="1"/>
  <c r="G14" i="13"/>
  <c r="M14" i="13" s="1"/>
  <c r="AE19" i="14"/>
  <c r="AK19" i="14" s="1"/>
  <c r="AP19" i="14" s="1"/>
  <c r="AE24" i="15"/>
  <c r="AK24" i="15" s="1"/>
  <c r="G27" i="16"/>
  <c r="M27" i="16" s="1"/>
  <c r="CY27" i="14"/>
  <c r="DE27" i="14" s="1"/>
  <c r="AE18" i="16"/>
  <c r="AK18" i="16" s="1"/>
  <c r="CN12" i="14"/>
  <c r="CA12" i="14"/>
  <c r="AE26" i="13"/>
  <c r="AK26" i="13" s="1"/>
  <c r="G16" i="15"/>
  <c r="M16" i="15" s="1"/>
  <c r="BC18" i="16"/>
  <c r="BI18" i="16" s="1"/>
  <c r="CA23" i="13"/>
  <c r="CG23" i="13" s="1"/>
  <c r="BC20" i="14"/>
  <c r="BI20" i="14" s="1"/>
  <c r="CY22" i="16"/>
  <c r="DE22" i="16" s="1"/>
  <c r="BC17" i="13"/>
  <c r="BI17" i="13" s="1"/>
  <c r="AE26" i="14"/>
  <c r="AK26" i="14" s="1"/>
  <c r="AP26" i="14" s="1"/>
  <c r="BC26" i="15"/>
  <c r="BI26" i="15" s="1"/>
  <c r="CY24" i="14"/>
  <c r="DE24" i="14" s="1"/>
  <c r="CY13" i="15"/>
  <c r="DE13" i="15" s="1"/>
  <c r="CA27" i="15"/>
  <c r="CG27" i="15" s="1"/>
  <c r="CY16" i="15"/>
  <c r="DE16" i="15" s="1"/>
  <c r="CA15" i="15"/>
  <c r="CG15" i="15" s="1"/>
  <c r="AE14" i="13"/>
  <c r="AK14" i="13" s="1"/>
  <c r="BC24" i="14"/>
  <c r="BI24" i="14" s="1"/>
  <c r="G19" i="14"/>
  <c r="M19" i="14" s="1"/>
  <c r="CA25" i="13"/>
  <c r="CG25" i="13" s="1"/>
  <c r="AE17" i="16"/>
  <c r="AK17" i="16" s="1"/>
  <c r="CN12" i="13"/>
  <c r="CA12" i="13"/>
  <c r="BC13" i="14"/>
  <c r="BI13" i="14" s="1"/>
  <c r="CA19" i="16"/>
  <c r="CG19" i="16" s="1"/>
  <c r="AE23" i="16"/>
  <c r="AK23" i="16" s="1"/>
  <c r="AR12" i="13"/>
  <c r="AE12" i="13"/>
  <c r="AE26" i="16"/>
  <c r="AK26" i="16" s="1"/>
  <c r="CA14" i="15"/>
  <c r="CG14" i="15" s="1"/>
  <c r="H66" i="10"/>
  <c r="Y66" i="10" s="1"/>
  <c r="L62" i="22" s="1"/>
  <c r="R8" i="23" s="1"/>
  <c r="G15" i="14"/>
  <c r="M15" i="14" s="1"/>
  <c r="CA23" i="16"/>
  <c r="CG23" i="16" s="1"/>
  <c r="CY25" i="16"/>
  <c r="DE25" i="16" s="1"/>
  <c r="AR12" i="14"/>
  <c r="AE12" i="14"/>
  <c r="BC17" i="16"/>
  <c r="BI17" i="16" s="1"/>
  <c r="G18" i="14"/>
  <c r="M18" i="14" s="1"/>
  <c r="CY14" i="16"/>
  <c r="DE14" i="16" s="1"/>
  <c r="CA18" i="14"/>
  <c r="CG18" i="14" s="1"/>
  <c r="CL18" i="14" s="1"/>
  <c r="CY23" i="15"/>
  <c r="DE23" i="15" s="1"/>
  <c r="BC22" i="15"/>
  <c r="BI22" i="15" s="1"/>
  <c r="CA24" i="13"/>
  <c r="CG24" i="13" s="1"/>
  <c r="BC14" i="14"/>
  <c r="BI14" i="14" s="1"/>
  <c r="BC21" i="14"/>
  <c r="BI21" i="14" s="1"/>
  <c r="G22" i="16"/>
  <c r="M22" i="16" s="1"/>
  <c r="G27" i="15"/>
  <c r="M27" i="15" s="1"/>
  <c r="CA21" i="14"/>
  <c r="CG21" i="14" s="1"/>
  <c r="CL21" i="14" s="1"/>
  <c r="AE17" i="14"/>
  <c r="AK17" i="14" s="1"/>
  <c r="AP17" i="14" s="1"/>
  <c r="CY20" i="14"/>
  <c r="DE20" i="14" s="1"/>
  <c r="AE14" i="14"/>
  <c r="AK14" i="14" s="1"/>
  <c r="AP14" i="14" s="1"/>
  <c r="G26" i="16"/>
  <c r="M26" i="16" s="1"/>
  <c r="CY25" i="13"/>
  <c r="DE25" i="13" s="1"/>
  <c r="G16" i="16"/>
  <c r="M16" i="16" s="1"/>
  <c r="CY20" i="16"/>
  <c r="DE20" i="16" s="1"/>
  <c r="G23" i="14"/>
  <c r="M23" i="14" s="1"/>
  <c r="CY15" i="15"/>
  <c r="DE15" i="15" s="1"/>
  <c r="CA19" i="15"/>
  <c r="CG19" i="15" s="1"/>
  <c r="H68" i="10"/>
  <c r="Y68" i="10" s="1"/>
  <c r="L64" i="22" s="1"/>
  <c r="H80" i="10"/>
  <c r="Y80" i="10" s="1"/>
  <c r="L76" i="22" s="1"/>
  <c r="BC23" i="15"/>
  <c r="BI23" i="15" s="1"/>
  <c r="G13" i="14"/>
  <c r="M13" i="14" s="1"/>
  <c r="G18" i="13"/>
  <c r="M18" i="13" s="1"/>
  <c r="CA16" i="13"/>
  <c r="CG16" i="13" s="1"/>
  <c r="CY15" i="14"/>
  <c r="DE15" i="14" s="1"/>
  <c r="G26" i="13"/>
  <c r="M26" i="13" s="1"/>
  <c r="AE24" i="13"/>
  <c r="AK24" i="13" s="1"/>
  <c r="BC22" i="13"/>
  <c r="BI22" i="13" s="1"/>
  <c r="CA20" i="13"/>
  <c r="CG20" i="13" s="1"/>
  <c r="BC18" i="15"/>
  <c r="BI18" i="15" s="1"/>
  <c r="AR12" i="16"/>
  <c r="AE12" i="16"/>
  <c r="CA17" i="13"/>
  <c r="CG17" i="13" s="1"/>
  <c r="CY13" i="14"/>
  <c r="DE13" i="14" s="1"/>
  <c r="CY19" i="16"/>
  <c r="DE19" i="16" s="1"/>
  <c r="AE13" i="13"/>
  <c r="AK13" i="13" s="1"/>
  <c r="BC16" i="15"/>
  <c r="BI16" i="15" s="1"/>
  <c r="CA15" i="14"/>
  <c r="CG15" i="14" s="1"/>
  <c r="CL15" i="14" s="1"/>
  <c r="CA24" i="16"/>
  <c r="CG24" i="16" s="1"/>
  <c r="AE26" i="15"/>
  <c r="AK26" i="15" s="1"/>
  <c r="G22" i="13"/>
  <c r="M22" i="13" s="1"/>
  <c r="G26" i="14"/>
  <c r="M26" i="14" s="1"/>
  <c r="AE25" i="15"/>
  <c r="AK25" i="15" s="1"/>
  <c r="CA16" i="14"/>
  <c r="CG16" i="14" s="1"/>
  <c r="CL16" i="14" s="1"/>
  <c r="CA17" i="16"/>
  <c r="CG17" i="16" s="1"/>
  <c r="AE20" i="16"/>
  <c r="AK20" i="16" s="1"/>
  <c r="CA22" i="14"/>
  <c r="CG22" i="14" s="1"/>
  <c r="CL22" i="14" s="1"/>
  <c r="AE18" i="13"/>
  <c r="AK18" i="13" s="1"/>
  <c r="G17" i="15"/>
  <c r="M17" i="15" s="1"/>
  <c r="BC20" i="16"/>
  <c r="BI20" i="16" s="1"/>
  <c r="CA27" i="13"/>
  <c r="CG27" i="13" s="1"/>
  <c r="BC23" i="14"/>
  <c r="BI23" i="14" s="1"/>
  <c r="CY24" i="16"/>
  <c r="DE24" i="16" s="1"/>
  <c r="BC21" i="13"/>
  <c r="BI21" i="13" s="1"/>
  <c r="BP12" i="15"/>
  <c r="BC12" i="15"/>
  <c r="BC19" i="16"/>
  <c r="BI19" i="16" s="1"/>
  <c r="CA15" i="16"/>
  <c r="CG15" i="16" s="1"/>
  <c r="CY17" i="15"/>
  <c r="DE17" i="15" s="1"/>
  <c r="DL12" i="15"/>
  <c r="CY12" i="15"/>
  <c r="CY18" i="15"/>
  <c r="DE18" i="15" s="1"/>
  <c r="CA18" i="15"/>
  <c r="CG18" i="15" s="1"/>
  <c r="H71" i="10"/>
  <c r="Y71" i="10" s="1"/>
  <c r="L67" i="22" s="1"/>
  <c r="G21" i="16"/>
  <c r="M21" i="16" s="1"/>
  <c r="AE21" i="15"/>
  <c r="AK21" i="15" s="1"/>
  <c r="CY22" i="14"/>
  <c r="DE22" i="14" s="1"/>
  <c r="CY23" i="16"/>
  <c r="DE23" i="16" s="1"/>
  <c r="BC22" i="14"/>
  <c r="BI22" i="14" s="1"/>
  <c r="AE19" i="13"/>
  <c r="AK19" i="13" s="1"/>
  <c r="BC17" i="15"/>
  <c r="BI17" i="15" s="1"/>
  <c r="G16" i="14"/>
  <c r="M16" i="14" s="1"/>
  <c r="CY19" i="13"/>
  <c r="DE19" i="13" s="1"/>
  <c r="AE18" i="15"/>
  <c r="AK18" i="15" s="1"/>
  <c r="CY22" i="15"/>
  <c r="DE22" i="15" s="1"/>
  <c r="CY13" i="13"/>
  <c r="DE13" i="13" s="1"/>
  <c r="AE15" i="15"/>
  <c r="AK15" i="15" s="1"/>
  <c r="CY16" i="13"/>
  <c r="DE16" i="13" s="1"/>
  <c r="BC15" i="16"/>
  <c r="BI15" i="16" s="1"/>
  <c r="BC23" i="13"/>
  <c r="BI23" i="13" s="1"/>
  <c r="BC16" i="13"/>
  <c r="BI16" i="13" s="1"/>
  <c r="G19" i="13"/>
  <c r="M19" i="13" s="1"/>
  <c r="G13" i="16"/>
  <c r="M13" i="16" s="1"/>
  <c r="G20" i="13"/>
  <c r="M20" i="13" s="1"/>
  <c r="CY24" i="15"/>
  <c r="DE24" i="15" s="1"/>
  <c r="CA19" i="14"/>
  <c r="CG19" i="14" s="1"/>
  <c r="CL19" i="14" s="1"/>
  <c r="G15" i="13"/>
  <c r="M15" i="13" s="1"/>
  <c r="BC26" i="13"/>
  <c r="BI26" i="13" s="1"/>
  <c r="BC14" i="16"/>
  <c r="BI14" i="16" s="1"/>
  <c r="G13" i="13"/>
  <c r="M13" i="13" s="1"/>
  <c r="BC13" i="15"/>
  <c r="BI13" i="15" s="1"/>
  <c r="G24" i="13"/>
  <c r="M24" i="13" s="1"/>
  <c r="G13" i="15"/>
  <c r="M13" i="15" s="1"/>
  <c r="G22" i="15"/>
  <c r="M22" i="15" s="1"/>
  <c r="AR12" i="15"/>
  <c r="AE12" i="15"/>
  <c r="G15" i="15"/>
  <c r="M15" i="15" s="1"/>
  <c r="CA19" i="13"/>
  <c r="CG19" i="13" s="1"/>
  <c r="BC13" i="13"/>
  <c r="BI13" i="13" s="1"/>
  <c r="CY18" i="14"/>
  <c r="DE18" i="14" s="1"/>
  <c r="CY14" i="15"/>
  <c r="DE14" i="15" s="1"/>
  <c r="H67" i="10"/>
  <c r="Y67" i="10" s="1"/>
  <c r="L63" i="22" s="1"/>
  <c r="R9" i="23" s="1"/>
  <c r="H72" i="10"/>
  <c r="Y72" i="10" s="1"/>
  <c r="L68" i="22" s="1"/>
  <c r="R14" i="23" s="1"/>
  <c r="G18" i="16"/>
  <c r="M18" i="16" s="1"/>
  <c r="BP12" i="16"/>
  <c r="BC12" i="16"/>
  <c r="AE15" i="13"/>
  <c r="AK15" i="13" s="1"/>
  <c r="DL12" i="13"/>
  <c r="CY12" i="13"/>
  <c r="AE20" i="14"/>
  <c r="AK20" i="14" s="1"/>
  <c r="AP20" i="14" s="1"/>
  <c r="BC14" i="13"/>
  <c r="BI14" i="13" s="1"/>
  <c r="AE23" i="14"/>
  <c r="AK23" i="14" s="1"/>
  <c r="AP23" i="14" s="1"/>
  <c r="G14" i="14"/>
  <c r="M14" i="14" s="1"/>
  <c r="BC17" i="14"/>
  <c r="BI17" i="14" s="1"/>
  <c r="BC19" i="15"/>
  <c r="BI19" i="15" s="1"/>
  <c r="AE13" i="16"/>
  <c r="AK13" i="16" s="1"/>
  <c r="CA21" i="13"/>
  <c r="CG21" i="13" s="1"/>
  <c r="CN12" i="16"/>
  <c r="CA12" i="16"/>
  <c r="CY21" i="16"/>
  <c r="DE21" i="16" s="1"/>
  <c r="BC15" i="13"/>
  <c r="BI15" i="13" s="1"/>
  <c r="G24" i="15"/>
  <c r="M24" i="15" s="1"/>
  <c r="BC15" i="14"/>
  <c r="BI15" i="14" s="1"/>
  <c r="AE25" i="14"/>
  <c r="AK25" i="14" s="1"/>
  <c r="AP25" i="14" s="1"/>
  <c r="T12" i="16"/>
  <c r="G12" i="16"/>
  <c r="AE27" i="13"/>
  <c r="AK27" i="13" s="1"/>
  <c r="AE27" i="14"/>
  <c r="AK27" i="14" s="1"/>
  <c r="AP27" i="14" s="1"/>
  <c r="G15" i="16"/>
  <c r="M15" i="16" s="1"/>
  <c r="CA23" i="14"/>
  <c r="CG23" i="14" s="1"/>
  <c r="CL23" i="14" s="1"/>
  <c r="CA22" i="16"/>
  <c r="CG22" i="16" s="1"/>
  <c r="G24" i="16"/>
  <c r="M24" i="16" s="1"/>
  <c r="CY23" i="14"/>
  <c r="DE23" i="14" s="1"/>
  <c r="AE13" i="14"/>
  <c r="AK13" i="14" s="1"/>
  <c r="AP13" i="14" s="1"/>
  <c r="AE23" i="15"/>
  <c r="AK23" i="15" s="1"/>
  <c r="BC21" i="16"/>
  <c r="BI21" i="16" s="1"/>
  <c r="CY15" i="13"/>
  <c r="DE15" i="13" s="1"/>
  <c r="CY21" i="14"/>
  <c r="DE21" i="14" s="1"/>
  <c r="CY26" i="16"/>
  <c r="DE26" i="16" s="1"/>
  <c r="BC25" i="13"/>
  <c r="BI25" i="13" s="1"/>
  <c r="AE13" i="15"/>
  <c r="AK13" i="15" s="1"/>
  <c r="BC22" i="16"/>
  <c r="BI22" i="16" s="1"/>
  <c r="CA20" i="16"/>
  <c r="CG20" i="16" s="1"/>
  <c r="CY19" i="15"/>
  <c r="DE19" i="15" s="1"/>
  <c r="CN12" i="15"/>
  <c r="CA12" i="15"/>
  <c r="CY20" i="15"/>
  <c r="DE20" i="15" s="1"/>
  <c r="CA26" i="15"/>
  <c r="CG26" i="15" s="1"/>
  <c r="AF14" i="10"/>
  <c r="AF15" i="10" s="1"/>
  <c r="AF16" i="10" s="1"/>
  <c r="AF17" i="10" s="1"/>
  <c r="AF18" i="10" s="1"/>
  <c r="AF19" i="10" s="1"/>
  <c r="AF20" i="10" s="1"/>
  <c r="AF21" i="10" s="1"/>
  <c r="AF22" i="10" s="1"/>
  <c r="AF23" i="10" s="1"/>
  <c r="AF24" i="10" s="1"/>
  <c r="AF25" i="10" s="1"/>
  <c r="AF26" i="10" s="1"/>
  <c r="AF27" i="10" s="1"/>
  <c r="AF28" i="10" s="1"/>
  <c r="J7" i="11" s="1"/>
  <c r="AE69" i="2"/>
  <c r="V24" i="8" s="1"/>
  <c r="X39" i="10"/>
  <c r="AG39" i="10"/>
  <c r="AG40" i="10" s="1"/>
  <c r="AG41" i="10" s="1"/>
  <c r="AG42" i="10" s="1"/>
  <c r="AG43" i="10" s="1"/>
  <c r="AG44" i="10" s="1"/>
  <c r="AG45" i="10" s="1"/>
  <c r="AG46" i="10" s="1"/>
  <c r="AG47" i="10" s="1"/>
  <c r="AG48" i="10" s="1"/>
  <c r="AG49" i="10" s="1"/>
  <c r="AG50" i="10" s="1"/>
  <c r="AG51" i="10" s="1"/>
  <c r="AG52" i="10" s="1"/>
  <c r="AG53" i="10" s="1"/>
  <c r="AG54" i="10" s="1"/>
  <c r="K8" i="11" s="1"/>
  <c r="K9" i="11" s="1"/>
  <c r="K11" i="11" s="1"/>
  <c r="K13" i="11" s="1"/>
  <c r="X13" i="10"/>
  <c r="AG13" i="10"/>
  <c r="AG14" i="10" s="1"/>
  <c r="AG15" i="10" s="1"/>
  <c r="Y13" i="10"/>
  <c r="Q71" i="2"/>
  <c r="K71" i="2"/>
  <c r="S19" i="8"/>
  <c r="R69" i="2"/>
  <c r="S24" i="8" s="1"/>
  <c r="K68" i="2"/>
  <c r="Q23" i="8" s="1"/>
  <c r="AF21" i="2"/>
  <c r="W20" i="8"/>
  <c r="Y21" i="2"/>
  <c r="U20" i="8"/>
  <c r="K21" i="2"/>
  <c r="G7" i="23" l="1"/>
  <c r="J7" i="23" s="1"/>
  <c r="N7" i="23" s="1"/>
  <c r="P7" i="23" s="1"/>
  <c r="P8" i="23" s="1"/>
  <c r="P9" i="23" s="1"/>
  <c r="P10" i="23" s="1"/>
  <c r="P11" i="23" s="1"/>
  <c r="P12" i="23" s="1"/>
  <c r="P13" i="23" s="1"/>
  <c r="P14" i="23" s="1"/>
  <c r="P15" i="23" s="1"/>
  <c r="P16" i="23" s="1"/>
  <c r="P17" i="23" s="1"/>
  <c r="P18" i="23" s="1"/>
  <c r="P19" i="23" s="1"/>
  <c r="P20" i="23" s="1"/>
  <c r="P21" i="23" s="1"/>
  <c r="P22" i="23" s="1"/>
  <c r="C30" i="23" s="1"/>
  <c r="BY64" i="14"/>
  <c r="V113" i="15"/>
  <c r="V114" i="15" s="1"/>
  <c r="V115" i="15" s="1"/>
  <c r="V116" i="15" s="1"/>
  <c r="V117" i="15" s="1"/>
  <c r="V118" i="15" s="1"/>
  <c r="V119" i="15" s="1"/>
  <c r="V120" i="15" s="1"/>
  <c r="V121" i="15" s="1"/>
  <c r="V122" i="15" s="1"/>
  <c r="V123" i="15" s="1"/>
  <c r="V124" i="15" s="1"/>
  <c r="V125" i="15" s="1"/>
  <c r="V126" i="15" s="1"/>
  <c r="V127" i="15" s="1"/>
  <c r="V128" i="15" s="1"/>
  <c r="DO113" i="16"/>
  <c r="DO114" i="16" s="1"/>
  <c r="DO115" i="16" s="1"/>
  <c r="DO116" i="16" s="1"/>
  <c r="DO117" i="16" s="1"/>
  <c r="DO118" i="16" s="1"/>
  <c r="DO119" i="16" s="1"/>
  <c r="DO120" i="16" s="1"/>
  <c r="DO121" i="16" s="1"/>
  <c r="DO122" i="16" s="1"/>
  <c r="DO123" i="16" s="1"/>
  <c r="DO124" i="16" s="1"/>
  <c r="DO125" i="16" s="1"/>
  <c r="DO126" i="16" s="1"/>
  <c r="DO127" i="16" s="1"/>
  <c r="DO128" i="16" s="1"/>
  <c r="AK113" i="15"/>
  <c r="AS113" i="15"/>
  <c r="AS114" i="15" s="1"/>
  <c r="AS115" i="15" s="1"/>
  <c r="AS116" i="15" s="1"/>
  <c r="AS117" i="15" s="1"/>
  <c r="AS118" i="15" s="1"/>
  <c r="AS119" i="15" s="1"/>
  <c r="AS120" i="15" s="1"/>
  <c r="AS121" i="15" s="1"/>
  <c r="AS122" i="15" s="1"/>
  <c r="AS123" i="15" s="1"/>
  <c r="AS124" i="15" s="1"/>
  <c r="AS125" i="15" s="1"/>
  <c r="AS126" i="15" s="1"/>
  <c r="AS127" i="15" s="1"/>
  <c r="AS128" i="15" s="1"/>
  <c r="AC162" i="15" s="1"/>
  <c r="AC163" i="15" s="1"/>
  <c r="AC165" i="15" s="1"/>
  <c r="AC167" i="15" s="1"/>
  <c r="BS88" i="14"/>
  <c r="BS89" i="14" s="1"/>
  <c r="BS90" i="14" s="1"/>
  <c r="BS91" i="14" s="1"/>
  <c r="BS92" i="14" s="1"/>
  <c r="BS93" i="14" s="1"/>
  <c r="BS94" i="14" s="1"/>
  <c r="BS95" i="14" s="1"/>
  <c r="BS96" i="14" s="1"/>
  <c r="BS97" i="14" s="1"/>
  <c r="BS98" i="14" s="1"/>
  <c r="BS99" i="14" s="1"/>
  <c r="BS100" i="14" s="1"/>
  <c r="BS101" i="14" s="1"/>
  <c r="BS102" i="14" s="1"/>
  <c r="BS103" i="14" s="1"/>
  <c r="DO113" i="14"/>
  <c r="DO114" i="14" s="1"/>
  <c r="DO115" i="14" s="1"/>
  <c r="DO116" i="14" s="1"/>
  <c r="DO117" i="14" s="1"/>
  <c r="DO118" i="14" s="1"/>
  <c r="DO119" i="14" s="1"/>
  <c r="DO120" i="14" s="1"/>
  <c r="DO121" i="14" s="1"/>
  <c r="DO122" i="14" s="1"/>
  <c r="DO123" i="14" s="1"/>
  <c r="DO124" i="14" s="1"/>
  <c r="DO125" i="14" s="1"/>
  <c r="DO126" i="14" s="1"/>
  <c r="DO127" i="14" s="1"/>
  <c r="DO128" i="14" s="1"/>
  <c r="W113" i="13"/>
  <c r="W114" i="13" s="1"/>
  <c r="W115" i="13" s="1"/>
  <c r="W116" i="13" s="1"/>
  <c r="W117" i="13" s="1"/>
  <c r="W118" i="13" s="1"/>
  <c r="W119" i="13" s="1"/>
  <c r="W120" i="13" s="1"/>
  <c r="W121" i="13" s="1"/>
  <c r="W122" i="13" s="1"/>
  <c r="W123" i="13" s="1"/>
  <c r="W124" i="13" s="1"/>
  <c r="W125" i="13" s="1"/>
  <c r="W126" i="13" s="1"/>
  <c r="W127" i="13" s="1"/>
  <c r="W128" i="13" s="1"/>
  <c r="DO88" i="13"/>
  <c r="DO89" i="13" s="1"/>
  <c r="DO90" i="13" s="1"/>
  <c r="DO91" i="13" s="1"/>
  <c r="DO92" i="13" s="1"/>
  <c r="DO93" i="13" s="1"/>
  <c r="DO94" i="13" s="1"/>
  <c r="DO95" i="13" s="1"/>
  <c r="DO96" i="13" s="1"/>
  <c r="DO97" i="13" s="1"/>
  <c r="DO98" i="13" s="1"/>
  <c r="DO99" i="13" s="1"/>
  <c r="DO100" i="13" s="1"/>
  <c r="DO101" i="13" s="1"/>
  <c r="DO102" i="13" s="1"/>
  <c r="DO103" i="13" s="1"/>
  <c r="W88" i="14"/>
  <c r="W89" i="14" s="1"/>
  <c r="W90" i="14" s="1"/>
  <c r="W91" i="14" s="1"/>
  <c r="W92" i="14" s="1"/>
  <c r="W93" i="14" s="1"/>
  <c r="W94" i="14" s="1"/>
  <c r="W95" i="14" s="1"/>
  <c r="W96" i="14" s="1"/>
  <c r="W97" i="14" s="1"/>
  <c r="W98" i="14" s="1"/>
  <c r="W99" i="14" s="1"/>
  <c r="W100" i="14" s="1"/>
  <c r="W101" i="14" s="1"/>
  <c r="W102" i="14" s="1"/>
  <c r="W103" i="14" s="1"/>
  <c r="W88" i="13"/>
  <c r="W89" i="13" s="1"/>
  <c r="W90" i="13" s="1"/>
  <c r="W91" i="13" s="1"/>
  <c r="W92" i="13" s="1"/>
  <c r="W93" i="13" s="1"/>
  <c r="W94" i="13" s="1"/>
  <c r="W95" i="13" s="1"/>
  <c r="W96" i="13" s="1"/>
  <c r="W97" i="13" s="1"/>
  <c r="W98" i="13" s="1"/>
  <c r="W99" i="13" s="1"/>
  <c r="W100" i="13" s="1"/>
  <c r="W101" i="13" s="1"/>
  <c r="W102" i="13" s="1"/>
  <c r="W103" i="13" s="1"/>
  <c r="W113" i="14"/>
  <c r="W114" i="14" s="1"/>
  <c r="W115" i="14" s="1"/>
  <c r="W116" i="14" s="1"/>
  <c r="W117" i="14" s="1"/>
  <c r="W118" i="14" s="1"/>
  <c r="W119" i="14" s="1"/>
  <c r="W120" i="14" s="1"/>
  <c r="W121" i="14" s="1"/>
  <c r="W122" i="14" s="1"/>
  <c r="W123" i="14" s="1"/>
  <c r="W124" i="14" s="1"/>
  <c r="W125" i="14" s="1"/>
  <c r="W126" i="14" s="1"/>
  <c r="W127" i="14" s="1"/>
  <c r="W128" i="14" s="1"/>
  <c r="AU88" i="13"/>
  <c r="AU89" i="13" s="1"/>
  <c r="AU90" i="13" s="1"/>
  <c r="AU91" i="13" s="1"/>
  <c r="AU92" i="13" s="1"/>
  <c r="AU93" i="13" s="1"/>
  <c r="AU94" i="13" s="1"/>
  <c r="AU95" i="13" s="1"/>
  <c r="AU96" i="13" s="1"/>
  <c r="AU97" i="13" s="1"/>
  <c r="AU98" i="13" s="1"/>
  <c r="AU99" i="13" s="1"/>
  <c r="AU100" i="13" s="1"/>
  <c r="AU101" i="13" s="1"/>
  <c r="AU102" i="13" s="1"/>
  <c r="AU103" i="13" s="1"/>
  <c r="CQ88" i="14"/>
  <c r="CQ89" i="14" s="1"/>
  <c r="CQ90" i="14" s="1"/>
  <c r="CQ91" i="14" s="1"/>
  <c r="CQ92" i="14" s="1"/>
  <c r="CQ93" i="14" s="1"/>
  <c r="CQ94" i="14" s="1"/>
  <c r="CQ95" i="14" s="1"/>
  <c r="CQ96" i="14" s="1"/>
  <c r="CQ97" i="14" s="1"/>
  <c r="CQ98" i="14" s="1"/>
  <c r="CQ99" i="14" s="1"/>
  <c r="CQ100" i="14" s="1"/>
  <c r="CQ101" i="14" s="1"/>
  <c r="CQ102" i="14" s="1"/>
  <c r="CQ103" i="14" s="1"/>
  <c r="CP88" i="13"/>
  <c r="CP89" i="13" s="1"/>
  <c r="CP90" i="13" s="1"/>
  <c r="CP91" i="13" s="1"/>
  <c r="CP92" i="13" s="1"/>
  <c r="CP93" i="13" s="1"/>
  <c r="CP94" i="13" s="1"/>
  <c r="CP95" i="13" s="1"/>
  <c r="CP96" i="13" s="1"/>
  <c r="CP97" i="13" s="1"/>
  <c r="CP98" i="13" s="1"/>
  <c r="CP99" i="13" s="1"/>
  <c r="CP100" i="13" s="1"/>
  <c r="CP101" i="13" s="1"/>
  <c r="CP102" i="13" s="1"/>
  <c r="CP103" i="13" s="1"/>
  <c r="BR88" i="13"/>
  <c r="BR89" i="13" s="1"/>
  <c r="BR90" i="13" s="1"/>
  <c r="BR91" i="13" s="1"/>
  <c r="BR92" i="13" s="1"/>
  <c r="BR93" i="13" s="1"/>
  <c r="BR94" i="13" s="1"/>
  <c r="BR95" i="13" s="1"/>
  <c r="BR96" i="13" s="1"/>
  <c r="BR97" i="13" s="1"/>
  <c r="BR98" i="13" s="1"/>
  <c r="BR99" i="13" s="1"/>
  <c r="BR100" i="13" s="1"/>
  <c r="BR101" i="13" s="1"/>
  <c r="BR102" i="13" s="1"/>
  <c r="BR103" i="13" s="1"/>
  <c r="W113" i="15"/>
  <c r="W114" i="15" s="1"/>
  <c r="W115" i="15" s="1"/>
  <c r="W116" i="15" s="1"/>
  <c r="W117" i="15" s="1"/>
  <c r="W118" i="15" s="1"/>
  <c r="W119" i="15" s="1"/>
  <c r="W120" i="15" s="1"/>
  <c r="W121" i="15" s="1"/>
  <c r="W122" i="15" s="1"/>
  <c r="W123" i="15" s="1"/>
  <c r="W124" i="15" s="1"/>
  <c r="W125" i="15" s="1"/>
  <c r="W126" i="15" s="1"/>
  <c r="W127" i="15" s="1"/>
  <c r="W128" i="15" s="1"/>
  <c r="V88" i="16"/>
  <c r="V89" i="16" s="1"/>
  <c r="V90" i="16" s="1"/>
  <c r="V91" i="16" s="1"/>
  <c r="V92" i="16" s="1"/>
  <c r="V93" i="16" s="1"/>
  <c r="V94" i="16" s="1"/>
  <c r="V95" i="16" s="1"/>
  <c r="V96" i="16" s="1"/>
  <c r="V97" i="16" s="1"/>
  <c r="V98" i="16" s="1"/>
  <c r="V99" i="16" s="1"/>
  <c r="V100" i="16" s="1"/>
  <c r="V101" i="16" s="1"/>
  <c r="V102" i="16" s="1"/>
  <c r="V103" i="16" s="1"/>
  <c r="DO88" i="15"/>
  <c r="DO89" i="15" s="1"/>
  <c r="DO90" i="15" s="1"/>
  <c r="DO91" i="15" s="1"/>
  <c r="DO92" i="15" s="1"/>
  <c r="DO93" i="15" s="1"/>
  <c r="DO94" i="15" s="1"/>
  <c r="DO95" i="15" s="1"/>
  <c r="DO96" i="15" s="1"/>
  <c r="DO97" i="15" s="1"/>
  <c r="DO98" i="15" s="1"/>
  <c r="DO99" i="15" s="1"/>
  <c r="DO100" i="15" s="1"/>
  <c r="DO101" i="15" s="1"/>
  <c r="DO102" i="15" s="1"/>
  <c r="DO103" i="15" s="1"/>
  <c r="DN113" i="14"/>
  <c r="DN114" i="14" s="1"/>
  <c r="DN115" i="14" s="1"/>
  <c r="DN116" i="14" s="1"/>
  <c r="DN117" i="14" s="1"/>
  <c r="DN118" i="14" s="1"/>
  <c r="DN119" i="14" s="1"/>
  <c r="DN120" i="14" s="1"/>
  <c r="DN121" i="14" s="1"/>
  <c r="DN122" i="14" s="1"/>
  <c r="DN123" i="14" s="1"/>
  <c r="DN124" i="14" s="1"/>
  <c r="DN125" i="14" s="1"/>
  <c r="DN126" i="14" s="1"/>
  <c r="DN127" i="14" s="1"/>
  <c r="DN128" i="14" s="1"/>
  <c r="BR113" i="15"/>
  <c r="BR114" i="15" s="1"/>
  <c r="BR115" i="15" s="1"/>
  <c r="BR116" i="15" s="1"/>
  <c r="BR117" i="15" s="1"/>
  <c r="BR118" i="15" s="1"/>
  <c r="BR119" i="15" s="1"/>
  <c r="BR120" i="15" s="1"/>
  <c r="BR121" i="15" s="1"/>
  <c r="BR122" i="15" s="1"/>
  <c r="BR123" i="15" s="1"/>
  <c r="BR124" i="15" s="1"/>
  <c r="BR125" i="15" s="1"/>
  <c r="BR126" i="15" s="1"/>
  <c r="BR127" i="15" s="1"/>
  <c r="BR128" i="15" s="1"/>
  <c r="V113" i="14"/>
  <c r="V114" i="14" s="1"/>
  <c r="V115" i="14" s="1"/>
  <c r="V116" i="14" s="1"/>
  <c r="V117" i="14" s="1"/>
  <c r="V118" i="14" s="1"/>
  <c r="V119" i="14" s="1"/>
  <c r="V120" i="14" s="1"/>
  <c r="V121" i="14" s="1"/>
  <c r="V122" i="14" s="1"/>
  <c r="V123" i="14" s="1"/>
  <c r="V124" i="14" s="1"/>
  <c r="V125" i="14" s="1"/>
  <c r="V126" i="14" s="1"/>
  <c r="V127" i="14" s="1"/>
  <c r="V128" i="14" s="1"/>
  <c r="DN113" i="13"/>
  <c r="DN114" i="13" s="1"/>
  <c r="DN115" i="13" s="1"/>
  <c r="DN116" i="13" s="1"/>
  <c r="DN117" i="13" s="1"/>
  <c r="DN118" i="13" s="1"/>
  <c r="DN119" i="13" s="1"/>
  <c r="DN120" i="13" s="1"/>
  <c r="DN121" i="13" s="1"/>
  <c r="DN122" i="13" s="1"/>
  <c r="DN123" i="13" s="1"/>
  <c r="DN124" i="13" s="1"/>
  <c r="DN125" i="13" s="1"/>
  <c r="DN126" i="13" s="1"/>
  <c r="DN127" i="13" s="1"/>
  <c r="DN128" i="13" s="1"/>
  <c r="BR88" i="14"/>
  <c r="BR89" i="14" s="1"/>
  <c r="BR90" i="14" s="1"/>
  <c r="BR91" i="14" s="1"/>
  <c r="BR92" i="14" s="1"/>
  <c r="BR93" i="14" s="1"/>
  <c r="BR94" i="14" s="1"/>
  <c r="BR95" i="14" s="1"/>
  <c r="BR96" i="14" s="1"/>
  <c r="BR97" i="14" s="1"/>
  <c r="BR98" i="14" s="1"/>
  <c r="BR99" i="14" s="1"/>
  <c r="BR100" i="14" s="1"/>
  <c r="BR101" i="14" s="1"/>
  <c r="BR102" i="14" s="1"/>
  <c r="BR103" i="14" s="1"/>
  <c r="DN88" i="15"/>
  <c r="DN89" i="15" s="1"/>
  <c r="DN90" i="15" s="1"/>
  <c r="DN91" i="15" s="1"/>
  <c r="DN92" i="15" s="1"/>
  <c r="DN93" i="15" s="1"/>
  <c r="DN94" i="15" s="1"/>
  <c r="DN95" i="15" s="1"/>
  <c r="DN96" i="15" s="1"/>
  <c r="DN97" i="15" s="1"/>
  <c r="DN98" i="15" s="1"/>
  <c r="DN99" i="15" s="1"/>
  <c r="DN100" i="15" s="1"/>
  <c r="DN101" i="15" s="1"/>
  <c r="DN102" i="15" s="1"/>
  <c r="DN103" i="15" s="1"/>
  <c r="CQ113" i="16"/>
  <c r="CQ114" i="16" s="1"/>
  <c r="CQ115" i="16" s="1"/>
  <c r="CQ116" i="16" s="1"/>
  <c r="CQ117" i="16" s="1"/>
  <c r="CQ118" i="16" s="1"/>
  <c r="CQ119" i="16" s="1"/>
  <c r="CQ120" i="16" s="1"/>
  <c r="CQ121" i="16" s="1"/>
  <c r="CQ122" i="16" s="1"/>
  <c r="CQ123" i="16" s="1"/>
  <c r="CQ124" i="16" s="1"/>
  <c r="CQ125" i="16" s="1"/>
  <c r="CQ126" i="16" s="1"/>
  <c r="CQ127" i="16" s="1"/>
  <c r="CQ128" i="16" s="1"/>
  <c r="CG113" i="15"/>
  <c r="CO113" i="15"/>
  <c r="CO114" i="15" s="1"/>
  <c r="CO115" i="15" s="1"/>
  <c r="CO116" i="15" s="1"/>
  <c r="CO117" i="15" s="1"/>
  <c r="CO118" i="15" s="1"/>
  <c r="CO119" i="15" s="1"/>
  <c r="CO120" i="15" s="1"/>
  <c r="CO121" i="15" s="1"/>
  <c r="CO122" i="15" s="1"/>
  <c r="CO123" i="15" s="1"/>
  <c r="CO124" i="15" s="1"/>
  <c r="CO125" i="15" s="1"/>
  <c r="CO126" i="15" s="1"/>
  <c r="CO127" i="15" s="1"/>
  <c r="CO128" i="15" s="1"/>
  <c r="AE162" i="15" s="1"/>
  <c r="AE163" i="15" s="1"/>
  <c r="AE165" i="15" s="1"/>
  <c r="AE167" i="15" s="1"/>
  <c r="BS113" i="13"/>
  <c r="BS114" i="13" s="1"/>
  <c r="BS115" i="13" s="1"/>
  <c r="BS116" i="13" s="1"/>
  <c r="BS117" i="13" s="1"/>
  <c r="BS118" i="13" s="1"/>
  <c r="BS119" i="13" s="1"/>
  <c r="BS120" i="13" s="1"/>
  <c r="BS121" i="13" s="1"/>
  <c r="BS122" i="13" s="1"/>
  <c r="BS123" i="13" s="1"/>
  <c r="BS124" i="13" s="1"/>
  <c r="BS125" i="13" s="1"/>
  <c r="BS126" i="13" s="1"/>
  <c r="BS127" i="13" s="1"/>
  <c r="BS128" i="13" s="1"/>
  <c r="BR113" i="13"/>
  <c r="BR114" i="13" s="1"/>
  <c r="BR115" i="13" s="1"/>
  <c r="BR116" i="13" s="1"/>
  <c r="BR117" i="13" s="1"/>
  <c r="BR118" i="13" s="1"/>
  <c r="BR119" i="13" s="1"/>
  <c r="BR120" i="13" s="1"/>
  <c r="BR121" i="13" s="1"/>
  <c r="BR122" i="13" s="1"/>
  <c r="BR123" i="13" s="1"/>
  <c r="BR124" i="13" s="1"/>
  <c r="BR125" i="13" s="1"/>
  <c r="BR126" i="13" s="1"/>
  <c r="BR127" i="13" s="1"/>
  <c r="BR128" i="13" s="1"/>
  <c r="V88" i="15"/>
  <c r="V89" i="15" s="1"/>
  <c r="V90" i="15" s="1"/>
  <c r="V91" i="15" s="1"/>
  <c r="V92" i="15" s="1"/>
  <c r="V93" i="15" s="1"/>
  <c r="V94" i="15" s="1"/>
  <c r="V95" i="15" s="1"/>
  <c r="V96" i="15" s="1"/>
  <c r="V97" i="15" s="1"/>
  <c r="V98" i="15" s="1"/>
  <c r="V99" i="15" s="1"/>
  <c r="V100" i="15" s="1"/>
  <c r="V101" i="15" s="1"/>
  <c r="V102" i="15" s="1"/>
  <c r="V103" i="15" s="1"/>
  <c r="DN88" i="13"/>
  <c r="DN89" i="13" s="1"/>
  <c r="DN90" i="13" s="1"/>
  <c r="DN91" i="13" s="1"/>
  <c r="DN92" i="13" s="1"/>
  <c r="DN93" i="13" s="1"/>
  <c r="DN94" i="13" s="1"/>
  <c r="DN95" i="13" s="1"/>
  <c r="DN96" i="13" s="1"/>
  <c r="DN97" i="13" s="1"/>
  <c r="DN98" i="13" s="1"/>
  <c r="DN99" i="13" s="1"/>
  <c r="DN100" i="13" s="1"/>
  <c r="DN101" i="13" s="1"/>
  <c r="DN102" i="13" s="1"/>
  <c r="DN103" i="13" s="1"/>
  <c r="AU113" i="13"/>
  <c r="AU114" i="13" s="1"/>
  <c r="AU115" i="13" s="1"/>
  <c r="AU116" i="13" s="1"/>
  <c r="AU117" i="13" s="1"/>
  <c r="AU118" i="13" s="1"/>
  <c r="AU119" i="13" s="1"/>
  <c r="AU120" i="13" s="1"/>
  <c r="AU121" i="13" s="1"/>
  <c r="AU122" i="13" s="1"/>
  <c r="AU123" i="13" s="1"/>
  <c r="AU124" i="13" s="1"/>
  <c r="AU125" i="13" s="1"/>
  <c r="AU126" i="13" s="1"/>
  <c r="AU127" i="13" s="1"/>
  <c r="AU128" i="13" s="1"/>
  <c r="AJ113" i="15"/>
  <c r="DN113" i="15"/>
  <c r="DN114" i="15" s="1"/>
  <c r="DN115" i="15" s="1"/>
  <c r="DN116" i="15" s="1"/>
  <c r="DN117" i="15" s="1"/>
  <c r="DN118" i="15" s="1"/>
  <c r="DN119" i="15" s="1"/>
  <c r="DN120" i="15" s="1"/>
  <c r="DN121" i="15" s="1"/>
  <c r="DN122" i="15" s="1"/>
  <c r="DN123" i="15" s="1"/>
  <c r="DN124" i="15" s="1"/>
  <c r="DN125" i="15" s="1"/>
  <c r="DN126" i="15" s="1"/>
  <c r="DN127" i="15" s="1"/>
  <c r="DN128" i="15" s="1"/>
  <c r="BR88" i="15"/>
  <c r="BR89" i="15" s="1"/>
  <c r="BR90" i="15" s="1"/>
  <c r="BR91" i="15" s="1"/>
  <c r="BR92" i="15" s="1"/>
  <c r="BR93" i="15" s="1"/>
  <c r="BR94" i="15" s="1"/>
  <c r="BR95" i="15" s="1"/>
  <c r="BR96" i="15" s="1"/>
  <c r="BR97" i="15" s="1"/>
  <c r="BR98" i="15" s="1"/>
  <c r="BR99" i="15" s="1"/>
  <c r="BR100" i="15" s="1"/>
  <c r="BR101" i="15" s="1"/>
  <c r="BR102" i="15" s="1"/>
  <c r="BR103" i="15" s="1"/>
  <c r="AT88" i="14"/>
  <c r="AT89" i="14" s="1"/>
  <c r="AT90" i="14" s="1"/>
  <c r="AT91" i="14" s="1"/>
  <c r="AT92" i="14" s="1"/>
  <c r="AT93" i="14" s="1"/>
  <c r="AT94" i="14" s="1"/>
  <c r="AT95" i="14" s="1"/>
  <c r="AT96" i="14" s="1"/>
  <c r="AT97" i="14" s="1"/>
  <c r="AT98" i="14" s="1"/>
  <c r="AT99" i="14" s="1"/>
  <c r="AT100" i="14" s="1"/>
  <c r="AT101" i="14" s="1"/>
  <c r="AT102" i="14" s="1"/>
  <c r="AT103" i="14" s="1"/>
  <c r="CQ113" i="14"/>
  <c r="CQ114" i="14" s="1"/>
  <c r="CQ115" i="14" s="1"/>
  <c r="CQ116" i="14" s="1"/>
  <c r="CQ117" i="14" s="1"/>
  <c r="CQ118" i="14" s="1"/>
  <c r="CQ119" i="14" s="1"/>
  <c r="CQ120" i="14" s="1"/>
  <c r="CQ121" i="14" s="1"/>
  <c r="CQ122" i="14" s="1"/>
  <c r="CQ123" i="14" s="1"/>
  <c r="CQ124" i="14" s="1"/>
  <c r="CQ125" i="14" s="1"/>
  <c r="CQ126" i="14" s="1"/>
  <c r="CQ127" i="14" s="1"/>
  <c r="CQ128" i="14" s="1"/>
  <c r="V113" i="16"/>
  <c r="V114" i="16" s="1"/>
  <c r="V115" i="16" s="1"/>
  <c r="V116" i="16" s="1"/>
  <c r="V117" i="16" s="1"/>
  <c r="V118" i="16" s="1"/>
  <c r="V119" i="16" s="1"/>
  <c r="V120" i="16" s="1"/>
  <c r="V121" i="16" s="1"/>
  <c r="V122" i="16" s="1"/>
  <c r="V123" i="16" s="1"/>
  <c r="V124" i="16" s="1"/>
  <c r="V125" i="16" s="1"/>
  <c r="V126" i="16" s="1"/>
  <c r="V127" i="16" s="1"/>
  <c r="V128" i="16" s="1"/>
  <c r="AT113" i="13"/>
  <c r="AT114" i="13" s="1"/>
  <c r="AT115" i="13" s="1"/>
  <c r="AT116" i="13" s="1"/>
  <c r="AT117" i="13" s="1"/>
  <c r="AT118" i="13" s="1"/>
  <c r="AT119" i="13" s="1"/>
  <c r="AT120" i="13" s="1"/>
  <c r="AT121" i="13" s="1"/>
  <c r="AT122" i="13" s="1"/>
  <c r="AT123" i="13" s="1"/>
  <c r="AT124" i="13" s="1"/>
  <c r="AT125" i="13" s="1"/>
  <c r="AT126" i="13" s="1"/>
  <c r="AT127" i="13" s="1"/>
  <c r="AT128" i="13" s="1"/>
  <c r="CP113" i="14"/>
  <c r="CP114" i="14" s="1"/>
  <c r="CP115" i="14" s="1"/>
  <c r="CP116" i="14" s="1"/>
  <c r="CP117" i="14" s="1"/>
  <c r="CP118" i="14" s="1"/>
  <c r="CP119" i="14" s="1"/>
  <c r="CP120" i="14" s="1"/>
  <c r="CP121" i="14" s="1"/>
  <c r="CP122" i="14" s="1"/>
  <c r="CP123" i="14" s="1"/>
  <c r="CP124" i="14" s="1"/>
  <c r="CP125" i="14" s="1"/>
  <c r="CP126" i="14" s="1"/>
  <c r="CP127" i="14" s="1"/>
  <c r="CP128" i="14" s="1"/>
  <c r="DE113" i="15"/>
  <c r="DM113" i="15"/>
  <c r="DM114" i="15" s="1"/>
  <c r="DM115" i="15" s="1"/>
  <c r="DM116" i="15" s="1"/>
  <c r="DM117" i="15" s="1"/>
  <c r="DM118" i="15" s="1"/>
  <c r="DM119" i="15" s="1"/>
  <c r="DM120" i="15" s="1"/>
  <c r="DM121" i="15" s="1"/>
  <c r="DM122" i="15" s="1"/>
  <c r="DM123" i="15" s="1"/>
  <c r="DM124" i="15" s="1"/>
  <c r="DM125" i="15" s="1"/>
  <c r="DM126" i="15" s="1"/>
  <c r="DM127" i="15" s="1"/>
  <c r="DM128" i="15" s="1"/>
  <c r="AF162" i="15" s="1"/>
  <c r="AF163" i="15" s="1"/>
  <c r="AF165" i="15" s="1"/>
  <c r="AF167" i="15" s="1"/>
  <c r="BS113" i="14"/>
  <c r="BS114" i="14" s="1"/>
  <c r="BS115" i="14" s="1"/>
  <c r="BS116" i="14" s="1"/>
  <c r="BS117" i="14" s="1"/>
  <c r="BS118" i="14" s="1"/>
  <c r="BS119" i="14" s="1"/>
  <c r="BS120" i="14" s="1"/>
  <c r="BS121" i="14" s="1"/>
  <c r="BS122" i="14" s="1"/>
  <c r="BS123" i="14" s="1"/>
  <c r="BS124" i="14" s="1"/>
  <c r="BS125" i="14" s="1"/>
  <c r="BS126" i="14" s="1"/>
  <c r="BS127" i="14" s="1"/>
  <c r="BS128" i="14" s="1"/>
  <c r="AU113" i="14"/>
  <c r="AU114" i="14" s="1"/>
  <c r="AU115" i="14" s="1"/>
  <c r="AU116" i="14" s="1"/>
  <c r="AU117" i="14" s="1"/>
  <c r="AU118" i="14" s="1"/>
  <c r="AU119" i="14" s="1"/>
  <c r="AU120" i="14" s="1"/>
  <c r="AU121" i="14" s="1"/>
  <c r="AU122" i="14" s="1"/>
  <c r="AU123" i="14" s="1"/>
  <c r="AU124" i="14" s="1"/>
  <c r="AU125" i="14" s="1"/>
  <c r="AU126" i="14" s="1"/>
  <c r="AU127" i="14" s="1"/>
  <c r="AU128" i="14" s="1"/>
  <c r="BS88" i="15"/>
  <c r="BS89" i="15" s="1"/>
  <c r="BS90" i="15" s="1"/>
  <c r="BS91" i="15" s="1"/>
  <c r="BS92" i="15" s="1"/>
  <c r="BS93" i="15" s="1"/>
  <c r="BS94" i="15" s="1"/>
  <c r="BS95" i="15" s="1"/>
  <c r="BS96" i="15" s="1"/>
  <c r="BS97" i="15" s="1"/>
  <c r="BS98" i="15" s="1"/>
  <c r="BS99" i="15" s="1"/>
  <c r="BS100" i="15" s="1"/>
  <c r="BS101" i="15" s="1"/>
  <c r="BS102" i="15" s="1"/>
  <c r="BS103" i="15" s="1"/>
  <c r="CQ88" i="13"/>
  <c r="CQ89" i="13" s="1"/>
  <c r="CQ90" i="13" s="1"/>
  <c r="CQ91" i="13" s="1"/>
  <c r="CQ92" i="13" s="1"/>
  <c r="CQ93" i="13" s="1"/>
  <c r="CQ94" i="13" s="1"/>
  <c r="CQ95" i="13" s="1"/>
  <c r="CQ96" i="13" s="1"/>
  <c r="CQ97" i="13" s="1"/>
  <c r="CQ98" i="13" s="1"/>
  <c r="CQ99" i="13" s="1"/>
  <c r="CQ100" i="13" s="1"/>
  <c r="CQ101" i="13" s="1"/>
  <c r="CQ102" i="13" s="1"/>
  <c r="CQ103" i="13" s="1"/>
  <c r="BS88" i="13"/>
  <c r="BS89" i="13" s="1"/>
  <c r="BS90" i="13" s="1"/>
  <c r="BS91" i="13" s="1"/>
  <c r="BS92" i="13" s="1"/>
  <c r="BS93" i="13" s="1"/>
  <c r="BS94" i="13" s="1"/>
  <c r="BS95" i="13" s="1"/>
  <c r="BS96" i="13" s="1"/>
  <c r="BS97" i="13" s="1"/>
  <c r="BS98" i="13" s="1"/>
  <c r="BS99" i="13" s="1"/>
  <c r="BS100" i="13" s="1"/>
  <c r="BS101" i="13" s="1"/>
  <c r="BS102" i="13" s="1"/>
  <c r="BS103" i="13" s="1"/>
  <c r="CQ113" i="13"/>
  <c r="CQ114" i="13" s="1"/>
  <c r="CQ115" i="13" s="1"/>
  <c r="CQ116" i="13" s="1"/>
  <c r="CQ117" i="13" s="1"/>
  <c r="CQ118" i="13" s="1"/>
  <c r="CQ119" i="13" s="1"/>
  <c r="CQ120" i="13" s="1"/>
  <c r="CQ121" i="13" s="1"/>
  <c r="CQ122" i="13" s="1"/>
  <c r="CQ123" i="13" s="1"/>
  <c r="CQ124" i="13" s="1"/>
  <c r="CQ125" i="13" s="1"/>
  <c r="CQ126" i="13" s="1"/>
  <c r="CQ127" i="13" s="1"/>
  <c r="CQ128" i="13" s="1"/>
  <c r="DO113" i="13"/>
  <c r="DO114" i="13" s="1"/>
  <c r="DO115" i="13" s="1"/>
  <c r="DO116" i="13" s="1"/>
  <c r="DO117" i="13" s="1"/>
  <c r="DO118" i="13" s="1"/>
  <c r="DO119" i="13" s="1"/>
  <c r="DO120" i="13" s="1"/>
  <c r="DO121" i="13" s="1"/>
  <c r="DO122" i="13" s="1"/>
  <c r="DO123" i="13" s="1"/>
  <c r="DO124" i="13" s="1"/>
  <c r="DO125" i="13" s="1"/>
  <c r="DO126" i="13" s="1"/>
  <c r="DO127" i="13" s="1"/>
  <c r="DO128" i="13" s="1"/>
  <c r="W88" i="16"/>
  <c r="W89" i="16" s="1"/>
  <c r="W90" i="16" s="1"/>
  <c r="W91" i="16" s="1"/>
  <c r="W92" i="16" s="1"/>
  <c r="W93" i="16" s="1"/>
  <c r="W94" i="16" s="1"/>
  <c r="W95" i="16" s="1"/>
  <c r="W96" i="16" s="1"/>
  <c r="W97" i="16" s="1"/>
  <c r="W98" i="16" s="1"/>
  <c r="W99" i="16" s="1"/>
  <c r="W100" i="16" s="1"/>
  <c r="W101" i="16" s="1"/>
  <c r="W102" i="16" s="1"/>
  <c r="W103" i="16" s="1"/>
  <c r="CP113" i="15"/>
  <c r="CP114" i="15" s="1"/>
  <c r="CP115" i="15" s="1"/>
  <c r="CP116" i="15" s="1"/>
  <c r="CP117" i="15" s="1"/>
  <c r="CP118" i="15" s="1"/>
  <c r="CP119" i="15" s="1"/>
  <c r="CP120" i="15" s="1"/>
  <c r="CP121" i="15" s="1"/>
  <c r="CP122" i="15" s="1"/>
  <c r="CP123" i="15" s="1"/>
  <c r="CP124" i="15" s="1"/>
  <c r="CP125" i="15" s="1"/>
  <c r="CP126" i="15" s="1"/>
  <c r="CP127" i="15" s="1"/>
  <c r="CP128" i="15" s="1"/>
  <c r="V88" i="14"/>
  <c r="V89" i="14" s="1"/>
  <c r="V90" i="14" s="1"/>
  <c r="V91" i="14" s="1"/>
  <c r="V92" i="14" s="1"/>
  <c r="V93" i="14" s="1"/>
  <c r="V94" i="14" s="1"/>
  <c r="V95" i="14" s="1"/>
  <c r="V96" i="14" s="1"/>
  <c r="V97" i="14" s="1"/>
  <c r="V98" i="14" s="1"/>
  <c r="V99" i="14" s="1"/>
  <c r="V100" i="14" s="1"/>
  <c r="V101" i="14" s="1"/>
  <c r="V102" i="14" s="1"/>
  <c r="V103" i="14" s="1"/>
  <c r="V88" i="13"/>
  <c r="V89" i="13" s="1"/>
  <c r="V90" i="13" s="1"/>
  <c r="V91" i="13" s="1"/>
  <c r="V92" i="13" s="1"/>
  <c r="V93" i="13" s="1"/>
  <c r="V94" i="13" s="1"/>
  <c r="V95" i="13" s="1"/>
  <c r="V96" i="13" s="1"/>
  <c r="V97" i="13" s="1"/>
  <c r="V98" i="13" s="1"/>
  <c r="V99" i="13" s="1"/>
  <c r="V100" i="13" s="1"/>
  <c r="V101" i="13" s="1"/>
  <c r="V102" i="13" s="1"/>
  <c r="V103" i="13" s="1"/>
  <c r="AT88" i="13"/>
  <c r="AT89" i="13" s="1"/>
  <c r="AT90" i="13" s="1"/>
  <c r="AT91" i="13" s="1"/>
  <c r="AT92" i="13" s="1"/>
  <c r="AT93" i="13" s="1"/>
  <c r="AT94" i="13" s="1"/>
  <c r="AT95" i="13" s="1"/>
  <c r="AT96" i="13" s="1"/>
  <c r="AT97" i="13" s="1"/>
  <c r="AT98" i="13" s="1"/>
  <c r="AT99" i="13" s="1"/>
  <c r="AT100" i="13" s="1"/>
  <c r="AT101" i="13" s="1"/>
  <c r="AT102" i="13" s="1"/>
  <c r="AT103" i="13" s="1"/>
  <c r="CP88" i="14"/>
  <c r="CP89" i="14" s="1"/>
  <c r="CP90" i="14" s="1"/>
  <c r="CP91" i="14" s="1"/>
  <c r="CP92" i="14" s="1"/>
  <c r="CP93" i="14" s="1"/>
  <c r="CP94" i="14" s="1"/>
  <c r="CP95" i="14" s="1"/>
  <c r="CP96" i="14" s="1"/>
  <c r="CP97" i="14" s="1"/>
  <c r="CP98" i="14" s="1"/>
  <c r="CP99" i="14" s="1"/>
  <c r="CP100" i="14" s="1"/>
  <c r="CP101" i="14" s="1"/>
  <c r="CP102" i="14" s="1"/>
  <c r="CP103" i="14" s="1"/>
  <c r="BR113" i="14"/>
  <c r="BR114" i="14" s="1"/>
  <c r="BR115" i="14" s="1"/>
  <c r="BR116" i="14" s="1"/>
  <c r="BR117" i="14" s="1"/>
  <c r="BR118" i="14" s="1"/>
  <c r="BR119" i="14" s="1"/>
  <c r="BR120" i="14" s="1"/>
  <c r="BR121" i="14" s="1"/>
  <c r="BR122" i="14" s="1"/>
  <c r="BR123" i="14" s="1"/>
  <c r="BR124" i="14" s="1"/>
  <c r="BR125" i="14" s="1"/>
  <c r="BR126" i="14" s="1"/>
  <c r="BR127" i="14" s="1"/>
  <c r="BR128" i="14" s="1"/>
  <c r="AT113" i="14"/>
  <c r="AT114" i="14" s="1"/>
  <c r="AT115" i="14" s="1"/>
  <c r="AT116" i="14" s="1"/>
  <c r="AT117" i="14" s="1"/>
  <c r="AT118" i="14" s="1"/>
  <c r="AT119" i="14" s="1"/>
  <c r="AT120" i="14" s="1"/>
  <c r="AT121" i="14" s="1"/>
  <c r="AT122" i="14" s="1"/>
  <c r="AT123" i="14" s="1"/>
  <c r="AT124" i="14" s="1"/>
  <c r="AT125" i="14" s="1"/>
  <c r="AT126" i="14" s="1"/>
  <c r="AT127" i="14" s="1"/>
  <c r="AT128" i="14" s="1"/>
  <c r="V114" i="13"/>
  <c r="V115" i="13" s="1"/>
  <c r="V116" i="13" s="1"/>
  <c r="V117" i="13" s="1"/>
  <c r="V118" i="13" s="1"/>
  <c r="V119" i="13" s="1"/>
  <c r="V120" i="13" s="1"/>
  <c r="V121" i="13" s="1"/>
  <c r="V122" i="13" s="1"/>
  <c r="V123" i="13" s="1"/>
  <c r="V124" i="13" s="1"/>
  <c r="V125" i="13" s="1"/>
  <c r="V126" i="13" s="1"/>
  <c r="V127" i="13" s="1"/>
  <c r="V128" i="13" s="1"/>
  <c r="W113" i="16"/>
  <c r="W114" i="16" s="1"/>
  <c r="W115" i="16" s="1"/>
  <c r="W116" i="16" s="1"/>
  <c r="W117" i="16" s="1"/>
  <c r="W118" i="16" s="1"/>
  <c r="W119" i="16" s="1"/>
  <c r="W120" i="16" s="1"/>
  <c r="W121" i="16" s="1"/>
  <c r="W122" i="16" s="1"/>
  <c r="W123" i="16" s="1"/>
  <c r="W124" i="16" s="1"/>
  <c r="W125" i="16" s="1"/>
  <c r="W126" i="16" s="1"/>
  <c r="W127" i="16" s="1"/>
  <c r="W128" i="16" s="1"/>
  <c r="CP113" i="13"/>
  <c r="CP114" i="13" s="1"/>
  <c r="CP115" i="13" s="1"/>
  <c r="CP116" i="13" s="1"/>
  <c r="CP117" i="13" s="1"/>
  <c r="CP118" i="13" s="1"/>
  <c r="CP119" i="13" s="1"/>
  <c r="CP120" i="13" s="1"/>
  <c r="CP121" i="13" s="1"/>
  <c r="CP122" i="13" s="1"/>
  <c r="CP123" i="13" s="1"/>
  <c r="CP124" i="13" s="1"/>
  <c r="CP125" i="13" s="1"/>
  <c r="CP126" i="13" s="1"/>
  <c r="CP127" i="13" s="1"/>
  <c r="CP128" i="13" s="1"/>
  <c r="DO88" i="14"/>
  <c r="DO89" i="14" s="1"/>
  <c r="DO90" i="14" s="1"/>
  <c r="DO91" i="14" s="1"/>
  <c r="DO92" i="14" s="1"/>
  <c r="DO93" i="14" s="1"/>
  <c r="DO94" i="14" s="1"/>
  <c r="DO95" i="14" s="1"/>
  <c r="DO96" i="14" s="1"/>
  <c r="DO97" i="14" s="1"/>
  <c r="DO98" i="14" s="1"/>
  <c r="DO99" i="14" s="1"/>
  <c r="DO100" i="14" s="1"/>
  <c r="DO101" i="14" s="1"/>
  <c r="DO102" i="14" s="1"/>
  <c r="DO103" i="14" s="1"/>
  <c r="DN88" i="14"/>
  <c r="DN89" i="14" s="1"/>
  <c r="DN90" i="14" s="1"/>
  <c r="DN91" i="14" s="1"/>
  <c r="DN92" i="14" s="1"/>
  <c r="DN93" i="14" s="1"/>
  <c r="DN94" i="14" s="1"/>
  <c r="DN95" i="14" s="1"/>
  <c r="DN96" i="14" s="1"/>
  <c r="DN97" i="14" s="1"/>
  <c r="DN98" i="14" s="1"/>
  <c r="DN99" i="14" s="1"/>
  <c r="DN100" i="14" s="1"/>
  <c r="DN101" i="14" s="1"/>
  <c r="DN102" i="14" s="1"/>
  <c r="DN103" i="14" s="1"/>
  <c r="AU113" i="16"/>
  <c r="AU114" i="16" s="1"/>
  <c r="AU115" i="16" s="1"/>
  <c r="AU116" i="16" s="1"/>
  <c r="AU117" i="16" s="1"/>
  <c r="AU118" i="16" s="1"/>
  <c r="AU119" i="16" s="1"/>
  <c r="AU120" i="16" s="1"/>
  <c r="AU121" i="16" s="1"/>
  <c r="AU122" i="16" s="1"/>
  <c r="AU123" i="16" s="1"/>
  <c r="AU124" i="16" s="1"/>
  <c r="AU125" i="16" s="1"/>
  <c r="AU126" i="16" s="1"/>
  <c r="AU127" i="16" s="1"/>
  <c r="AU128" i="16" s="1"/>
  <c r="BI113" i="15"/>
  <c r="BQ113" i="15"/>
  <c r="BQ114" i="15" s="1"/>
  <c r="BQ115" i="15" s="1"/>
  <c r="BQ116" i="15" s="1"/>
  <c r="BQ117" i="15" s="1"/>
  <c r="BQ118" i="15" s="1"/>
  <c r="BQ119" i="15" s="1"/>
  <c r="BQ120" i="15" s="1"/>
  <c r="BQ121" i="15" s="1"/>
  <c r="BQ122" i="15" s="1"/>
  <c r="BQ123" i="15" s="1"/>
  <c r="BQ124" i="15" s="1"/>
  <c r="BQ125" i="15" s="1"/>
  <c r="BQ126" i="15" s="1"/>
  <c r="BQ127" i="15" s="1"/>
  <c r="BQ128" i="15" s="1"/>
  <c r="AD162" i="15" s="1"/>
  <c r="AD163" i="15" s="1"/>
  <c r="AD165" i="15" s="1"/>
  <c r="AD167" i="15" s="1"/>
  <c r="W88" i="15"/>
  <c r="W89" i="15" s="1"/>
  <c r="W90" i="15" s="1"/>
  <c r="W91" i="15" s="1"/>
  <c r="W92" i="15" s="1"/>
  <c r="W93" i="15" s="1"/>
  <c r="W94" i="15" s="1"/>
  <c r="W95" i="15" s="1"/>
  <c r="W96" i="15" s="1"/>
  <c r="W97" i="15" s="1"/>
  <c r="W98" i="15" s="1"/>
  <c r="W99" i="15" s="1"/>
  <c r="W100" i="15" s="1"/>
  <c r="W101" i="15" s="1"/>
  <c r="W102" i="15" s="1"/>
  <c r="W103" i="15" s="1"/>
  <c r="AU88" i="14"/>
  <c r="AU89" i="14" s="1"/>
  <c r="AU90" i="14" s="1"/>
  <c r="AU91" i="14" s="1"/>
  <c r="AU92" i="14" s="1"/>
  <c r="AU93" i="14" s="1"/>
  <c r="AU94" i="14" s="1"/>
  <c r="AU95" i="14" s="1"/>
  <c r="AU96" i="14" s="1"/>
  <c r="AU97" i="14" s="1"/>
  <c r="AU98" i="14" s="1"/>
  <c r="AU99" i="14" s="1"/>
  <c r="AU100" i="14" s="1"/>
  <c r="AU101" i="14" s="1"/>
  <c r="AU102" i="14" s="1"/>
  <c r="AU103" i="14" s="1"/>
  <c r="BQ128" i="14"/>
  <c r="AD162" i="14" s="1"/>
  <c r="AF66" i="10"/>
  <c r="AF67" i="10" s="1"/>
  <c r="AF68" i="10" s="1"/>
  <c r="AF69" i="10" s="1"/>
  <c r="AF70" i="10" s="1"/>
  <c r="AF71" i="10" s="1"/>
  <c r="AF72" i="10" s="1"/>
  <c r="AF73" i="10" s="1"/>
  <c r="AF74" i="10" s="1"/>
  <c r="AF75" i="10" s="1"/>
  <c r="AF76" i="10" s="1"/>
  <c r="AF77" i="10" s="1"/>
  <c r="AF78" i="10" s="1"/>
  <c r="AF79" i="10" s="1"/>
  <c r="AF80" i="10" s="1"/>
  <c r="X71" i="2"/>
  <c r="T29" i="8" s="1"/>
  <c r="T27" i="8" s="1"/>
  <c r="BY64" i="15"/>
  <c r="BY65" i="15" s="1"/>
  <c r="BY66" i="15" s="1"/>
  <c r="BY67" i="15" s="1"/>
  <c r="BY68" i="15" s="1"/>
  <c r="BY69" i="15" s="1"/>
  <c r="BY70" i="15" s="1"/>
  <c r="BY71" i="15" s="1"/>
  <c r="BY72" i="15" s="1"/>
  <c r="BY73" i="15" s="1"/>
  <c r="BY74" i="15" s="1"/>
  <c r="BY75" i="15" s="1"/>
  <c r="BY76" i="15" s="1"/>
  <c r="BY77" i="15" s="1"/>
  <c r="BY78" i="15" s="1"/>
  <c r="BY64" i="13"/>
  <c r="BY65" i="13" s="1"/>
  <c r="BY66" i="13" s="1"/>
  <c r="BY67" i="13" s="1"/>
  <c r="BY68" i="13" s="1"/>
  <c r="BY69" i="13" s="1"/>
  <c r="BY70" i="13" s="1"/>
  <c r="BY71" i="13" s="1"/>
  <c r="BY72" i="13" s="1"/>
  <c r="BY73" i="13" s="1"/>
  <c r="BY74" i="13" s="1"/>
  <c r="BY75" i="13" s="1"/>
  <c r="BY76" i="13" s="1"/>
  <c r="BY77" i="13" s="1"/>
  <c r="BY78" i="13" s="1"/>
  <c r="AB164" i="14"/>
  <c r="AB166" i="14" s="1"/>
  <c r="AB168" i="14" s="1"/>
  <c r="X164" i="13"/>
  <c r="X166" i="13" s="1"/>
  <c r="X168" i="13" s="1"/>
  <c r="CP113" i="16"/>
  <c r="CP114" i="16" s="1"/>
  <c r="CP115" i="16" s="1"/>
  <c r="CP116" i="16" s="1"/>
  <c r="CP117" i="16" s="1"/>
  <c r="CP118" i="16" s="1"/>
  <c r="CP119" i="16" s="1"/>
  <c r="CP120" i="16" s="1"/>
  <c r="CP121" i="16" s="1"/>
  <c r="CP122" i="16" s="1"/>
  <c r="CP123" i="16" s="1"/>
  <c r="CP124" i="16" s="1"/>
  <c r="CP125" i="16" s="1"/>
  <c r="CP126" i="16" s="1"/>
  <c r="CP127" i="16" s="1"/>
  <c r="CP128" i="16" s="1"/>
  <c r="BR113" i="16"/>
  <c r="BR114" i="16" s="1"/>
  <c r="BR115" i="16" s="1"/>
  <c r="BR116" i="16" s="1"/>
  <c r="BR117" i="16" s="1"/>
  <c r="BR118" i="16" s="1"/>
  <c r="BR119" i="16" s="1"/>
  <c r="BR120" i="16" s="1"/>
  <c r="BR121" i="16" s="1"/>
  <c r="BR122" i="16" s="1"/>
  <c r="BR123" i="16" s="1"/>
  <c r="BR124" i="16" s="1"/>
  <c r="BR125" i="16" s="1"/>
  <c r="BR126" i="16" s="1"/>
  <c r="BR127" i="16" s="1"/>
  <c r="BR128" i="16" s="1"/>
  <c r="AD164" i="13"/>
  <c r="E18" i="12" s="1"/>
  <c r="Z164" i="14"/>
  <c r="H24" i="12" s="1"/>
  <c r="M7" i="23"/>
  <c r="O7" i="23" s="1"/>
  <c r="O8" i="23" s="1"/>
  <c r="O9" i="23" s="1"/>
  <c r="O10" i="23" s="1"/>
  <c r="O11" i="23" s="1"/>
  <c r="O12" i="23" s="1"/>
  <c r="O13" i="23" s="1"/>
  <c r="O14" i="23" s="1"/>
  <c r="O15" i="23" s="1"/>
  <c r="O16" i="23" s="1"/>
  <c r="O17" i="23" s="1"/>
  <c r="O18" i="23" s="1"/>
  <c r="O19" i="23" s="1"/>
  <c r="O20" i="23" s="1"/>
  <c r="O21" i="23" s="1"/>
  <c r="O22" i="23" s="1"/>
  <c r="C29" i="23" s="1"/>
  <c r="AT113" i="16"/>
  <c r="AT114" i="16" s="1"/>
  <c r="AT115" i="16" s="1"/>
  <c r="AT116" i="16" s="1"/>
  <c r="AT117" i="16" s="1"/>
  <c r="AT118" i="16" s="1"/>
  <c r="AT119" i="16" s="1"/>
  <c r="AT120" i="16" s="1"/>
  <c r="AT121" i="16" s="1"/>
  <c r="AT122" i="16" s="1"/>
  <c r="AT123" i="16" s="1"/>
  <c r="AT124" i="16" s="1"/>
  <c r="AT125" i="16" s="1"/>
  <c r="AT126" i="16" s="1"/>
  <c r="AT127" i="16" s="1"/>
  <c r="AT128" i="16" s="1"/>
  <c r="DN113" i="16"/>
  <c r="DN114" i="16" s="1"/>
  <c r="DN115" i="16" s="1"/>
  <c r="DN116" i="16" s="1"/>
  <c r="DN117" i="16" s="1"/>
  <c r="DN118" i="16" s="1"/>
  <c r="DN119" i="16" s="1"/>
  <c r="DN120" i="16" s="1"/>
  <c r="DN121" i="16" s="1"/>
  <c r="DN122" i="16" s="1"/>
  <c r="DN123" i="16" s="1"/>
  <c r="DN124" i="16" s="1"/>
  <c r="DN125" i="16" s="1"/>
  <c r="DN126" i="16" s="1"/>
  <c r="DN127" i="16" s="1"/>
  <c r="DN128" i="16" s="1"/>
  <c r="Y65" i="10"/>
  <c r="AF164" i="14"/>
  <c r="D25" i="12" s="1"/>
  <c r="Y164" i="15"/>
  <c r="Y166" i="15" s="1"/>
  <c r="Y168" i="15" s="1"/>
  <c r="BS113" i="16"/>
  <c r="BS114" i="16" s="1"/>
  <c r="BS115" i="16" s="1"/>
  <c r="BS116" i="16" s="1"/>
  <c r="BS117" i="16" s="1"/>
  <c r="BS118" i="16" s="1"/>
  <c r="BS119" i="16" s="1"/>
  <c r="BS120" i="16" s="1"/>
  <c r="BS121" i="16" s="1"/>
  <c r="BS122" i="16" s="1"/>
  <c r="BS123" i="16" s="1"/>
  <c r="BS124" i="16" s="1"/>
  <c r="BS125" i="16" s="1"/>
  <c r="BS126" i="16" s="1"/>
  <c r="BS127" i="16" s="1"/>
  <c r="BS128" i="16" s="1"/>
  <c r="V64" i="15"/>
  <c r="V65" i="15" s="1"/>
  <c r="V66" i="15" s="1"/>
  <c r="V67" i="15" s="1"/>
  <c r="V68" i="15" s="1"/>
  <c r="V69" i="15" s="1"/>
  <c r="V70" i="15" s="1"/>
  <c r="V71" i="15" s="1"/>
  <c r="V72" i="15" s="1"/>
  <c r="V73" i="15" s="1"/>
  <c r="V74" i="15" s="1"/>
  <c r="V75" i="15" s="1"/>
  <c r="V76" i="15" s="1"/>
  <c r="V77" i="15" s="1"/>
  <c r="V78" i="15" s="1"/>
  <c r="R161" i="15" s="1"/>
  <c r="R164" i="15" s="1"/>
  <c r="V64" i="14"/>
  <c r="V65" i="14" s="1"/>
  <c r="V66" i="14" s="1"/>
  <c r="V67" i="14" s="1"/>
  <c r="V68" i="14" s="1"/>
  <c r="V69" i="14" s="1"/>
  <c r="V70" i="14" s="1"/>
  <c r="V71" i="14" s="1"/>
  <c r="V72" i="14" s="1"/>
  <c r="V73" i="14" s="1"/>
  <c r="V74" i="14" s="1"/>
  <c r="V75" i="14" s="1"/>
  <c r="V76" i="14" s="1"/>
  <c r="V77" i="14" s="1"/>
  <c r="V78" i="14" s="1"/>
  <c r="R161" i="14" s="1"/>
  <c r="R164" i="14" s="1"/>
  <c r="AV64" i="15"/>
  <c r="AV65" i="15" s="1"/>
  <c r="AV66" i="15" s="1"/>
  <c r="AV67" i="15" s="1"/>
  <c r="AV68" i="15" s="1"/>
  <c r="AV69" i="15" s="1"/>
  <c r="AV70" i="15" s="1"/>
  <c r="AV71" i="15" s="1"/>
  <c r="AV72" i="15" s="1"/>
  <c r="AV73" i="15" s="1"/>
  <c r="AV74" i="15" s="1"/>
  <c r="AV75" i="15" s="1"/>
  <c r="AV76" i="15" s="1"/>
  <c r="AV77" i="15" s="1"/>
  <c r="AV78" i="15" s="1"/>
  <c r="S161" i="15" s="1"/>
  <c r="S164" i="15" s="1"/>
  <c r="Z163" i="16"/>
  <c r="Z164" i="16"/>
  <c r="H38" i="12" s="1"/>
  <c r="W164" i="15"/>
  <c r="W164" i="16"/>
  <c r="F38" i="12" s="1"/>
  <c r="AA164" i="14"/>
  <c r="AA164" i="13"/>
  <c r="AF164" i="13"/>
  <c r="CY64" i="15"/>
  <c r="CY65" i="15" s="1"/>
  <c r="CY66" i="15" s="1"/>
  <c r="CY67" i="15" s="1"/>
  <c r="CY68" i="15" s="1"/>
  <c r="CY69" i="15" s="1"/>
  <c r="CY70" i="15" s="1"/>
  <c r="CY71" i="15" s="1"/>
  <c r="CY72" i="15" s="1"/>
  <c r="CY73" i="15" s="1"/>
  <c r="CY74" i="15" s="1"/>
  <c r="CY75" i="15" s="1"/>
  <c r="CY76" i="15" s="1"/>
  <c r="CY77" i="15" s="1"/>
  <c r="CY78" i="15" s="1"/>
  <c r="Y64" i="15"/>
  <c r="Y65" i="15" s="1"/>
  <c r="Y66" i="15" s="1"/>
  <c r="Y67" i="15" s="1"/>
  <c r="Y68" i="15" s="1"/>
  <c r="Y69" i="15" s="1"/>
  <c r="Y70" i="15" s="1"/>
  <c r="Y71" i="15" s="1"/>
  <c r="Y72" i="15" s="1"/>
  <c r="Y73" i="15" s="1"/>
  <c r="Y74" i="15" s="1"/>
  <c r="Y75" i="15" s="1"/>
  <c r="Y76" i="15" s="1"/>
  <c r="Y77" i="15" s="1"/>
  <c r="Y78" i="15" s="1"/>
  <c r="CY64" i="14"/>
  <c r="CY65" i="14" s="1"/>
  <c r="CY66" i="14" s="1"/>
  <c r="CY67" i="14" s="1"/>
  <c r="CY68" i="14" s="1"/>
  <c r="CY69" i="14" s="1"/>
  <c r="CY70" i="14" s="1"/>
  <c r="CY71" i="14" s="1"/>
  <c r="CY72" i="14" s="1"/>
  <c r="CY73" i="14" s="1"/>
  <c r="CY74" i="14" s="1"/>
  <c r="CY75" i="14" s="1"/>
  <c r="CY76" i="14" s="1"/>
  <c r="CY77" i="14" s="1"/>
  <c r="CY78" i="14" s="1"/>
  <c r="X164" i="14"/>
  <c r="W164" i="14"/>
  <c r="AE164" i="16"/>
  <c r="H39" i="12" s="1"/>
  <c r="AD164" i="16"/>
  <c r="E39" i="12" s="1"/>
  <c r="AB164" i="15"/>
  <c r="Z164" i="13"/>
  <c r="W164" i="13"/>
  <c r="AC164" i="14"/>
  <c r="AA164" i="15"/>
  <c r="AC164" i="13"/>
  <c r="AA164" i="16"/>
  <c r="D38" i="12" s="1"/>
  <c r="AF164" i="16"/>
  <c r="D39" i="12" s="1"/>
  <c r="Y164" i="13"/>
  <c r="Y163" i="13"/>
  <c r="Y165" i="13" s="1"/>
  <c r="Y167" i="13" s="1"/>
  <c r="CV64" i="15"/>
  <c r="CV65" i="15" s="1"/>
  <c r="CV66" i="15" s="1"/>
  <c r="CV67" i="15" s="1"/>
  <c r="CV68" i="15" s="1"/>
  <c r="CV69" i="15" s="1"/>
  <c r="CV70" i="15" s="1"/>
  <c r="CV71" i="15" s="1"/>
  <c r="CV72" i="15" s="1"/>
  <c r="CV73" i="15" s="1"/>
  <c r="CV74" i="15" s="1"/>
  <c r="CV75" i="15" s="1"/>
  <c r="CV76" i="15" s="1"/>
  <c r="CV77" i="15" s="1"/>
  <c r="CV78" i="15" s="1"/>
  <c r="U161" i="15" s="1"/>
  <c r="U164" i="15" s="1"/>
  <c r="AY64" i="15"/>
  <c r="AY65" i="15" s="1"/>
  <c r="AY66" i="15" s="1"/>
  <c r="AY67" i="15" s="1"/>
  <c r="AY68" i="15" s="1"/>
  <c r="AY69" i="15" s="1"/>
  <c r="AY70" i="15" s="1"/>
  <c r="AY71" i="15" s="1"/>
  <c r="AY72" i="15" s="1"/>
  <c r="AY73" i="15" s="1"/>
  <c r="AY74" i="15" s="1"/>
  <c r="AY75" i="15" s="1"/>
  <c r="AY76" i="15" s="1"/>
  <c r="AY77" i="15" s="1"/>
  <c r="AY78" i="15" s="1"/>
  <c r="Y164" i="14"/>
  <c r="AC164" i="16"/>
  <c r="G39" i="12" s="1"/>
  <c r="AB164" i="16"/>
  <c r="F39" i="12" s="1"/>
  <c r="X164" i="16"/>
  <c r="G38" i="12" s="1"/>
  <c r="Y164" i="16"/>
  <c r="E38" i="12" s="1"/>
  <c r="AE164" i="13"/>
  <c r="AE164" i="14"/>
  <c r="AB164" i="13"/>
  <c r="DV64" i="16"/>
  <c r="DV65" i="16" s="1"/>
  <c r="DV66" i="16" s="1"/>
  <c r="DV67" i="16" s="1"/>
  <c r="DV68" i="16" s="1"/>
  <c r="DV69" i="16" s="1"/>
  <c r="DV70" i="16" s="1"/>
  <c r="DV71" i="16" s="1"/>
  <c r="DV72" i="16" s="1"/>
  <c r="DV73" i="16" s="1"/>
  <c r="DV74" i="16" s="1"/>
  <c r="DV75" i="16" s="1"/>
  <c r="DV76" i="16" s="1"/>
  <c r="DV77" i="16" s="1"/>
  <c r="DV78" i="16" s="1"/>
  <c r="V161" i="16" s="1"/>
  <c r="V164" i="16" s="1"/>
  <c r="D43" i="12" s="1"/>
  <c r="AV64" i="14"/>
  <c r="AV65" i="14" s="1"/>
  <c r="AV66" i="14" s="1"/>
  <c r="AV67" i="14" s="1"/>
  <c r="AV68" i="14" s="1"/>
  <c r="AV69" i="14" s="1"/>
  <c r="AV70" i="14" s="1"/>
  <c r="AV71" i="14" s="1"/>
  <c r="AV72" i="14" s="1"/>
  <c r="AV73" i="14" s="1"/>
  <c r="AV74" i="14" s="1"/>
  <c r="AV75" i="14" s="1"/>
  <c r="AV76" i="14" s="1"/>
  <c r="AV77" i="14" s="1"/>
  <c r="AV78" i="14" s="1"/>
  <c r="S161" i="14" s="1"/>
  <c r="S164" i="14" s="1"/>
  <c r="BY65" i="14"/>
  <c r="BY66" i="14" s="1"/>
  <c r="BY67" i="14" s="1"/>
  <c r="BY68" i="14" s="1"/>
  <c r="BY69" i="14" s="1"/>
  <c r="BY70" i="14" s="1"/>
  <c r="BY71" i="14" s="1"/>
  <c r="BY72" i="14" s="1"/>
  <c r="BY73" i="14" s="1"/>
  <c r="BY74" i="14" s="1"/>
  <c r="BY75" i="14" s="1"/>
  <c r="BY76" i="14" s="1"/>
  <c r="BY77" i="14" s="1"/>
  <c r="BY78" i="14" s="1"/>
  <c r="AG65" i="10"/>
  <c r="AG66" i="10" s="1"/>
  <c r="AG67" i="10" s="1"/>
  <c r="AG68" i="10" s="1"/>
  <c r="AG69" i="10" s="1"/>
  <c r="AG70" i="10" s="1"/>
  <c r="AG71" i="10" s="1"/>
  <c r="AG72" i="10" s="1"/>
  <c r="AG73" i="10" s="1"/>
  <c r="AG74" i="10" s="1"/>
  <c r="AG75" i="10" s="1"/>
  <c r="AG76" i="10" s="1"/>
  <c r="AG77" i="10" s="1"/>
  <c r="AG78" i="10" s="1"/>
  <c r="AG79" i="10" s="1"/>
  <c r="AG80" i="10" s="1"/>
  <c r="X65" i="10"/>
  <c r="CV64" i="16"/>
  <c r="CV65" i="16" s="1"/>
  <c r="CV66" i="16" s="1"/>
  <c r="CV67" i="16" s="1"/>
  <c r="CV68" i="16" s="1"/>
  <c r="CV69" i="16" s="1"/>
  <c r="CV70" i="16" s="1"/>
  <c r="CV71" i="16" s="1"/>
  <c r="CV72" i="16" s="1"/>
  <c r="CV73" i="16" s="1"/>
  <c r="CV74" i="16" s="1"/>
  <c r="CV75" i="16" s="1"/>
  <c r="CV76" i="16" s="1"/>
  <c r="CV77" i="16" s="1"/>
  <c r="CV78" i="16" s="1"/>
  <c r="U161" i="16" s="1"/>
  <c r="U164" i="16" s="1"/>
  <c r="H43" i="12" s="1"/>
  <c r="CV64" i="14"/>
  <c r="CV65" i="14" s="1"/>
  <c r="CV66" i="14" s="1"/>
  <c r="CV67" i="14" s="1"/>
  <c r="CV68" i="14" s="1"/>
  <c r="CV69" i="14" s="1"/>
  <c r="CV70" i="14" s="1"/>
  <c r="CV71" i="14" s="1"/>
  <c r="CV72" i="14" s="1"/>
  <c r="CV73" i="14" s="1"/>
  <c r="CV74" i="14" s="1"/>
  <c r="CV75" i="14" s="1"/>
  <c r="CV76" i="14" s="1"/>
  <c r="CV77" i="14" s="1"/>
  <c r="CV78" i="14" s="1"/>
  <c r="U161" i="14" s="1"/>
  <c r="U164" i="14" s="1"/>
  <c r="DY64" i="16"/>
  <c r="DY65" i="16" s="1"/>
  <c r="DY66" i="16" s="1"/>
  <c r="DY67" i="16" s="1"/>
  <c r="DY68" i="16" s="1"/>
  <c r="DY69" i="16" s="1"/>
  <c r="DY70" i="16" s="1"/>
  <c r="DY71" i="16" s="1"/>
  <c r="DY72" i="16" s="1"/>
  <c r="DY73" i="16" s="1"/>
  <c r="DY74" i="16" s="1"/>
  <c r="DY75" i="16" s="1"/>
  <c r="DY76" i="16" s="1"/>
  <c r="DY77" i="16" s="1"/>
  <c r="DY78" i="16" s="1"/>
  <c r="AT88" i="16"/>
  <c r="AT89" i="16" s="1"/>
  <c r="AT90" i="16" s="1"/>
  <c r="AT91" i="16" s="1"/>
  <c r="AT92" i="16" s="1"/>
  <c r="AT93" i="16" s="1"/>
  <c r="AT94" i="16" s="1"/>
  <c r="AT95" i="16" s="1"/>
  <c r="AT96" i="16" s="1"/>
  <c r="AT97" i="16" s="1"/>
  <c r="AT98" i="16" s="1"/>
  <c r="AT99" i="16" s="1"/>
  <c r="AT100" i="16" s="1"/>
  <c r="AT101" i="16" s="1"/>
  <c r="AT102" i="16" s="1"/>
  <c r="AT103" i="16" s="1"/>
  <c r="BV64" i="13"/>
  <c r="BV65" i="13" s="1"/>
  <c r="BV66" i="13" s="1"/>
  <c r="BV67" i="13" s="1"/>
  <c r="BV68" i="13" s="1"/>
  <c r="BV69" i="13" s="1"/>
  <c r="BV70" i="13" s="1"/>
  <c r="BV71" i="13" s="1"/>
  <c r="BV72" i="13" s="1"/>
  <c r="BV73" i="13" s="1"/>
  <c r="BV74" i="13" s="1"/>
  <c r="BV75" i="13" s="1"/>
  <c r="BV76" i="13" s="1"/>
  <c r="BV77" i="13" s="1"/>
  <c r="BV78" i="13" s="1"/>
  <c r="T161" i="13" s="1"/>
  <c r="T164" i="13" s="1"/>
  <c r="BY64" i="16"/>
  <c r="BY65" i="16" s="1"/>
  <c r="BY66" i="16" s="1"/>
  <c r="BY67" i="16" s="1"/>
  <c r="BY68" i="16" s="1"/>
  <c r="BY69" i="16" s="1"/>
  <c r="BY70" i="16" s="1"/>
  <c r="BY71" i="16" s="1"/>
  <c r="BY72" i="16" s="1"/>
  <c r="BY73" i="16" s="1"/>
  <c r="BY74" i="16" s="1"/>
  <c r="BY75" i="16" s="1"/>
  <c r="BY76" i="16" s="1"/>
  <c r="BY77" i="16" s="1"/>
  <c r="BY78" i="16" s="1"/>
  <c r="CO88" i="15"/>
  <c r="CO89" i="15" s="1"/>
  <c r="CO90" i="15" s="1"/>
  <c r="CO91" i="15" s="1"/>
  <c r="CO92" i="15" s="1"/>
  <c r="CO93" i="15" s="1"/>
  <c r="CO94" i="15" s="1"/>
  <c r="CO95" i="15" s="1"/>
  <c r="CO96" i="15" s="1"/>
  <c r="CO97" i="15" s="1"/>
  <c r="CO98" i="15" s="1"/>
  <c r="CO99" i="15" s="1"/>
  <c r="CO100" i="15" s="1"/>
  <c r="CO101" i="15" s="1"/>
  <c r="CO102" i="15" s="1"/>
  <c r="CO103" i="15" s="1"/>
  <c r="Z162" i="15" s="1"/>
  <c r="CF88" i="15"/>
  <c r="CG88" i="15"/>
  <c r="CP88" i="16"/>
  <c r="CP89" i="16" s="1"/>
  <c r="CP90" i="16" s="1"/>
  <c r="CP91" i="16" s="1"/>
  <c r="CP92" i="16" s="1"/>
  <c r="CP93" i="16" s="1"/>
  <c r="CP94" i="16" s="1"/>
  <c r="CP95" i="16" s="1"/>
  <c r="CP96" i="16" s="1"/>
  <c r="CP97" i="16" s="1"/>
  <c r="CP98" i="16" s="1"/>
  <c r="CP99" i="16" s="1"/>
  <c r="CP100" i="16" s="1"/>
  <c r="CP101" i="16" s="1"/>
  <c r="CP102" i="16" s="1"/>
  <c r="CP103" i="16" s="1"/>
  <c r="BV64" i="15"/>
  <c r="BV65" i="15" s="1"/>
  <c r="BV66" i="15" s="1"/>
  <c r="BV67" i="15" s="1"/>
  <c r="BV68" i="15" s="1"/>
  <c r="BV69" i="15" s="1"/>
  <c r="BV70" i="15" s="1"/>
  <c r="BV71" i="15" s="1"/>
  <c r="BV72" i="15" s="1"/>
  <c r="BV73" i="15" s="1"/>
  <c r="BV74" i="15" s="1"/>
  <c r="BV75" i="15" s="1"/>
  <c r="BV76" i="15" s="1"/>
  <c r="BV77" i="15" s="1"/>
  <c r="BV78" i="15" s="1"/>
  <c r="T161" i="15" s="1"/>
  <c r="T164" i="15" s="1"/>
  <c r="CY64" i="16"/>
  <c r="CY65" i="16" s="1"/>
  <c r="CY66" i="16" s="1"/>
  <c r="CY67" i="16" s="1"/>
  <c r="CY68" i="16" s="1"/>
  <c r="CY69" i="16" s="1"/>
  <c r="CY70" i="16" s="1"/>
  <c r="CY71" i="16" s="1"/>
  <c r="CY72" i="16" s="1"/>
  <c r="CY73" i="16" s="1"/>
  <c r="CY74" i="16" s="1"/>
  <c r="CY75" i="16" s="1"/>
  <c r="CY76" i="16" s="1"/>
  <c r="CY77" i="16" s="1"/>
  <c r="CY78" i="16" s="1"/>
  <c r="BV64" i="14"/>
  <c r="BV65" i="14" s="1"/>
  <c r="BV66" i="14" s="1"/>
  <c r="BV67" i="14" s="1"/>
  <c r="BV68" i="14" s="1"/>
  <c r="BV69" i="14" s="1"/>
  <c r="BV70" i="14" s="1"/>
  <c r="BV71" i="14" s="1"/>
  <c r="BV72" i="14" s="1"/>
  <c r="BV73" i="14" s="1"/>
  <c r="BV74" i="14" s="1"/>
  <c r="BV75" i="14" s="1"/>
  <c r="BV76" i="14" s="1"/>
  <c r="BV77" i="14" s="1"/>
  <c r="BV78" i="14" s="1"/>
  <c r="T161" i="14" s="1"/>
  <c r="T164" i="14" s="1"/>
  <c r="AJ88" i="15"/>
  <c r="AK88" i="15"/>
  <c r="AY64" i="16"/>
  <c r="AY65" i="16" s="1"/>
  <c r="AY66" i="16" s="1"/>
  <c r="AY67" i="16" s="1"/>
  <c r="AY68" i="16" s="1"/>
  <c r="AY69" i="16" s="1"/>
  <c r="AY70" i="16" s="1"/>
  <c r="AY71" i="16" s="1"/>
  <c r="AY72" i="16" s="1"/>
  <c r="AY73" i="16" s="1"/>
  <c r="AY74" i="16" s="1"/>
  <c r="AY75" i="16" s="1"/>
  <c r="AY76" i="16" s="1"/>
  <c r="AY77" i="16" s="1"/>
  <c r="AY78" i="16" s="1"/>
  <c r="DY64" i="14"/>
  <c r="DY65" i="14" s="1"/>
  <c r="DY66" i="14" s="1"/>
  <c r="DY67" i="14" s="1"/>
  <c r="DY68" i="14" s="1"/>
  <c r="DY69" i="14" s="1"/>
  <c r="DY70" i="14" s="1"/>
  <c r="DY71" i="14" s="1"/>
  <c r="DY72" i="14" s="1"/>
  <c r="DY73" i="14" s="1"/>
  <c r="DY74" i="14" s="1"/>
  <c r="DY75" i="14" s="1"/>
  <c r="DY76" i="14" s="1"/>
  <c r="DY77" i="14" s="1"/>
  <c r="DY78" i="14" s="1"/>
  <c r="DY64" i="15"/>
  <c r="DY65" i="15" s="1"/>
  <c r="DY66" i="15" s="1"/>
  <c r="DY67" i="15" s="1"/>
  <c r="DY68" i="15" s="1"/>
  <c r="DY69" i="15" s="1"/>
  <c r="DY70" i="15" s="1"/>
  <c r="DY71" i="15" s="1"/>
  <c r="DY72" i="15" s="1"/>
  <c r="DY73" i="15" s="1"/>
  <c r="DY74" i="15" s="1"/>
  <c r="DY75" i="15" s="1"/>
  <c r="DY76" i="15" s="1"/>
  <c r="DY77" i="15" s="1"/>
  <c r="DY78" i="15" s="1"/>
  <c r="AY64" i="14"/>
  <c r="AY65" i="14" s="1"/>
  <c r="AY66" i="14" s="1"/>
  <c r="AY67" i="14" s="1"/>
  <c r="AY68" i="14" s="1"/>
  <c r="AY69" i="14" s="1"/>
  <c r="AY70" i="14" s="1"/>
  <c r="AY71" i="14" s="1"/>
  <c r="AY72" i="14" s="1"/>
  <c r="AY73" i="14" s="1"/>
  <c r="AY74" i="14" s="1"/>
  <c r="AY75" i="14" s="1"/>
  <c r="AY76" i="14" s="1"/>
  <c r="AY77" i="14" s="1"/>
  <c r="AY78" i="14" s="1"/>
  <c r="V64" i="16"/>
  <c r="V65" i="16" s="1"/>
  <c r="V66" i="16" s="1"/>
  <c r="V67" i="16" s="1"/>
  <c r="V68" i="16" s="1"/>
  <c r="V69" i="16" s="1"/>
  <c r="V70" i="16" s="1"/>
  <c r="V71" i="16" s="1"/>
  <c r="V72" i="16" s="1"/>
  <c r="V73" i="16" s="1"/>
  <c r="V74" i="16" s="1"/>
  <c r="V75" i="16" s="1"/>
  <c r="V76" i="16" s="1"/>
  <c r="V77" i="16" s="1"/>
  <c r="V78" i="16" s="1"/>
  <c r="R161" i="16" s="1"/>
  <c r="R164" i="16" s="1"/>
  <c r="F43" i="12" s="1"/>
  <c r="BP13" i="16"/>
  <c r="BP14" i="16" s="1"/>
  <c r="BP15" i="16" s="1"/>
  <c r="BP16" i="16" s="1"/>
  <c r="BP17" i="16" s="1"/>
  <c r="BP18" i="16" s="1"/>
  <c r="BP19" i="16" s="1"/>
  <c r="BP20" i="16" s="1"/>
  <c r="BP21" i="16" s="1"/>
  <c r="BP22" i="16" s="1"/>
  <c r="BP23" i="16" s="1"/>
  <c r="BP24" i="16" s="1"/>
  <c r="BP25" i="16" s="1"/>
  <c r="BP26" i="16" s="1"/>
  <c r="BP27" i="16" s="1"/>
  <c r="J161" i="16" s="1"/>
  <c r="BS88" i="16"/>
  <c r="BS89" i="16" s="1"/>
  <c r="BS90" i="16" s="1"/>
  <c r="BS91" i="16" s="1"/>
  <c r="BS92" i="16" s="1"/>
  <c r="BS93" i="16" s="1"/>
  <c r="BS94" i="16" s="1"/>
  <c r="BS95" i="16" s="1"/>
  <c r="BS96" i="16" s="1"/>
  <c r="BS97" i="16" s="1"/>
  <c r="BS98" i="16" s="1"/>
  <c r="BS99" i="16" s="1"/>
  <c r="BS100" i="16" s="1"/>
  <c r="BS101" i="16" s="1"/>
  <c r="BS102" i="16" s="1"/>
  <c r="BS103" i="16" s="1"/>
  <c r="BV64" i="16"/>
  <c r="BV65" i="16" s="1"/>
  <c r="BV66" i="16" s="1"/>
  <c r="BV67" i="16" s="1"/>
  <c r="BV68" i="16" s="1"/>
  <c r="BV69" i="16" s="1"/>
  <c r="BV70" i="16" s="1"/>
  <c r="BV71" i="16" s="1"/>
  <c r="BV72" i="16" s="1"/>
  <c r="BV73" i="16" s="1"/>
  <c r="BV74" i="16" s="1"/>
  <c r="BV75" i="16" s="1"/>
  <c r="BV76" i="16" s="1"/>
  <c r="BV77" i="16" s="1"/>
  <c r="BV78" i="16" s="1"/>
  <c r="T161" i="16" s="1"/>
  <c r="T164" i="16" s="1"/>
  <c r="E43" i="12" s="1"/>
  <c r="Y64" i="16"/>
  <c r="Y65" i="16" s="1"/>
  <c r="Y66" i="16" s="1"/>
  <c r="Y67" i="16" s="1"/>
  <c r="Y68" i="16" s="1"/>
  <c r="Y69" i="16" s="1"/>
  <c r="Y70" i="16" s="1"/>
  <c r="Y71" i="16" s="1"/>
  <c r="Y72" i="16" s="1"/>
  <c r="Y73" i="16" s="1"/>
  <c r="Y74" i="16" s="1"/>
  <c r="Y75" i="16" s="1"/>
  <c r="Y76" i="16" s="1"/>
  <c r="Y77" i="16" s="1"/>
  <c r="Y78" i="16" s="1"/>
  <c r="DN88" i="16"/>
  <c r="DN89" i="16" s="1"/>
  <c r="DN90" i="16" s="1"/>
  <c r="DN91" i="16" s="1"/>
  <c r="DN92" i="16" s="1"/>
  <c r="DN93" i="16" s="1"/>
  <c r="DN94" i="16" s="1"/>
  <c r="DN95" i="16" s="1"/>
  <c r="DN96" i="16" s="1"/>
  <c r="DN97" i="16" s="1"/>
  <c r="DN98" i="16" s="1"/>
  <c r="DN99" i="16" s="1"/>
  <c r="DN100" i="16" s="1"/>
  <c r="DN101" i="16" s="1"/>
  <c r="DN102" i="16" s="1"/>
  <c r="DN103" i="16" s="1"/>
  <c r="Y64" i="14"/>
  <c r="Y65" i="14" s="1"/>
  <c r="Y66" i="14" s="1"/>
  <c r="Y67" i="14" s="1"/>
  <c r="Y68" i="14" s="1"/>
  <c r="Y69" i="14" s="1"/>
  <c r="Y70" i="14" s="1"/>
  <c r="Y71" i="14" s="1"/>
  <c r="Y72" i="14" s="1"/>
  <c r="Y73" i="14" s="1"/>
  <c r="Y74" i="14" s="1"/>
  <c r="Y75" i="14" s="1"/>
  <c r="Y76" i="14" s="1"/>
  <c r="Y77" i="14" s="1"/>
  <c r="Y78" i="14" s="1"/>
  <c r="BR88" i="16"/>
  <c r="BR89" i="16" s="1"/>
  <c r="BR90" i="16" s="1"/>
  <c r="BR91" i="16" s="1"/>
  <c r="BR92" i="16" s="1"/>
  <c r="BR93" i="16" s="1"/>
  <c r="BR94" i="16" s="1"/>
  <c r="BR95" i="16" s="1"/>
  <c r="BR96" i="16" s="1"/>
  <c r="BR97" i="16" s="1"/>
  <c r="BR98" i="16" s="1"/>
  <c r="BR99" i="16" s="1"/>
  <c r="BR100" i="16" s="1"/>
  <c r="BR101" i="16" s="1"/>
  <c r="BR102" i="16" s="1"/>
  <c r="BR103" i="16" s="1"/>
  <c r="AS88" i="15"/>
  <c r="AS89" i="15" s="1"/>
  <c r="AS90" i="15" s="1"/>
  <c r="AS91" i="15" s="1"/>
  <c r="AS92" i="15" s="1"/>
  <c r="AS93" i="15" s="1"/>
  <c r="AS94" i="15" s="1"/>
  <c r="AS95" i="15" s="1"/>
  <c r="AS96" i="15" s="1"/>
  <c r="AS97" i="15" s="1"/>
  <c r="AS98" i="15" s="1"/>
  <c r="AS99" i="15" s="1"/>
  <c r="AS100" i="15" s="1"/>
  <c r="AS101" i="15" s="1"/>
  <c r="AS102" i="15" s="1"/>
  <c r="AS103" i="15" s="1"/>
  <c r="X162" i="15" s="1"/>
  <c r="AV64" i="16"/>
  <c r="AV65" i="16" s="1"/>
  <c r="AV66" i="16" s="1"/>
  <c r="AV67" i="16" s="1"/>
  <c r="AV68" i="16" s="1"/>
  <c r="AV69" i="16" s="1"/>
  <c r="AV70" i="16" s="1"/>
  <c r="AV71" i="16" s="1"/>
  <c r="AV72" i="16" s="1"/>
  <c r="AV73" i="16" s="1"/>
  <c r="AV74" i="16" s="1"/>
  <c r="AV75" i="16" s="1"/>
  <c r="AV76" i="16" s="1"/>
  <c r="AV77" i="16" s="1"/>
  <c r="AV78" i="16" s="1"/>
  <c r="S161" i="16" s="1"/>
  <c r="S164" i="16" s="1"/>
  <c r="G43" i="12" s="1"/>
  <c r="DV64" i="14"/>
  <c r="DV65" i="14" s="1"/>
  <c r="DV66" i="14" s="1"/>
  <c r="DV67" i="14" s="1"/>
  <c r="DV68" i="14" s="1"/>
  <c r="DV69" i="14" s="1"/>
  <c r="DV70" i="14" s="1"/>
  <c r="DV71" i="14" s="1"/>
  <c r="DV72" i="14" s="1"/>
  <c r="DV73" i="14" s="1"/>
  <c r="DV74" i="14" s="1"/>
  <c r="DV75" i="14" s="1"/>
  <c r="DV76" i="14" s="1"/>
  <c r="DV77" i="14" s="1"/>
  <c r="DV78" i="14" s="1"/>
  <c r="V161" i="14" s="1"/>
  <c r="V164" i="14" s="1"/>
  <c r="DV64" i="15"/>
  <c r="DV65" i="15" s="1"/>
  <c r="DV66" i="15" s="1"/>
  <c r="DV67" i="15" s="1"/>
  <c r="DV68" i="15" s="1"/>
  <c r="DV69" i="15" s="1"/>
  <c r="DV70" i="15" s="1"/>
  <c r="DV71" i="15" s="1"/>
  <c r="DV72" i="15" s="1"/>
  <c r="DV73" i="15" s="1"/>
  <c r="DV74" i="15" s="1"/>
  <c r="DV75" i="15" s="1"/>
  <c r="DV76" i="15" s="1"/>
  <c r="DV77" i="15" s="1"/>
  <c r="DV78" i="15" s="1"/>
  <c r="V161" i="15" s="1"/>
  <c r="V164" i="15" s="1"/>
  <c r="AV64" i="13"/>
  <c r="CN13" i="16"/>
  <c r="CN14" i="16" s="1"/>
  <c r="CN15" i="16" s="1"/>
  <c r="CN16" i="16" s="1"/>
  <c r="CN17" i="16" s="1"/>
  <c r="CN18" i="16" s="1"/>
  <c r="CN19" i="16" s="1"/>
  <c r="CN20" i="16" s="1"/>
  <c r="CN21" i="16" s="1"/>
  <c r="CN22" i="16" s="1"/>
  <c r="CN23" i="16" s="1"/>
  <c r="CN24" i="16" s="1"/>
  <c r="CN25" i="16" s="1"/>
  <c r="CN26" i="16" s="1"/>
  <c r="CN27" i="16" s="1"/>
  <c r="K161" i="16" s="1"/>
  <c r="AY64" i="13"/>
  <c r="AY65" i="13" s="1"/>
  <c r="AY66" i="13" s="1"/>
  <c r="AY67" i="13" s="1"/>
  <c r="AY68" i="13" s="1"/>
  <c r="AY69" i="13" s="1"/>
  <c r="AY70" i="13" s="1"/>
  <c r="AY71" i="13" s="1"/>
  <c r="AY72" i="13" s="1"/>
  <c r="AY73" i="13" s="1"/>
  <c r="AY74" i="13" s="1"/>
  <c r="AY75" i="13" s="1"/>
  <c r="AY76" i="13" s="1"/>
  <c r="AY77" i="13" s="1"/>
  <c r="AY78" i="13" s="1"/>
  <c r="DV64" i="13"/>
  <c r="DV65" i="13" s="1"/>
  <c r="DV66" i="13" s="1"/>
  <c r="DV67" i="13" s="1"/>
  <c r="DV68" i="13" s="1"/>
  <c r="DV69" i="13" s="1"/>
  <c r="DV70" i="13" s="1"/>
  <c r="DV71" i="13" s="1"/>
  <c r="DV72" i="13" s="1"/>
  <c r="DV73" i="13" s="1"/>
  <c r="DV74" i="13" s="1"/>
  <c r="DV75" i="13" s="1"/>
  <c r="DV76" i="13" s="1"/>
  <c r="DV77" i="13" s="1"/>
  <c r="DV78" i="13" s="1"/>
  <c r="V161" i="13" s="1"/>
  <c r="V164" i="13" s="1"/>
  <c r="AV65" i="13"/>
  <c r="AV66" i="13" s="1"/>
  <c r="AV67" i="13" s="1"/>
  <c r="AV68" i="13" s="1"/>
  <c r="AV69" i="13" s="1"/>
  <c r="AV70" i="13" s="1"/>
  <c r="AV71" i="13" s="1"/>
  <c r="AV72" i="13" s="1"/>
  <c r="AV73" i="13" s="1"/>
  <c r="AV74" i="13" s="1"/>
  <c r="AV75" i="13" s="1"/>
  <c r="AV76" i="13" s="1"/>
  <c r="AV77" i="13" s="1"/>
  <c r="AV78" i="13" s="1"/>
  <c r="S161" i="13" s="1"/>
  <c r="S164" i="13" s="1"/>
  <c r="DY64" i="13"/>
  <c r="DY65" i="13" s="1"/>
  <c r="DY66" i="13" s="1"/>
  <c r="DY67" i="13" s="1"/>
  <c r="DY68" i="13" s="1"/>
  <c r="DY69" i="13" s="1"/>
  <c r="DY70" i="13" s="1"/>
  <c r="DY71" i="13" s="1"/>
  <c r="DY72" i="13" s="1"/>
  <c r="DY73" i="13" s="1"/>
  <c r="DY74" i="13" s="1"/>
  <c r="DY75" i="13" s="1"/>
  <c r="DY76" i="13" s="1"/>
  <c r="DY77" i="13" s="1"/>
  <c r="DY78" i="13" s="1"/>
  <c r="Y64" i="13"/>
  <c r="Y65" i="13" s="1"/>
  <c r="Y66" i="13" s="1"/>
  <c r="Y67" i="13" s="1"/>
  <c r="Y68" i="13" s="1"/>
  <c r="Y69" i="13" s="1"/>
  <c r="Y70" i="13" s="1"/>
  <c r="Y71" i="13" s="1"/>
  <c r="Y72" i="13" s="1"/>
  <c r="Y73" i="13" s="1"/>
  <c r="Y74" i="13" s="1"/>
  <c r="Y75" i="13" s="1"/>
  <c r="Y76" i="13" s="1"/>
  <c r="Y77" i="13" s="1"/>
  <c r="Y78" i="13" s="1"/>
  <c r="V64" i="13"/>
  <c r="V65" i="13" s="1"/>
  <c r="V66" i="13" s="1"/>
  <c r="V67" i="13" s="1"/>
  <c r="V68" i="13" s="1"/>
  <c r="V69" i="13" s="1"/>
  <c r="V70" i="13" s="1"/>
  <c r="V71" i="13" s="1"/>
  <c r="V72" i="13" s="1"/>
  <c r="V73" i="13" s="1"/>
  <c r="V74" i="13" s="1"/>
  <c r="V75" i="13" s="1"/>
  <c r="V76" i="13" s="1"/>
  <c r="V77" i="13" s="1"/>
  <c r="V78" i="13" s="1"/>
  <c r="CY64" i="13"/>
  <c r="CY65" i="13" s="1"/>
  <c r="CY66" i="13" s="1"/>
  <c r="CY67" i="13" s="1"/>
  <c r="CY68" i="13" s="1"/>
  <c r="CY69" i="13" s="1"/>
  <c r="CY70" i="13" s="1"/>
  <c r="CY71" i="13" s="1"/>
  <c r="CY72" i="13" s="1"/>
  <c r="CY73" i="13" s="1"/>
  <c r="CY74" i="13" s="1"/>
  <c r="CY75" i="13" s="1"/>
  <c r="CY76" i="13" s="1"/>
  <c r="CY77" i="13" s="1"/>
  <c r="CY78" i="13" s="1"/>
  <c r="CV64" i="13"/>
  <c r="CV65" i="13" s="1"/>
  <c r="CV66" i="13" s="1"/>
  <c r="CV67" i="13" s="1"/>
  <c r="CV68" i="13" s="1"/>
  <c r="CV69" i="13" s="1"/>
  <c r="CV70" i="13" s="1"/>
  <c r="CV71" i="13" s="1"/>
  <c r="CV72" i="13" s="1"/>
  <c r="CV73" i="13" s="1"/>
  <c r="CV74" i="13" s="1"/>
  <c r="CV75" i="13" s="1"/>
  <c r="CV76" i="13" s="1"/>
  <c r="CV77" i="13" s="1"/>
  <c r="CV78" i="13" s="1"/>
  <c r="U161" i="13" s="1"/>
  <c r="U164" i="13" s="1"/>
  <c r="CN13" i="15"/>
  <c r="CN14" i="15" s="1"/>
  <c r="CN15" i="15" s="1"/>
  <c r="CN16" i="15" s="1"/>
  <c r="CN17" i="15" s="1"/>
  <c r="CN18" i="15" s="1"/>
  <c r="CN19" i="15" s="1"/>
  <c r="CN20" i="15" s="1"/>
  <c r="CN21" i="15" s="1"/>
  <c r="CN22" i="15" s="1"/>
  <c r="CN23" i="15" s="1"/>
  <c r="CN24" i="15" s="1"/>
  <c r="CN25" i="15" s="1"/>
  <c r="CN26" i="15" s="1"/>
  <c r="CN27" i="15" s="1"/>
  <c r="K161" i="15" s="1"/>
  <c r="AH13" i="10"/>
  <c r="D61" i="22"/>
  <c r="AH39" i="10"/>
  <c r="E61" i="22"/>
  <c r="AI13" i="10"/>
  <c r="J61" i="22"/>
  <c r="AI40" i="10"/>
  <c r="K81" i="22"/>
  <c r="CG12" i="15"/>
  <c r="DE12" i="15"/>
  <c r="BI12" i="13"/>
  <c r="R29" i="8"/>
  <c r="R27" i="8" s="1"/>
  <c r="Q29" i="8"/>
  <c r="Q27" i="8" s="1"/>
  <c r="Q26" i="8" s="1"/>
  <c r="AR13" i="15"/>
  <c r="AR14" i="15" s="1"/>
  <c r="AR15" i="15" s="1"/>
  <c r="AR16" i="15" s="1"/>
  <c r="AR17" i="15" s="1"/>
  <c r="AR18" i="15" s="1"/>
  <c r="AR19" i="15" s="1"/>
  <c r="AR20" i="15" s="1"/>
  <c r="AR21" i="15" s="1"/>
  <c r="AR22" i="15" s="1"/>
  <c r="AR23" i="15" s="1"/>
  <c r="AR24" i="15" s="1"/>
  <c r="AR25" i="15" s="1"/>
  <c r="AR26" i="15" s="1"/>
  <c r="AR27" i="15" s="1"/>
  <c r="I161" i="15" s="1"/>
  <c r="CN13" i="14"/>
  <c r="CN14" i="14" s="1"/>
  <c r="CN15" i="14" s="1"/>
  <c r="CN16" i="14" s="1"/>
  <c r="CN17" i="14" s="1"/>
  <c r="CN18" i="14" s="1"/>
  <c r="CN19" i="14" s="1"/>
  <c r="CN20" i="14" s="1"/>
  <c r="CN21" i="14" s="1"/>
  <c r="CN22" i="14" s="1"/>
  <c r="CN23" i="14" s="1"/>
  <c r="CN24" i="14" s="1"/>
  <c r="CN25" i="14" s="1"/>
  <c r="CN26" i="14" s="1"/>
  <c r="CN27" i="14" s="1"/>
  <c r="K161" i="14" s="1"/>
  <c r="BP13" i="14"/>
  <c r="BP14" i="14" s="1"/>
  <c r="BP15" i="14" s="1"/>
  <c r="BP16" i="14" s="1"/>
  <c r="BP17" i="14" s="1"/>
  <c r="BP18" i="14" s="1"/>
  <c r="BP19" i="14" s="1"/>
  <c r="BP20" i="14" s="1"/>
  <c r="BP21" i="14" s="1"/>
  <c r="BP22" i="14" s="1"/>
  <c r="BP23" i="14" s="1"/>
  <c r="BP24" i="14" s="1"/>
  <c r="BP25" i="14" s="1"/>
  <c r="BP26" i="14" s="1"/>
  <c r="BP27" i="14" s="1"/>
  <c r="J161" i="14" s="1"/>
  <c r="T13" i="15"/>
  <c r="T14" i="15" s="1"/>
  <c r="T15" i="15" s="1"/>
  <c r="T16" i="15" s="1"/>
  <c r="T17" i="15" s="1"/>
  <c r="T18" i="15" s="1"/>
  <c r="T19" i="15" s="1"/>
  <c r="T20" i="15" s="1"/>
  <c r="T21" i="15" s="1"/>
  <c r="T22" i="15" s="1"/>
  <c r="T23" i="15" s="1"/>
  <c r="T24" i="15" s="1"/>
  <c r="T25" i="15" s="1"/>
  <c r="T26" i="15" s="1"/>
  <c r="T27" i="15" s="1"/>
  <c r="H161" i="15" s="1"/>
  <c r="DL13" i="15"/>
  <c r="DL14" i="15" s="1"/>
  <c r="DL15" i="15" s="1"/>
  <c r="DL16" i="15" s="1"/>
  <c r="DL17" i="15" s="1"/>
  <c r="DL18" i="15" s="1"/>
  <c r="DL19" i="15" s="1"/>
  <c r="DL20" i="15" s="1"/>
  <c r="DL21" i="15" s="1"/>
  <c r="DL22" i="15" s="1"/>
  <c r="DL23" i="15" s="1"/>
  <c r="DL24" i="15" s="1"/>
  <c r="DL25" i="15" s="1"/>
  <c r="DL26" i="15" s="1"/>
  <c r="DL27" i="15" s="1"/>
  <c r="L161" i="15" s="1"/>
  <c r="BP13" i="15"/>
  <c r="BP14" i="15" s="1"/>
  <c r="BP15" i="15" s="1"/>
  <c r="BP16" i="15" s="1"/>
  <c r="BP17" i="15" s="1"/>
  <c r="BP18" i="15" s="1"/>
  <c r="BP19" i="15" s="1"/>
  <c r="BP20" i="15" s="1"/>
  <c r="BP21" i="15" s="1"/>
  <c r="BP22" i="15" s="1"/>
  <c r="BP23" i="15" s="1"/>
  <c r="BP24" i="15" s="1"/>
  <c r="BP25" i="15" s="1"/>
  <c r="BP26" i="15" s="1"/>
  <c r="BP27" i="15" s="1"/>
  <c r="J161" i="15" s="1"/>
  <c r="DL13" i="14"/>
  <c r="DL14" i="14" s="1"/>
  <c r="DL15" i="14" s="1"/>
  <c r="DL16" i="14" s="1"/>
  <c r="DL17" i="14" s="1"/>
  <c r="DL18" i="14" s="1"/>
  <c r="DL19" i="14" s="1"/>
  <c r="DL20" i="14" s="1"/>
  <c r="DL21" i="14" s="1"/>
  <c r="DL22" i="14" s="1"/>
  <c r="DL23" i="14" s="1"/>
  <c r="DL24" i="14" s="1"/>
  <c r="DL25" i="14" s="1"/>
  <c r="DL26" i="14" s="1"/>
  <c r="DL27" i="14" s="1"/>
  <c r="L161" i="14" s="1"/>
  <c r="DL13" i="16"/>
  <c r="DL14" i="16" s="1"/>
  <c r="DL15" i="16" s="1"/>
  <c r="DL16" i="16" s="1"/>
  <c r="DL17" i="16" s="1"/>
  <c r="DL18" i="16" s="1"/>
  <c r="DL19" i="16" s="1"/>
  <c r="DL20" i="16" s="1"/>
  <c r="DL21" i="16" s="1"/>
  <c r="DL22" i="16" s="1"/>
  <c r="DL23" i="16" s="1"/>
  <c r="DL24" i="16" s="1"/>
  <c r="DL25" i="16" s="1"/>
  <c r="DL26" i="16" s="1"/>
  <c r="DL27" i="16" s="1"/>
  <c r="L161" i="16" s="1"/>
  <c r="T13" i="13"/>
  <c r="T14" i="13" s="1"/>
  <c r="T15" i="13" s="1"/>
  <c r="T16" i="13" s="1"/>
  <c r="T17" i="13" s="1"/>
  <c r="T18" i="13" s="1"/>
  <c r="T19" i="13" s="1"/>
  <c r="T20" i="13" s="1"/>
  <c r="T21" i="13" s="1"/>
  <c r="T22" i="13" s="1"/>
  <c r="T23" i="13" s="1"/>
  <c r="T24" i="13" s="1"/>
  <c r="T25" i="13" s="1"/>
  <c r="T26" i="13" s="1"/>
  <c r="T27" i="13" s="1"/>
  <c r="H161" i="13" s="1"/>
  <c r="DL13" i="13"/>
  <c r="DL14" i="13" s="1"/>
  <c r="DL15" i="13" s="1"/>
  <c r="DL16" i="13" s="1"/>
  <c r="DL17" i="13" s="1"/>
  <c r="DL18" i="13" s="1"/>
  <c r="DL19" i="13" s="1"/>
  <c r="DL20" i="13" s="1"/>
  <c r="DL21" i="13" s="1"/>
  <c r="DL22" i="13" s="1"/>
  <c r="DL23" i="13" s="1"/>
  <c r="DL24" i="13" s="1"/>
  <c r="DL25" i="13" s="1"/>
  <c r="DL26" i="13" s="1"/>
  <c r="DL27" i="13" s="1"/>
  <c r="L161" i="13" s="1"/>
  <c r="CZ38" i="13"/>
  <c r="DC38" i="13" s="1"/>
  <c r="BD38" i="13"/>
  <c r="BG38" i="13" s="1"/>
  <c r="AF38" i="15"/>
  <c r="AI38" i="15" s="1"/>
  <c r="CB38" i="14"/>
  <c r="CE38" i="14" s="1"/>
  <c r="H38" i="16"/>
  <c r="K38" i="16" s="1"/>
  <c r="AF38" i="14"/>
  <c r="AI38" i="14" s="1"/>
  <c r="CZ38" i="15"/>
  <c r="DC38" i="15" s="1"/>
  <c r="CZ38" i="16"/>
  <c r="DC38" i="16" s="1"/>
  <c r="BD38" i="16"/>
  <c r="BG38" i="16" s="1"/>
  <c r="BD38" i="15"/>
  <c r="BG38" i="15" s="1"/>
  <c r="CB38" i="13"/>
  <c r="CE38" i="13" s="1"/>
  <c r="AF38" i="13"/>
  <c r="AI38" i="13" s="1"/>
  <c r="H38" i="15"/>
  <c r="K38" i="15" s="1"/>
  <c r="H38" i="14"/>
  <c r="K38" i="14" s="1"/>
  <c r="H38" i="13"/>
  <c r="K38" i="13" s="1"/>
  <c r="CB38" i="16"/>
  <c r="CE38" i="16" s="1"/>
  <c r="CB38" i="15"/>
  <c r="CE38" i="15" s="1"/>
  <c r="AF38" i="16"/>
  <c r="AI38" i="16" s="1"/>
  <c r="CZ38" i="14"/>
  <c r="DC38" i="14" s="1"/>
  <c r="BD38" i="14"/>
  <c r="BG38" i="14" s="1"/>
  <c r="I91" i="10"/>
  <c r="W91" i="10" s="1"/>
  <c r="AB91" i="10" s="1"/>
  <c r="M12" i="15"/>
  <c r="DE12" i="16"/>
  <c r="AK12" i="13"/>
  <c r="BI12" i="14"/>
  <c r="M12" i="16"/>
  <c r="M12" i="14"/>
  <c r="DE12" i="14"/>
  <c r="BI12" i="16"/>
  <c r="CG12" i="13"/>
  <c r="AS12" i="14"/>
  <c r="AS13" i="14" s="1"/>
  <c r="AS14" i="14" s="1"/>
  <c r="AS15" i="14" s="1"/>
  <c r="AS16" i="14" s="1"/>
  <c r="AS17" i="14" s="1"/>
  <c r="AS18" i="14" s="1"/>
  <c r="AS19" i="14" s="1"/>
  <c r="AS20" i="14" s="1"/>
  <c r="AS21" i="14" s="1"/>
  <c r="AS22" i="14" s="1"/>
  <c r="AS23" i="14" s="1"/>
  <c r="AS24" i="14" s="1"/>
  <c r="AS25" i="14" s="1"/>
  <c r="AS26" i="14" s="1"/>
  <c r="AS27" i="14" s="1"/>
  <c r="I162" i="14" s="1"/>
  <c r="I163" i="14" s="1"/>
  <c r="AJ12" i="14"/>
  <c r="AO12" i="14" s="1"/>
  <c r="DM12" i="14"/>
  <c r="DM13" i="14" s="1"/>
  <c r="DM14" i="14" s="1"/>
  <c r="DM15" i="14" s="1"/>
  <c r="DM16" i="14" s="1"/>
  <c r="DM17" i="14" s="1"/>
  <c r="DM18" i="14" s="1"/>
  <c r="DM19" i="14" s="1"/>
  <c r="DM20" i="14" s="1"/>
  <c r="DM21" i="14" s="1"/>
  <c r="DM22" i="14" s="1"/>
  <c r="DM23" i="14" s="1"/>
  <c r="DM24" i="14" s="1"/>
  <c r="DM25" i="14" s="1"/>
  <c r="DM26" i="14" s="1"/>
  <c r="DM27" i="14" s="1"/>
  <c r="L162" i="14" s="1"/>
  <c r="L163" i="14" s="1"/>
  <c r="DD12" i="14"/>
  <c r="U12" i="16"/>
  <c r="U13" i="16" s="1"/>
  <c r="U14" i="16" s="1"/>
  <c r="U15" i="16" s="1"/>
  <c r="U16" i="16" s="1"/>
  <c r="U17" i="16" s="1"/>
  <c r="U18" i="16" s="1"/>
  <c r="U19" i="16" s="1"/>
  <c r="U20" i="16" s="1"/>
  <c r="U21" i="16" s="1"/>
  <c r="U22" i="16" s="1"/>
  <c r="U23" i="16" s="1"/>
  <c r="U24" i="16" s="1"/>
  <c r="U25" i="16" s="1"/>
  <c r="U26" i="16" s="1"/>
  <c r="U27" i="16" s="1"/>
  <c r="H162" i="16" s="1"/>
  <c r="L12" i="16"/>
  <c r="CO12" i="13"/>
  <c r="CO13" i="13" s="1"/>
  <c r="CO14" i="13" s="1"/>
  <c r="CO15" i="13" s="1"/>
  <c r="CO16" i="13" s="1"/>
  <c r="CO17" i="13" s="1"/>
  <c r="CO18" i="13" s="1"/>
  <c r="CO19" i="13" s="1"/>
  <c r="CO20" i="13" s="1"/>
  <c r="CO21" i="13" s="1"/>
  <c r="CO22" i="13" s="1"/>
  <c r="CO23" i="13" s="1"/>
  <c r="CO24" i="13" s="1"/>
  <c r="CO25" i="13" s="1"/>
  <c r="CO26" i="13" s="1"/>
  <c r="CO27" i="13" s="1"/>
  <c r="K162" i="13" s="1"/>
  <c r="K163" i="13" s="1"/>
  <c r="CF12" i="13"/>
  <c r="CO12" i="14"/>
  <c r="CO13" i="14" s="1"/>
  <c r="CO14" i="14" s="1"/>
  <c r="CO15" i="14" s="1"/>
  <c r="CO16" i="14" s="1"/>
  <c r="CO17" i="14" s="1"/>
  <c r="CO18" i="14" s="1"/>
  <c r="CO19" i="14" s="1"/>
  <c r="CO20" i="14" s="1"/>
  <c r="CO21" i="14" s="1"/>
  <c r="CO22" i="14" s="1"/>
  <c r="CO23" i="14" s="1"/>
  <c r="CO24" i="14" s="1"/>
  <c r="CO25" i="14" s="1"/>
  <c r="CO26" i="14" s="1"/>
  <c r="CO27" i="14" s="1"/>
  <c r="K162" i="14" s="1"/>
  <c r="CF12" i="14"/>
  <c r="CK12" i="14" s="1"/>
  <c r="CG12" i="16"/>
  <c r="U12" i="14"/>
  <c r="U13" i="14" s="1"/>
  <c r="U14" i="14" s="1"/>
  <c r="U15" i="14" s="1"/>
  <c r="U16" i="14" s="1"/>
  <c r="U17" i="14" s="1"/>
  <c r="U18" i="14" s="1"/>
  <c r="U19" i="14" s="1"/>
  <c r="U20" i="14" s="1"/>
  <c r="U21" i="14" s="1"/>
  <c r="U22" i="14" s="1"/>
  <c r="U23" i="14" s="1"/>
  <c r="U24" i="14" s="1"/>
  <c r="U25" i="14" s="1"/>
  <c r="U26" i="14" s="1"/>
  <c r="U27" i="14" s="1"/>
  <c r="H162" i="14" s="1"/>
  <c r="L12" i="14"/>
  <c r="AS12" i="13"/>
  <c r="AS13" i="13" s="1"/>
  <c r="AS14" i="13" s="1"/>
  <c r="AS15" i="13" s="1"/>
  <c r="AS16" i="13" s="1"/>
  <c r="AS17" i="13" s="1"/>
  <c r="AS18" i="13" s="1"/>
  <c r="AS19" i="13" s="1"/>
  <c r="AS20" i="13" s="1"/>
  <c r="AS21" i="13" s="1"/>
  <c r="AS22" i="13" s="1"/>
  <c r="AS23" i="13" s="1"/>
  <c r="AS24" i="13" s="1"/>
  <c r="AS25" i="13" s="1"/>
  <c r="AS26" i="13" s="1"/>
  <c r="AS27" i="13" s="1"/>
  <c r="I162" i="13" s="1"/>
  <c r="I163" i="13" s="1"/>
  <c r="AJ12" i="13"/>
  <c r="DM12" i="16"/>
  <c r="DM13" i="16" s="1"/>
  <c r="DM14" i="16" s="1"/>
  <c r="DM15" i="16" s="1"/>
  <c r="DM16" i="16" s="1"/>
  <c r="DM17" i="16" s="1"/>
  <c r="DM18" i="16" s="1"/>
  <c r="DM19" i="16" s="1"/>
  <c r="DM20" i="16" s="1"/>
  <c r="DM21" i="16" s="1"/>
  <c r="DM22" i="16" s="1"/>
  <c r="DM23" i="16" s="1"/>
  <c r="DM24" i="16" s="1"/>
  <c r="DM25" i="16" s="1"/>
  <c r="DM26" i="16" s="1"/>
  <c r="DM27" i="16" s="1"/>
  <c r="L162" i="16" s="1"/>
  <c r="L163" i="16" s="1"/>
  <c r="DD12" i="16"/>
  <c r="BQ12" i="14"/>
  <c r="BQ13" i="14" s="1"/>
  <c r="BQ14" i="14" s="1"/>
  <c r="BQ15" i="14" s="1"/>
  <c r="BQ16" i="14" s="1"/>
  <c r="BQ17" i="14" s="1"/>
  <c r="BQ18" i="14" s="1"/>
  <c r="BQ19" i="14" s="1"/>
  <c r="BQ20" i="14" s="1"/>
  <c r="BQ21" i="14" s="1"/>
  <c r="BQ22" i="14" s="1"/>
  <c r="BQ23" i="14" s="1"/>
  <c r="BQ24" i="14" s="1"/>
  <c r="BQ25" i="14" s="1"/>
  <c r="BQ26" i="14" s="1"/>
  <c r="BQ27" i="14" s="1"/>
  <c r="J162" i="14" s="1"/>
  <c r="J163" i="14" s="1"/>
  <c r="BH12" i="14"/>
  <c r="DM12" i="13"/>
  <c r="DM13" i="13" s="1"/>
  <c r="DM14" i="13" s="1"/>
  <c r="DM15" i="13" s="1"/>
  <c r="DM16" i="13" s="1"/>
  <c r="DM17" i="13" s="1"/>
  <c r="DM18" i="13" s="1"/>
  <c r="DM19" i="13" s="1"/>
  <c r="DM20" i="13" s="1"/>
  <c r="DM21" i="13" s="1"/>
  <c r="DM22" i="13" s="1"/>
  <c r="DM23" i="13" s="1"/>
  <c r="DM24" i="13" s="1"/>
  <c r="DM25" i="13" s="1"/>
  <c r="DM26" i="13" s="1"/>
  <c r="DM27" i="13" s="1"/>
  <c r="L162" i="13" s="1"/>
  <c r="L163" i="13" s="1"/>
  <c r="DD12" i="13"/>
  <c r="U12" i="13"/>
  <c r="U13" i="13" s="1"/>
  <c r="U14" i="13" s="1"/>
  <c r="U15" i="13" s="1"/>
  <c r="U16" i="13" s="1"/>
  <c r="U17" i="13" s="1"/>
  <c r="U18" i="13" s="1"/>
  <c r="U19" i="13" s="1"/>
  <c r="U20" i="13" s="1"/>
  <c r="U21" i="13" s="1"/>
  <c r="U22" i="13" s="1"/>
  <c r="U23" i="13" s="1"/>
  <c r="U24" i="13" s="1"/>
  <c r="U25" i="13" s="1"/>
  <c r="U26" i="13" s="1"/>
  <c r="U27" i="13" s="1"/>
  <c r="H162" i="13" s="1"/>
  <c r="L12" i="13"/>
  <c r="AK12" i="16"/>
  <c r="AK12" i="14"/>
  <c r="AP12" i="14" s="1"/>
  <c r="M12" i="13"/>
  <c r="U12" i="15"/>
  <c r="U13" i="15" s="1"/>
  <c r="U14" i="15" s="1"/>
  <c r="U15" i="15" s="1"/>
  <c r="U16" i="15" s="1"/>
  <c r="U17" i="15" s="1"/>
  <c r="U18" i="15" s="1"/>
  <c r="U19" i="15" s="1"/>
  <c r="U20" i="15" s="1"/>
  <c r="U21" i="15" s="1"/>
  <c r="U22" i="15" s="1"/>
  <c r="U23" i="15" s="1"/>
  <c r="U24" i="15" s="1"/>
  <c r="U25" i="15" s="1"/>
  <c r="U26" i="15" s="1"/>
  <c r="U27" i="15" s="1"/>
  <c r="H162" i="15" s="1"/>
  <c r="L12" i="15"/>
  <c r="BQ12" i="13"/>
  <c r="BQ13" i="13" s="1"/>
  <c r="BQ14" i="13" s="1"/>
  <c r="BQ15" i="13" s="1"/>
  <c r="BQ16" i="13" s="1"/>
  <c r="BQ17" i="13" s="1"/>
  <c r="BQ18" i="13" s="1"/>
  <c r="BQ19" i="13" s="1"/>
  <c r="BQ20" i="13" s="1"/>
  <c r="BQ21" i="13" s="1"/>
  <c r="BQ22" i="13" s="1"/>
  <c r="BQ23" i="13" s="1"/>
  <c r="BQ24" i="13" s="1"/>
  <c r="BQ25" i="13" s="1"/>
  <c r="BQ26" i="13" s="1"/>
  <c r="BQ27" i="13" s="1"/>
  <c r="J162" i="13" s="1"/>
  <c r="J163" i="13" s="1"/>
  <c r="BH12" i="13"/>
  <c r="DM12" i="15"/>
  <c r="DM13" i="15" s="1"/>
  <c r="DM14" i="15" s="1"/>
  <c r="DM15" i="15" s="1"/>
  <c r="DM16" i="15" s="1"/>
  <c r="DM17" i="15" s="1"/>
  <c r="DM18" i="15" s="1"/>
  <c r="DM19" i="15" s="1"/>
  <c r="DM20" i="15" s="1"/>
  <c r="DM21" i="15" s="1"/>
  <c r="DM22" i="15" s="1"/>
  <c r="DM23" i="15" s="1"/>
  <c r="DM24" i="15" s="1"/>
  <c r="DM25" i="15" s="1"/>
  <c r="DM26" i="15" s="1"/>
  <c r="DM27" i="15" s="1"/>
  <c r="L162" i="15" s="1"/>
  <c r="L163" i="15" s="1"/>
  <c r="DD12" i="15"/>
  <c r="CO12" i="16"/>
  <c r="CO13" i="16" s="1"/>
  <c r="CO14" i="16" s="1"/>
  <c r="CO15" i="16" s="1"/>
  <c r="CO16" i="16" s="1"/>
  <c r="CO17" i="16" s="1"/>
  <c r="CO18" i="16" s="1"/>
  <c r="CO19" i="16" s="1"/>
  <c r="CO20" i="16" s="1"/>
  <c r="CO21" i="16" s="1"/>
  <c r="CO22" i="16" s="1"/>
  <c r="CO23" i="16" s="1"/>
  <c r="CO24" i="16" s="1"/>
  <c r="CO25" i="16" s="1"/>
  <c r="CO26" i="16" s="1"/>
  <c r="CO27" i="16" s="1"/>
  <c r="K162" i="16" s="1"/>
  <c r="K163" i="16" s="1"/>
  <c r="CF12" i="16"/>
  <c r="AS12" i="16"/>
  <c r="AS13" i="16" s="1"/>
  <c r="AS14" i="16" s="1"/>
  <c r="AS15" i="16" s="1"/>
  <c r="AS16" i="16" s="1"/>
  <c r="AS17" i="16" s="1"/>
  <c r="AS18" i="16" s="1"/>
  <c r="AS19" i="16" s="1"/>
  <c r="AS20" i="16" s="1"/>
  <c r="AS21" i="16" s="1"/>
  <c r="AS22" i="16" s="1"/>
  <c r="AS23" i="16" s="1"/>
  <c r="AS24" i="16" s="1"/>
  <c r="AS25" i="16" s="1"/>
  <c r="AS26" i="16" s="1"/>
  <c r="AS27" i="16" s="1"/>
  <c r="I162" i="16" s="1"/>
  <c r="I163" i="16" s="1"/>
  <c r="AJ12" i="16"/>
  <c r="CG12" i="14"/>
  <c r="CL12" i="14" s="1"/>
  <c r="BQ12" i="16"/>
  <c r="BQ13" i="16" s="1"/>
  <c r="BQ14" i="16" s="1"/>
  <c r="BQ15" i="16" s="1"/>
  <c r="BQ16" i="16" s="1"/>
  <c r="BQ17" i="16" s="1"/>
  <c r="BQ18" i="16" s="1"/>
  <c r="BQ19" i="16" s="1"/>
  <c r="BQ20" i="16" s="1"/>
  <c r="BQ21" i="16" s="1"/>
  <c r="BQ22" i="16" s="1"/>
  <c r="BQ23" i="16" s="1"/>
  <c r="BQ24" i="16" s="1"/>
  <c r="BQ25" i="16" s="1"/>
  <c r="BQ26" i="16" s="1"/>
  <c r="BH12" i="16"/>
  <c r="DE12" i="13"/>
  <c r="BI12" i="15"/>
  <c r="CO12" i="15"/>
  <c r="CO13" i="15" s="1"/>
  <c r="CO14" i="15" s="1"/>
  <c r="CO15" i="15" s="1"/>
  <c r="CO16" i="15" s="1"/>
  <c r="CO17" i="15" s="1"/>
  <c r="CO18" i="15" s="1"/>
  <c r="CO19" i="15" s="1"/>
  <c r="CO20" i="15" s="1"/>
  <c r="CO21" i="15" s="1"/>
  <c r="CO22" i="15" s="1"/>
  <c r="CO23" i="15" s="1"/>
  <c r="CO24" i="15" s="1"/>
  <c r="CO25" i="15" s="1"/>
  <c r="CO26" i="15" s="1"/>
  <c r="CO27" i="15" s="1"/>
  <c r="K162" i="15" s="1"/>
  <c r="K163" i="15" s="1"/>
  <c r="CF12" i="15"/>
  <c r="M7" i="11"/>
  <c r="AR13" i="16"/>
  <c r="AR14" i="16" s="1"/>
  <c r="AR15" i="16" s="1"/>
  <c r="AR16" i="16" s="1"/>
  <c r="AR17" i="16" s="1"/>
  <c r="AR18" i="16" s="1"/>
  <c r="AR19" i="16" s="1"/>
  <c r="AR20" i="16" s="1"/>
  <c r="AR21" i="16" s="1"/>
  <c r="AR22" i="16" s="1"/>
  <c r="AR23" i="16" s="1"/>
  <c r="AR24" i="16" s="1"/>
  <c r="AR25" i="16" s="1"/>
  <c r="AR26" i="16" s="1"/>
  <c r="AR27" i="16" s="1"/>
  <c r="I161" i="16" s="1"/>
  <c r="AR13" i="14"/>
  <c r="AR14" i="14" s="1"/>
  <c r="AR15" i="14" s="1"/>
  <c r="AR16" i="14" s="1"/>
  <c r="AR17" i="14" s="1"/>
  <c r="AR18" i="14" s="1"/>
  <c r="AR19" i="14" s="1"/>
  <c r="AR20" i="14" s="1"/>
  <c r="AR21" i="14" s="1"/>
  <c r="AR22" i="14" s="1"/>
  <c r="AR23" i="14" s="1"/>
  <c r="AR24" i="14" s="1"/>
  <c r="AR25" i="14" s="1"/>
  <c r="AR26" i="14" s="1"/>
  <c r="AR27" i="14" s="1"/>
  <c r="I161" i="14" s="1"/>
  <c r="BI27" i="16"/>
  <c r="T13" i="14"/>
  <c r="T14" i="14" s="1"/>
  <c r="T15" i="14" s="1"/>
  <c r="T16" i="14" s="1"/>
  <c r="T17" i="14" s="1"/>
  <c r="T18" i="14" s="1"/>
  <c r="T19" i="14" s="1"/>
  <c r="T20" i="14" s="1"/>
  <c r="T21" i="14" s="1"/>
  <c r="T22" i="14" s="1"/>
  <c r="T23" i="14" s="1"/>
  <c r="T24" i="14" s="1"/>
  <c r="T25" i="14" s="1"/>
  <c r="T26" i="14" s="1"/>
  <c r="T27" i="14" s="1"/>
  <c r="H161" i="14" s="1"/>
  <c r="T13" i="16"/>
  <c r="T14" i="16" s="1"/>
  <c r="T15" i="16" s="1"/>
  <c r="T16" i="16" s="1"/>
  <c r="T17" i="16" s="1"/>
  <c r="T18" i="16" s="1"/>
  <c r="T19" i="16" s="1"/>
  <c r="T20" i="16" s="1"/>
  <c r="T21" i="16" s="1"/>
  <c r="T22" i="16" s="1"/>
  <c r="T23" i="16" s="1"/>
  <c r="T24" i="16" s="1"/>
  <c r="T25" i="16" s="1"/>
  <c r="T26" i="16" s="1"/>
  <c r="T27" i="16" s="1"/>
  <c r="H161" i="16" s="1"/>
  <c r="AR13" i="13"/>
  <c r="AR14" i="13" s="1"/>
  <c r="AR15" i="13" s="1"/>
  <c r="AR16" i="13" s="1"/>
  <c r="AR17" i="13" s="1"/>
  <c r="AR18" i="13" s="1"/>
  <c r="AR19" i="13" s="1"/>
  <c r="AR20" i="13" s="1"/>
  <c r="AR21" i="13" s="1"/>
  <c r="AR22" i="13" s="1"/>
  <c r="AR23" i="13" s="1"/>
  <c r="AR24" i="13" s="1"/>
  <c r="AR25" i="13" s="1"/>
  <c r="AR26" i="13" s="1"/>
  <c r="AR27" i="13" s="1"/>
  <c r="I161" i="13" s="1"/>
  <c r="CN13" i="13"/>
  <c r="CN14" i="13" s="1"/>
  <c r="CN15" i="13" s="1"/>
  <c r="CN16" i="13" s="1"/>
  <c r="CN17" i="13" s="1"/>
  <c r="CN18" i="13" s="1"/>
  <c r="CN19" i="13" s="1"/>
  <c r="CN20" i="13" s="1"/>
  <c r="CN21" i="13" s="1"/>
  <c r="CN22" i="13" s="1"/>
  <c r="CN23" i="13" s="1"/>
  <c r="CN24" i="13" s="1"/>
  <c r="CN25" i="13" s="1"/>
  <c r="CN26" i="13" s="1"/>
  <c r="CN27" i="13" s="1"/>
  <c r="K161" i="13" s="1"/>
  <c r="BP13" i="13"/>
  <c r="BP14" i="13" s="1"/>
  <c r="BP15" i="13" s="1"/>
  <c r="BP16" i="13" s="1"/>
  <c r="BP17" i="13" s="1"/>
  <c r="BP18" i="13" s="1"/>
  <c r="BP19" i="13" s="1"/>
  <c r="BP20" i="13" s="1"/>
  <c r="BP21" i="13" s="1"/>
  <c r="BP22" i="13" s="1"/>
  <c r="BP23" i="13" s="1"/>
  <c r="BP24" i="13" s="1"/>
  <c r="BP25" i="13" s="1"/>
  <c r="BP26" i="13" s="1"/>
  <c r="BP27" i="13" s="1"/>
  <c r="J161" i="13" s="1"/>
  <c r="K10" i="11"/>
  <c r="K12" i="11" s="1"/>
  <c r="K14" i="11" s="1"/>
  <c r="Y69" i="2"/>
  <c r="U24" i="8" s="1"/>
  <c r="AE71" i="2"/>
  <c r="K70" i="2"/>
  <c r="Q28" i="8" s="1"/>
  <c r="R68" i="2"/>
  <c r="S23" i="8" s="1"/>
  <c r="R71" i="2"/>
  <c r="S29" i="8" s="1"/>
  <c r="AF41" i="2"/>
  <c r="W19" i="8" s="1"/>
  <c r="AF69" i="2"/>
  <c r="W24" i="8" s="1"/>
  <c r="Y41" i="2"/>
  <c r="U19" i="8" s="1"/>
  <c r="AC164" i="15" l="1"/>
  <c r="G32" i="12" s="1"/>
  <c r="AD164" i="15"/>
  <c r="AD166" i="15" s="1"/>
  <c r="AD168" i="15" s="1"/>
  <c r="AE164" i="15"/>
  <c r="AE166" i="15" s="1"/>
  <c r="AE168" i="15" s="1"/>
  <c r="AF164" i="15"/>
  <c r="D32" i="12" s="1"/>
  <c r="AT12" i="14"/>
  <c r="AT13" i="14" s="1"/>
  <c r="AT14" i="14" s="1"/>
  <c r="AT15" i="14" s="1"/>
  <c r="AT16" i="14" s="1"/>
  <c r="AT17" i="14" s="1"/>
  <c r="AT18" i="14" s="1"/>
  <c r="AT19" i="14" s="1"/>
  <c r="AT20" i="14" s="1"/>
  <c r="AT21" i="14" s="1"/>
  <c r="AT22" i="14" s="1"/>
  <c r="AT23" i="14" s="1"/>
  <c r="AT24" i="14" s="1"/>
  <c r="AT25" i="14" s="1"/>
  <c r="AT26" i="14" s="1"/>
  <c r="AT27" i="14" s="1"/>
  <c r="CP12" i="16"/>
  <c r="CP13" i="16" s="1"/>
  <c r="CP14" i="16" s="1"/>
  <c r="CP15" i="16" s="1"/>
  <c r="CP16" i="16" s="1"/>
  <c r="CP17" i="16" s="1"/>
  <c r="CP18" i="16" s="1"/>
  <c r="CP19" i="16" s="1"/>
  <c r="CP20" i="16" s="1"/>
  <c r="CP21" i="16" s="1"/>
  <c r="CP22" i="16" s="1"/>
  <c r="CP23" i="16" s="1"/>
  <c r="CP24" i="16" s="1"/>
  <c r="CP25" i="16" s="1"/>
  <c r="CP26" i="16" s="1"/>
  <c r="CP27" i="16" s="1"/>
  <c r="V12" i="16"/>
  <c r="V13" i="16" s="1"/>
  <c r="V14" i="16" s="1"/>
  <c r="V15" i="16" s="1"/>
  <c r="V16" i="16" s="1"/>
  <c r="V17" i="16" s="1"/>
  <c r="V18" i="16" s="1"/>
  <c r="V19" i="16" s="1"/>
  <c r="V20" i="16" s="1"/>
  <c r="V21" i="16" s="1"/>
  <c r="V22" i="16" s="1"/>
  <c r="V23" i="16" s="1"/>
  <c r="V24" i="16" s="1"/>
  <c r="V25" i="16" s="1"/>
  <c r="V26" i="16" s="1"/>
  <c r="V27" i="16" s="1"/>
  <c r="AT88" i="15"/>
  <c r="AT89" i="15" s="1"/>
  <c r="AT90" i="15" s="1"/>
  <c r="AT91" i="15" s="1"/>
  <c r="AT92" i="15" s="1"/>
  <c r="AT93" i="15" s="1"/>
  <c r="AT94" i="15" s="1"/>
  <c r="AT95" i="15" s="1"/>
  <c r="AT96" i="15" s="1"/>
  <c r="AT97" i="15" s="1"/>
  <c r="AT98" i="15" s="1"/>
  <c r="AT99" i="15" s="1"/>
  <c r="AT100" i="15" s="1"/>
  <c r="AT101" i="15" s="1"/>
  <c r="AT102" i="15" s="1"/>
  <c r="AT103" i="15" s="1"/>
  <c r="BS113" i="15"/>
  <c r="BS114" i="15" s="1"/>
  <c r="BS115" i="15" s="1"/>
  <c r="BS116" i="15" s="1"/>
  <c r="BS117" i="15" s="1"/>
  <c r="BS118" i="15" s="1"/>
  <c r="BS119" i="15" s="1"/>
  <c r="BS120" i="15" s="1"/>
  <c r="BS121" i="15" s="1"/>
  <c r="BS122" i="15" s="1"/>
  <c r="BS123" i="15" s="1"/>
  <c r="BS124" i="15" s="1"/>
  <c r="BS125" i="15" s="1"/>
  <c r="BS126" i="15" s="1"/>
  <c r="BS127" i="15" s="1"/>
  <c r="BS128" i="15" s="1"/>
  <c r="DO113" i="15"/>
  <c r="DO114" i="15" s="1"/>
  <c r="DO115" i="15" s="1"/>
  <c r="DO116" i="15" s="1"/>
  <c r="DO117" i="15" s="1"/>
  <c r="DO118" i="15" s="1"/>
  <c r="DO119" i="15" s="1"/>
  <c r="DO120" i="15" s="1"/>
  <c r="DO121" i="15" s="1"/>
  <c r="DO122" i="15" s="1"/>
  <c r="DO123" i="15" s="1"/>
  <c r="DO124" i="15" s="1"/>
  <c r="DO125" i="15" s="1"/>
  <c r="DO126" i="15" s="1"/>
  <c r="DO127" i="15" s="1"/>
  <c r="DO128" i="15" s="1"/>
  <c r="CQ12" i="14"/>
  <c r="CQ13" i="14" s="1"/>
  <c r="CQ14" i="14" s="1"/>
  <c r="CQ15" i="14" s="1"/>
  <c r="CQ16" i="14" s="1"/>
  <c r="CQ17" i="14" s="1"/>
  <c r="CQ18" i="14" s="1"/>
  <c r="CQ19" i="14" s="1"/>
  <c r="CQ20" i="14" s="1"/>
  <c r="CQ21" i="14" s="1"/>
  <c r="CQ22" i="14" s="1"/>
  <c r="CQ23" i="14" s="1"/>
  <c r="CQ24" i="14" s="1"/>
  <c r="CQ25" i="14" s="1"/>
  <c r="CQ26" i="14" s="1"/>
  <c r="CQ27" i="14" s="1"/>
  <c r="W12" i="14"/>
  <c r="W13" i="14" s="1"/>
  <c r="W14" i="14" s="1"/>
  <c r="W15" i="14" s="1"/>
  <c r="W16" i="14" s="1"/>
  <c r="W17" i="14" s="1"/>
  <c r="W18" i="14" s="1"/>
  <c r="W19" i="14" s="1"/>
  <c r="W20" i="14" s="1"/>
  <c r="W21" i="14" s="1"/>
  <c r="W22" i="14" s="1"/>
  <c r="W23" i="14" s="1"/>
  <c r="W24" i="14" s="1"/>
  <c r="W25" i="14" s="1"/>
  <c r="W26" i="14" s="1"/>
  <c r="W27" i="14" s="1"/>
  <c r="DO12" i="16"/>
  <c r="DO13" i="16" s="1"/>
  <c r="DO14" i="16" s="1"/>
  <c r="DO15" i="16" s="1"/>
  <c r="DO16" i="16" s="1"/>
  <c r="DO17" i="16" s="1"/>
  <c r="DO18" i="16" s="1"/>
  <c r="DO19" i="16" s="1"/>
  <c r="DO20" i="16" s="1"/>
  <c r="DO21" i="16" s="1"/>
  <c r="DO22" i="16" s="1"/>
  <c r="DO23" i="16" s="1"/>
  <c r="DO24" i="16" s="1"/>
  <c r="DO25" i="16" s="1"/>
  <c r="DO26" i="16" s="1"/>
  <c r="DO27" i="16" s="1"/>
  <c r="BS12" i="13"/>
  <c r="BS13" i="13" s="1"/>
  <c r="BS14" i="13" s="1"/>
  <c r="BS15" i="13" s="1"/>
  <c r="BS16" i="13" s="1"/>
  <c r="BS17" i="13" s="1"/>
  <c r="BS18" i="13" s="1"/>
  <c r="BS19" i="13" s="1"/>
  <c r="BS20" i="13" s="1"/>
  <c r="BS21" i="13" s="1"/>
  <c r="BS22" i="13" s="1"/>
  <c r="BS23" i="13" s="1"/>
  <c r="BS24" i="13" s="1"/>
  <c r="BS25" i="13" s="1"/>
  <c r="BS26" i="13" s="1"/>
  <c r="BS27" i="13" s="1"/>
  <c r="DO12" i="13"/>
  <c r="DO13" i="13" s="1"/>
  <c r="DO14" i="13" s="1"/>
  <c r="DO15" i="13" s="1"/>
  <c r="DO16" i="13" s="1"/>
  <c r="DO17" i="13" s="1"/>
  <c r="DO18" i="13" s="1"/>
  <c r="DO19" i="13" s="1"/>
  <c r="DO20" i="13" s="1"/>
  <c r="DO21" i="13" s="1"/>
  <c r="DO22" i="13" s="1"/>
  <c r="DO23" i="13" s="1"/>
  <c r="DO24" i="13" s="1"/>
  <c r="DO25" i="13" s="1"/>
  <c r="DO26" i="13" s="1"/>
  <c r="DO27" i="13" s="1"/>
  <c r="AT12" i="16"/>
  <c r="AT13" i="16" s="1"/>
  <c r="AT14" i="16" s="1"/>
  <c r="AT15" i="16" s="1"/>
  <c r="AT16" i="16" s="1"/>
  <c r="AT17" i="16" s="1"/>
  <c r="AT18" i="16" s="1"/>
  <c r="AT19" i="16" s="1"/>
  <c r="AT20" i="16" s="1"/>
  <c r="AT21" i="16" s="1"/>
  <c r="AT22" i="16" s="1"/>
  <c r="AT23" i="16" s="1"/>
  <c r="AT24" i="16" s="1"/>
  <c r="AT25" i="16" s="1"/>
  <c r="AT26" i="16" s="1"/>
  <c r="AT27" i="16" s="1"/>
  <c r="DN12" i="15"/>
  <c r="DN13" i="15" s="1"/>
  <c r="DN14" i="15" s="1"/>
  <c r="DN15" i="15" s="1"/>
  <c r="DN16" i="15" s="1"/>
  <c r="DN17" i="15" s="1"/>
  <c r="DN18" i="15" s="1"/>
  <c r="DN19" i="15" s="1"/>
  <c r="DN20" i="15" s="1"/>
  <c r="DN21" i="15" s="1"/>
  <c r="DN22" i="15" s="1"/>
  <c r="DN23" i="15" s="1"/>
  <c r="DN24" i="15" s="1"/>
  <c r="DN25" i="15" s="1"/>
  <c r="DN26" i="15" s="1"/>
  <c r="DN27" i="15" s="1"/>
  <c r="V12" i="15"/>
  <c r="V13" i="15" s="1"/>
  <c r="V14" i="15" s="1"/>
  <c r="V15" i="15" s="1"/>
  <c r="V16" i="15" s="1"/>
  <c r="V17" i="15" s="1"/>
  <c r="V18" i="15" s="1"/>
  <c r="V19" i="15" s="1"/>
  <c r="V20" i="15" s="1"/>
  <c r="V21" i="15" s="1"/>
  <c r="V22" i="15" s="1"/>
  <c r="V23" i="15" s="1"/>
  <c r="V24" i="15" s="1"/>
  <c r="V25" i="15" s="1"/>
  <c r="V26" i="15" s="1"/>
  <c r="V27" i="15" s="1"/>
  <c r="AU12" i="16"/>
  <c r="AU13" i="16" s="1"/>
  <c r="AU14" i="16" s="1"/>
  <c r="AU15" i="16" s="1"/>
  <c r="AU16" i="16" s="1"/>
  <c r="AU17" i="16" s="1"/>
  <c r="AU18" i="16" s="1"/>
  <c r="AU19" i="16" s="1"/>
  <c r="AU20" i="16" s="1"/>
  <c r="AU21" i="16" s="1"/>
  <c r="AU22" i="16" s="1"/>
  <c r="AU23" i="16" s="1"/>
  <c r="AU24" i="16" s="1"/>
  <c r="AU25" i="16" s="1"/>
  <c r="AU26" i="16" s="1"/>
  <c r="AU27" i="16" s="1"/>
  <c r="CP12" i="13"/>
  <c r="CP13" i="13" s="1"/>
  <c r="CP14" i="13" s="1"/>
  <c r="CP15" i="13" s="1"/>
  <c r="CP16" i="13" s="1"/>
  <c r="CP17" i="13" s="1"/>
  <c r="CP18" i="13" s="1"/>
  <c r="CP19" i="13" s="1"/>
  <c r="CP20" i="13" s="1"/>
  <c r="CP21" i="13" s="1"/>
  <c r="CP22" i="13" s="1"/>
  <c r="CP23" i="13" s="1"/>
  <c r="CP24" i="13" s="1"/>
  <c r="CP25" i="13" s="1"/>
  <c r="CP26" i="13" s="1"/>
  <c r="CP27" i="13" s="1"/>
  <c r="DN12" i="14"/>
  <c r="DN13" i="14" s="1"/>
  <c r="DN14" i="14" s="1"/>
  <c r="DN15" i="14" s="1"/>
  <c r="DN16" i="14" s="1"/>
  <c r="DN17" i="14" s="1"/>
  <c r="DN18" i="14" s="1"/>
  <c r="DN19" i="14" s="1"/>
  <c r="DN20" i="14" s="1"/>
  <c r="DN21" i="14" s="1"/>
  <c r="DN22" i="14" s="1"/>
  <c r="DN23" i="14" s="1"/>
  <c r="DN24" i="14" s="1"/>
  <c r="DN25" i="14" s="1"/>
  <c r="DN26" i="14" s="1"/>
  <c r="DN27" i="14" s="1"/>
  <c r="CQ12" i="13"/>
  <c r="CQ13" i="13" s="1"/>
  <c r="CQ14" i="13" s="1"/>
  <c r="CQ15" i="13" s="1"/>
  <c r="CQ16" i="13" s="1"/>
  <c r="CQ17" i="13" s="1"/>
  <c r="CQ18" i="13" s="1"/>
  <c r="CQ19" i="13" s="1"/>
  <c r="CQ20" i="13" s="1"/>
  <c r="CQ21" i="13" s="1"/>
  <c r="CQ22" i="13" s="1"/>
  <c r="CQ23" i="13" s="1"/>
  <c r="CQ24" i="13" s="1"/>
  <c r="CQ25" i="13" s="1"/>
  <c r="CQ26" i="13" s="1"/>
  <c r="CQ27" i="13" s="1"/>
  <c r="W12" i="16"/>
  <c r="W13" i="16" s="1"/>
  <c r="W14" i="16" s="1"/>
  <c r="W15" i="16" s="1"/>
  <c r="W16" i="16" s="1"/>
  <c r="W17" i="16" s="1"/>
  <c r="W18" i="16" s="1"/>
  <c r="W19" i="16" s="1"/>
  <c r="W20" i="16" s="1"/>
  <c r="W21" i="16" s="1"/>
  <c r="W22" i="16" s="1"/>
  <c r="W23" i="16" s="1"/>
  <c r="W24" i="16" s="1"/>
  <c r="W25" i="16" s="1"/>
  <c r="W26" i="16" s="1"/>
  <c r="W27" i="16" s="1"/>
  <c r="W12" i="15"/>
  <c r="W13" i="15" s="1"/>
  <c r="W14" i="15" s="1"/>
  <c r="W15" i="15" s="1"/>
  <c r="W16" i="15" s="1"/>
  <c r="W17" i="15" s="1"/>
  <c r="W18" i="15" s="1"/>
  <c r="W19" i="15" s="1"/>
  <c r="W20" i="15" s="1"/>
  <c r="W21" i="15" s="1"/>
  <c r="W22" i="15" s="1"/>
  <c r="W23" i="15" s="1"/>
  <c r="W24" i="15" s="1"/>
  <c r="W25" i="15" s="1"/>
  <c r="W26" i="15" s="1"/>
  <c r="W27" i="15" s="1"/>
  <c r="DO12" i="15"/>
  <c r="DO13" i="15" s="1"/>
  <c r="DO14" i="15" s="1"/>
  <c r="DO15" i="15" s="1"/>
  <c r="DO16" i="15" s="1"/>
  <c r="DO17" i="15" s="1"/>
  <c r="DO18" i="15" s="1"/>
  <c r="DO19" i="15" s="1"/>
  <c r="DO20" i="15" s="1"/>
  <c r="DO21" i="15" s="1"/>
  <c r="DO22" i="15" s="1"/>
  <c r="DO23" i="15" s="1"/>
  <c r="DO24" i="15" s="1"/>
  <c r="DO25" i="15" s="1"/>
  <c r="DO26" i="15" s="1"/>
  <c r="DO27" i="15" s="1"/>
  <c r="CP88" i="15"/>
  <c r="CP89" i="15" s="1"/>
  <c r="CP90" i="15" s="1"/>
  <c r="CP91" i="15" s="1"/>
  <c r="CP92" i="15" s="1"/>
  <c r="CP93" i="15" s="1"/>
  <c r="CP94" i="15" s="1"/>
  <c r="CP95" i="15" s="1"/>
  <c r="CP96" i="15" s="1"/>
  <c r="CP97" i="15" s="1"/>
  <c r="CP98" i="15" s="1"/>
  <c r="CP99" i="15" s="1"/>
  <c r="CP100" i="15" s="1"/>
  <c r="CP101" i="15" s="1"/>
  <c r="CP102" i="15" s="1"/>
  <c r="CP103" i="15" s="1"/>
  <c r="AH65" i="10"/>
  <c r="BR12" i="13"/>
  <c r="BR13" i="13" s="1"/>
  <c r="BR14" i="13" s="1"/>
  <c r="BR15" i="13" s="1"/>
  <c r="BR16" i="13" s="1"/>
  <c r="BR17" i="13" s="1"/>
  <c r="BR18" i="13" s="1"/>
  <c r="BR19" i="13" s="1"/>
  <c r="BR20" i="13" s="1"/>
  <c r="BR21" i="13" s="1"/>
  <c r="BR22" i="13" s="1"/>
  <c r="BR23" i="13" s="1"/>
  <c r="BR24" i="13" s="1"/>
  <c r="BR25" i="13" s="1"/>
  <c r="BR26" i="13" s="1"/>
  <c r="BR27" i="13" s="1"/>
  <c r="W12" i="13"/>
  <c r="W13" i="13" s="1"/>
  <c r="W14" i="13" s="1"/>
  <c r="W15" i="13" s="1"/>
  <c r="W16" i="13" s="1"/>
  <c r="W17" i="13" s="1"/>
  <c r="W18" i="13" s="1"/>
  <c r="W19" i="13" s="1"/>
  <c r="W20" i="13" s="1"/>
  <c r="W21" i="13" s="1"/>
  <c r="W22" i="13" s="1"/>
  <c r="W23" i="13" s="1"/>
  <c r="W24" i="13" s="1"/>
  <c r="W25" i="13" s="1"/>
  <c r="W26" i="13" s="1"/>
  <c r="W27" i="13" s="1"/>
  <c r="CP12" i="14"/>
  <c r="CP13" i="14" s="1"/>
  <c r="CP14" i="14" s="1"/>
  <c r="CP15" i="14" s="1"/>
  <c r="CP16" i="14" s="1"/>
  <c r="CP17" i="14" s="1"/>
  <c r="CP18" i="14" s="1"/>
  <c r="CP19" i="14" s="1"/>
  <c r="CP20" i="14" s="1"/>
  <c r="CP21" i="14" s="1"/>
  <c r="CP22" i="14" s="1"/>
  <c r="CP23" i="14" s="1"/>
  <c r="CP24" i="14" s="1"/>
  <c r="CP25" i="14" s="1"/>
  <c r="CP26" i="14" s="1"/>
  <c r="CP27" i="14" s="1"/>
  <c r="DO12" i="14"/>
  <c r="DO13" i="14" s="1"/>
  <c r="DO14" i="14" s="1"/>
  <c r="DO15" i="14" s="1"/>
  <c r="DO16" i="14" s="1"/>
  <c r="DO17" i="14" s="1"/>
  <c r="DO18" i="14" s="1"/>
  <c r="DO19" i="14" s="1"/>
  <c r="DO20" i="14" s="1"/>
  <c r="DO21" i="14" s="1"/>
  <c r="DO22" i="14" s="1"/>
  <c r="DO23" i="14" s="1"/>
  <c r="DO24" i="14" s="1"/>
  <c r="DO25" i="14" s="1"/>
  <c r="DO26" i="14" s="1"/>
  <c r="DO27" i="14" s="1"/>
  <c r="AU12" i="13"/>
  <c r="AU13" i="13" s="1"/>
  <c r="AU14" i="13" s="1"/>
  <c r="AU15" i="13" s="1"/>
  <c r="AU16" i="13" s="1"/>
  <c r="AU17" i="13" s="1"/>
  <c r="AU18" i="13" s="1"/>
  <c r="AU19" i="13" s="1"/>
  <c r="AU20" i="13" s="1"/>
  <c r="AU21" i="13" s="1"/>
  <c r="AU22" i="13" s="1"/>
  <c r="AU23" i="13" s="1"/>
  <c r="AU24" i="13" s="1"/>
  <c r="AU25" i="13" s="1"/>
  <c r="AU26" i="13" s="1"/>
  <c r="AU27" i="13" s="1"/>
  <c r="BS12" i="15"/>
  <c r="BS13" i="15" s="1"/>
  <c r="BS14" i="15" s="1"/>
  <c r="BS15" i="15" s="1"/>
  <c r="BS16" i="15" s="1"/>
  <c r="BS17" i="15" s="1"/>
  <c r="BS18" i="15" s="1"/>
  <c r="BS19" i="15" s="1"/>
  <c r="BS20" i="15" s="1"/>
  <c r="BS21" i="15" s="1"/>
  <c r="BS22" i="15" s="1"/>
  <c r="BS23" i="15" s="1"/>
  <c r="BS24" i="15" s="1"/>
  <c r="BS25" i="15" s="1"/>
  <c r="BS26" i="15" s="1"/>
  <c r="BS27" i="15" s="1"/>
  <c r="AU12" i="14"/>
  <c r="AU13" i="14" s="1"/>
  <c r="AU14" i="14" s="1"/>
  <c r="AU15" i="14" s="1"/>
  <c r="AU16" i="14" s="1"/>
  <c r="AU17" i="14" s="1"/>
  <c r="AU18" i="14" s="1"/>
  <c r="AU19" i="14" s="1"/>
  <c r="AU20" i="14" s="1"/>
  <c r="AU21" i="14" s="1"/>
  <c r="AU22" i="14" s="1"/>
  <c r="AU23" i="14" s="1"/>
  <c r="AU24" i="14" s="1"/>
  <c r="AU25" i="14" s="1"/>
  <c r="AU26" i="14" s="1"/>
  <c r="AU27" i="14" s="1"/>
  <c r="DN12" i="13"/>
  <c r="DN13" i="13" s="1"/>
  <c r="DN14" i="13" s="1"/>
  <c r="DN15" i="13" s="1"/>
  <c r="DN16" i="13" s="1"/>
  <c r="DN17" i="13" s="1"/>
  <c r="DN18" i="13" s="1"/>
  <c r="DN19" i="13" s="1"/>
  <c r="DN20" i="13" s="1"/>
  <c r="DN21" i="13" s="1"/>
  <c r="DN22" i="13" s="1"/>
  <c r="DN23" i="13" s="1"/>
  <c r="DN24" i="13" s="1"/>
  <c r="DN25" i="13" s="1"/>
  <c r="DN26" i="13" s="1"/>
  <c r="DN27" i="13" s="1"/>
  <c r="DN12" i="16"/>
  <c r="DN13" i="16" s="1"/>
  <c r="DN14" i="16" s="1"/>
  <c r="DN15" i="16" s="1"/>
  <c r="DN16" i="16" s="1"/>
  <c r="DN17" i="16" s="1"/>
  <c r="DN18" i="16" s="1"/>
  <c r="DN19" i="16" s="1"/>
  <c r="DN20" i="16" s="1"/>
  <c r="DN21" i="16" s="1"/>
  <c r="DN22" i="16" s="1"/>
  <c r="DN23" i="16" s="1"/>
  <c r="DN24" i="16" s="1"/>
  <c r="DN25" i="16" s="1"/>
  <c r="DN26" i="16" s="1"/>
  <c r="DN27" i="16" s="1"/>
  <c r="V12" i="14"/>
  <c r="V13" i="14" s="1"/>
  <c r="V14" i="14" s="1"/>
  <c r="V15" i="14" s="1"/>
  <c r="V16" i="14" s="1"/>
  <c r="V17" i="14" s="1"/>
  <c r="V18" i="14" s="1"/>
  <c r="V19" i="14" s="1"/>
  <c r="V20" i="14" s="1"/>
  <c r="V21" i="14" s="1"/>
  <c r="V22" i="14" s="1"/>
  <c r="V23" i="14" s="1"/>
  <c r="V24" i="14" s="1"/>
  <c r="V25" i="14" s="1"/>
  <c r="V26" i="14" s="1"/>
  <c r="V27" i="14" s="1"/>
  <c r="CQ88" i="15"/>
  <c r="CQ89" i="15" s="1"/>
  <c r="CQ90" i="15" s="1"/>
  <c r="CQ91" i="15" s="1"/>
  <c r="CQ92" i="15" s="1"/>
  <c r="CQ93" i="15" s="1"/>
  <c r="CQ94" i="15" s="1"/>
  <c r="CQ95" i="15" s="1"/>
  <c r="CQ96" i="15" s="1"/>
  <c r="CQ97" i="15" s="1"/>
  <c r="CQ98" i="15" s="1"/>
  <c r="CQ99" i="15" s="1"/>
  <c r="CQ100" i="15" s="1"/>
  <c r="CQ101" i="15" s="1"/>
  <c r="CQ102" i="15" s="1"/>
  <c r="CQ103" i="15" s="1"/>
  <c r="CP12" i="15"/>
  <c r="CP13" i="15" s="1"/>
  <c r="CP14" i="15" s="1"/>
  <c r="CP15" i="15" s="1"/>
  <c r="CP16" i="15" s="1"/>
  <c r="CP17" i="15" s="1"/>
  <c r="CP18" i="15" s="1"/>
  <c r="CP19" i="15" s="1"/>
  <c r="CP20" i="15" s="1"/>
  <c r="CP21" i="15" s="1"/>
  <c r="CP22" i="15" s="1"/>
  <c r="CP23" i="15" s="1"/>
  <c r="CP24" i="15" s="1"/>
  <c r="CP25" i="15" s="1"/>
  <c r="CP26" i="15" s="1"/>
  <c r="CP27" i="15" s="1"/>
  <c r="BR12" i="16"/>
  <c r="BR13" i="16" s="1"/>
  <c r="BR14" i="16" s="1"/>
  <c r="BR15" i="16" s="1"/>
  <c r="BR16" i="16" s="1"/>
  <c r="BR17" i="16" s="1"/>
  <c r="BR18" i="16" s="1"/>
  <c r="BR19" i="16" s="1"/>
  <c r="BR20" i="16" s="1"/>
  <c r="BR21" i="16" s="1"/>
  <c r="BR22" i="16" s="1"/>
  <c r="BR23" i="16" s="1"/>
  <c r="BR24" i="16" s="1"/>
  <c r="BR25" i="16" s="1"/>
  <c r="BR26" i="16" s="1"/>
  <c r="BR27" i="16" s="1"/>
  <c r="V12" i="13"/>
  <c r="V13" i="13" s="1"/>
  <c r="V14" i="13" s="1"/>
  <c r="V15" i="13" s="1"/>
  <c r="V16" i="13" s="1"/>
  <c r="V17" i="13" s="1"/>
  <c r="V18" i="13" s="1"/>
  <c r="V19" i="13" s="1"/>
  <c r="V20" i="13" s="1"/>
  <c r="V21" i="13" s="1"/>
  <c r="V22" i="13" s="1"/>
  <c r="V23" i="13" s="1"/>
  <c r="V24" i="13" s="1"/>
  <c r="V25" i="13" s="1"/>
  <c r="V26" i="13" s="1"/>
  <c r="V27" i="13" s="1"/>
  <c r="BR12" i="14"/>
  <c r="BR13" i="14" s="1"/>
  <c r="BR14" i="14" s="1"/>
  <c r="BR15" i="14" s="1"/>
  <c r="BR16" i="14" s="1"/>
  <c r="BR17" i="14" s="1"/>
  <c r="BR18" i="14" s="1"/>
  <c r="BR19" i="14" s="1"/>
  <c r="BR20" i="14" s="1"/>
  <c r="BR21" i="14" s="1"/>
  <c r="BR22" i="14" s="1"/>
  <c r="BR23" i="14" s="1"/>
  <c r="BR24" i="14" s="1"/>
  <c r="BR25" i="14" s="1"/>
  <c r="BR26" i="14" s="1"/>
  <c r="BR27" i="14" s="1"/>
  <c r="AT12" i="13"/>
  <c r="AT13" i="13" s="1"/>
  <c r="AT14" i="13" s="1"/>
  <c r="AT15" i="13" s="1"/>
  <c r="AT16" i="13" s="1"/>
  <c r="AT17" i="13" s="1"/>
  <c r="AT18" i="13" s="1"/>
  <c r="AT19" i="13" s="1"/>
  <c r="AT20" i="13" s="1"/>
  <c r="AT21" i="13" s="1"/>
  <c r="AT22" i="13" s="1"/>
  <c r="AT23" i="13" s="1"/>
  <c r="AT24" i="13" s="1"/>
  <c r="AT25" i="13" s="1"/>
  <c r="AT26" i="13" s="1"/>
  <c r="AT27" i="13" s="1"/>
  <c r="CQ12" i="16"/>
  <c r="CQ13" i="16" s="1"/>
  <c r="CQ14" i="16" s="1"/>
  <c r="CQ15" i="16" s="1"/>
  <c r="CQ16" i="16" s="1"/>
  <c r="CQ17" i="16" s="1"/>
  <c r="CQ18" i="16" s="1"/>
  <c r="CQ19" i="16" s="1"/>
  <c r="CQ20" i="16" s="1"/>
  <c r="CQ21" i="16" s="1"/>
  <c r="CQ22" i="16" s="1"/>
  <c r="CQ23" i="16" s="1"/>
  <c r="CQ24" i="16" s="1"/>
  <c r="CQ25" i="16" s="1"/>
  <c r="CQ26" i="16" s="1"/>
  <c r="CQ27" i="16" s="1"/>
  <c r="BS12" i="16"/>
  <c r="BS13" i="16" s="1"/>
  <c r="BS14" i="16" s="1"/>
  <c r="BS15" i="16" s="1"/>
  <c r="BS16" i="16" s="1"/>
  <c r="BS17" i="16" s="1"/>
  <c r="BS18" i="16" s="1"/>
  <c r="BS19" i="16" s="1"/>
  <c r="BS20" i="16" s="1"/>
  <c r="BS21" i="16" s="1"/>
  <c r="BS22" i="16" s="1"/>
  <c r="BS23" i="16" s="1"/>
  <c r="BS24" i="16" s="1"/>
  <c r="BS25" i="16" s="1"/>
  <c r="BS26" i="16" s="1"/>
  <c r="BS27" i="16" s="1"/>
  <c r="BS12" i="14"/>
  <c r="BS13" i="14" s="1"/>
  <c r="BS14" i="14" s="1"/>
  <c r="BS15" i="14" s="1"/>
  <c r="BS16" i="14" s="1"/>
  <c r="BS17" i="14" s="1"/>
  <c r="BS18" i="14" s="1"/>
  <c r="BS19" i="14" s="1"/>
  <c r="BS20" i="14" s="1"/>
  <c r="BS21" i="14" s="1"/>
  <c r="BS22" i="14" s="1"/>
  <c r="BS23" i="14" s="1"/>
  <c r="BS24" i="14" s="1"/>
  <c r="BS25" i="14" s="1"/>
  <c r="BS26" i="14" s="1"/>
  <c r="BS27" i="14" s="1"/>
  <c r="CQ12" i="15"/>
  <c r="CQ13" i="15" s="1"/>
  <c r="CQ14" i="15" s="1"/>
  <c r="CQ15" i="15" s="1"/>
  <c r="CQ16" i="15" s="1"/>
  <c r="CQ17" i="15" s="1"/>
  <c r="CQ18" i="15" s="1"/>
  <c r="CQ19" i="15" s="1"/>
  <c r="CQ20" i="15" s="1"/>
  <c r="CQ21" i="15" s="1"/>
  <c r="CQ22" i="15" s="1"/>
  <c r="CQ23" i="15" s="1"/>
  <c r="CQ24" i="15" s="1"/>
  <c r="CQ25" i="15" s="1"/>
  <c r="CQ26" i="15" s="1"/>
  <c r="CQ27" i="15" s="1"/>
  <c r="AU88" i="15"/>
  <c r="AU89" i="15" s="1"/>
  <c r="AU90" i="15" s="1"/>
  <c r="AU91" i="15" s="1"/>
  <c r="AU92" i="15" s="1"/>
  <c r="AU93" i="15" s="1"/>
  <c r="AU94" i="15" s="1"/>
  <c r="AU95" i="15" s="1"/>
  <c r="AU96" i="15" s="1"/>
  <c r="AU97" i="15" s="1"/>
  <c r="AU98" i="15" s="1"/>
  <c r="AU99" i="15" s="1"/>
  <c r="AU100" i="15" s="1"/>
  <c r="AU101" i="15" s="1"/>
  <c r="AU102" i="15" s="1"/>
  <c r="AU103" i="15" s="1"/>
  <c r="AI65" i="10"/>
  <c r="AT113" i="15"/>
  <c r="AT114" i="15" s="1"/>
  <c r="AT115" i="15" s="1"/>
  <c r="AT116" i="15" s="1"/>
  <c r="AT117" i="15" s="1"/>
  <c r="AT118" i="15" s="1"/>
  <c r="AT119" i="15" s="1"/>
  <c r="AT120" i="15" s="1"/>
  <c r="AT121" i="15" s="1"/>
  <c r="AT122" i="15" s="1"/>
  <c r="AT123" i="15" s="1"/>
  <c r="AT124" i="15" s="1"/>
  <c r="AT125" i="15" s="1"/>
  <c r="AT126" i="15" s="1"/>
  <c r="AT127" i="15" s="1"/>
  <c r="AT128" i="15" s="1"/>
  <c r="CQ113" i="15"/>
  <c r="CQ114" i="15" s="1"/>
  <c r="CQ115" i="15" s="1"/>
  <c r="CQ116" i="15" s="1"/>
  <c r="CQ117" i="15" s="1"/>
  <c r="CQ118" i="15" s="1"/>
  <c r="CQ119" i="15" s="1"/>
  <c r="CQ120" i="15" s="1"/>
  <c r="CQ121" i="15" s="1"/>
  <c r="CQ122" i="15" s="1"/>
  <c r="CQ123" i="15" s="1"/>
  <c r="CQ124" i="15" s="1"/>
  <c r="CQ125" i="15" s="1"/>
  <c r="CQ126" i="15" s="1"/>
  <c r="CQ127" i="15" s="1"/>
  <c r="CQ128" i="15" s="1"/>
  <c r="AU113" i="15"/>
  <c r="AU114" i="15" s="1"/>
  <c r="AU115" i="15" s="1"/>
  <c r="AU116" i="15" s="1"/>
  <c r="AU117" i="15" s="1"/>
  <c r="AU118" i="15" s="1"/>
  <c r="AU119" i="15" s="1"/>
  <c r="AU120" i="15" s="1"/>
  <c r="AU121" i="15" s="1"/>
  <c r="AU122" i="15" s="1"/>
  <c r="AU123" i="15" s="1"/>
  <c r="AU124" i="15" s="1"/>
  <c r="AU125" i="15" s="1"/>
  <c r="AU126" i="15" s="1"/>
  <c r="AU127" i="15" s="1"/>
  <c r="AU128" i="15" s="1"/>
  <c r="AD163" i="14"/>
  <c r="AD165" i="14" s="1"/>
  <c r="AD167" i="14" s="1"/>
  <c r="AD164" i="14"/>
  <c r="AD166" i="14" s="1"/>
  <c r="AD168" i="14" s="1"/>
  <c r="AD166" i="13"/>
  <c r="AD168" i="13" s="1"/>
  <c r="F25" i="12"/>
  <c r="AF166" i="14"/>
  <c r="AF168" i="14" s="1"/>
  <c r="G17" i="12"/>
  <c r="E31" i="12"/>
  <c r="Z166" i="14"/>
  <c r="Z168" i="14" s="1"/>
  <c r="I39" i="12"/>
  <c r="I40" i="12"/>
  <c r="X163" i="15"/>
  <c r="X165" i="15" s="1"/>
  <c r="X167" i="15" s="1"/>
  <c r="X164" i="15"/>
  <c r="Y166" i="14"/>
  <c r="Y168" i="14" s="1"/>
  <c r="E24" i="12"/>
  <c r="Y166" i="13"/>
  <c r="Y168" i="13" s="1"/>
  <c r="E17" i="12"/>
  <c r="AB166" i="15"/>
  <c r="AB168" i="15" s="1"/>
  <c r="F32" i="12"/>
  <c r="W166" i="15"/>
  <c r="W168" i="15" s="1"/>
  <c r="F31" i="12"/>
  <c r="AE166" i="14"/>
  <c r="AE168" i="14" s="1"/>
  <c r="H25" i="12"/>
  <c r="I38" i="12"/>
  <c r="E32" i="12"/>
  <c r="AC166" i="14"/>
  <c r="AC168" i="14" s="1"/>
  <c r="G25" i="12"/>
  <c r="AA166" i="13"/>
  <c r="AA168" i="13" s="1"/>
  <c r="D17" i="12"/>
  <c r="W166" i="13"/>
  <c r="W168" i="13" s="1"/>
  <c r="F17" i="12"/>
  <c r="AA166" i="14"/>
  <c r="AA168" i="14" s="1"/>
  <c r="D24" i="12"/>
  <c r="AB166" i="13"/>
  <c r="AB168" i="13" s="1"/>
  <c r="F18" i="12"/>
  <c r="AA166" i="15"/>
  <c r="AA168" i="15" s="1"/>
  <c r="D31" i="12"/>
  <c r="X166" i="14"/>
  <c r="X168" i="14" s="1"/>
  <c r="G24" i="12"/>
  <c r="AF166" i="13"/>
  <c r="AF168" i="13" s="1"/>
  <c r="D18" i="12"/>
  <c r="AE166" i="13"/>
  <c r="AE168" i="13" s="1"/>
  <c r="H18" i="12"/>
  <c r="AC166" i="13"/>
  <c r="AC168" i="13" s="1"/>
  <c r="G18" i="12"/>
  <c r="Z166" i="13"/>
  <c r="Z168" i="13" s="1"/>
  <c r="H17" i="12"/>
  <c r="W166" i="14"/>
  <c r="W168" i="14" s="1"/>
  <c r="F24" i="12"/>
  <c r="AC166" i="15"/>
  <c r="AC168" i="15" s="1"/>
  <c r="Z163" i="15"/>
  <c r="Z165" i="15" s="1"/>
  <c r="Z167" i="15" s="1"/>
  <c r="Z164" i="15"/>
  <c r="G36" i="12"/>
  <c r="S166" i="15"/>
  <c r="S168" i="15" s="1"/>
  <c r="V166" i="15"/>
  <c r="V168" i="15" s="1"/>
  <c r="D36" i="12"/>
  <c r="F36" i="12"/>
  <c r="R166" i="15"/>
  <c r="R168" i="15" s="1"/>
  <c r="R166" i="14"/>
  <c r="R168" i="14" s="1"/>
  <c r="F29" i="12"/>
  <c r="G29" i="12"/>
  <c r="S166" i="14"/>
  <c r="S168" i="14" s="1"/>
  <c r="E29" i="12"/>
  <c r="T166" i="14"/>
  <c r="T168" i="14" s="1"/>
  <c r="U166" i="14"/>
  <c r="U168" i="14" s="1"/>
  <c r="H29" i="12"/>
  <c r="V166" i="14"/>
  <c r="V168" i="14" s="1"/>
  <c r="D29" i="12"/>
  <c r="E36" i="12"/>
  <c r="T166" i="15"/>
  <c r="T168" i="15" s="1"/>
  <c r="U166" i="15"/>
  <c r="U168" i="15" s="1"/>
  <c r="H36" i="12"/>
  <c r="I43" i="12"/>
  <c r="R161" i="13"/>
  <c r="R164" i="13" s="1"/>
  <c r="S166" i="13"/>
  <c r="S168" i="13" s="1"/>
  <c r="G22" i="12"/>
  <c r="U166" i="13"/>
  <c r="U168" i="13" s="1"/>
  <c r="H22" i="12"/>
  <c r="V166" i="13"/>
  <c r="V168" i="13" s="1"/>
  <c r="D22" i="12"/>
  <c r="T166" i="13"/>
  <c r="T168" i="13" s="1"/>
  <c r="E22" i="12"/>
  <c r="BQ27" i="16"/>
  <c r="J162" i="16" s="1"/>
  <c r="J163" i="16" s="1"/>
  <c r="AI14" i="10"/>
  <c r="J81" i="22"/>
  <c r="F61" i="22"/>
  <c r="AH40" i="10"/>
  <c r="E81" i="22"/>
  <c r="AI41" i="10"/>
  <c r="K82" i="22"/>
  <c r="AH14" i="10"/>
  <c r="D81" i="22"/>
  <c r="V29" i="8"/>
  <c r="V27" i="8" s="1"/>
  <c r="BQ38" i="14"/>
  <c r="BQ39" i="14" s="1"/>
  <c r="BQ40" i="14" s="1"/>
  <c r="BQ41" i="14" s="1"/>
  <c r="BQ42" i="14" s="1"/>
  <c r="BQ43" i="14" s="1"/>
  <c r="BQ44" i="14" s="1"/>
  <c r="BQ45" i="14" s="1"/>
  <c r="BQ46" i="14" s="1"/>
  <c r="BQ47" i="14" s="1"/>
  <c r="BQ48" i="14" s="1"/>
  <c r="BQ49" i="14" s="1"/>
  <c r="BQ50" i="14" s="1"/>
  <c r="BQ51" i="14" s="1"/>
  <c r="BQ52" i="14" s="1"/>
  <c r="BQ53" i="14" s="1"/>
  <c r="O162" i="14" s="1"/>
  <c r="BH38" i="14"/>
  <c r="BM38" i="14" s="1"/>
  <c r="BI38" i="14"/>
  <c r="BN38" i="14" s="1"/>
  <c r="AS38" i="15"/>
  <c r="AJ38" i="15"/>
  <c r="AK38" i="15"/>
  <c r="BQ38" i="15"/>
  <c r="BQ39" i="15" s="1"/>
  <c r="BQ40" i="15" s="1"/>
  <c r="BQ41" i="15" s="1"/>
  <c r="BQ42" i="15" s="1"/>
  <c r="BQ43" i="15" s="1"/>
  <c r="BQ44" i="15" s="1"/>
  <c r="BQ45" i="15" s="1"/>
  <c r="BQ46" i="15" s="1"/>
  <c r="BQ47" i="15" s="1"/>
  <c r="BQ48" i="15" s="1"/>
  <c r="BQ49" i="15" s="1"/>
  <c r="BQ50" i="15" s="1"/>
  <c r="BQ51" i="15" s="1"/>
  <c r="BQ52" i="15" s="1"/>
  <c r="BQ53" i="15" s="1"/>
  <c r="O162" i="15" s="1"/>
  <c r="BH38" i="15"/>
  <c r="BI38" i="15"/>
  <c r="BQ38" i="13"/>
  <c r="BQ39" i="13" s="1"/>
  <c r="BQ40" i="13" s="1"/>
  <c r="BQ41" i="13" s="1"/>
  <c r="BQ42" i="13" s="1"/>
  <c r="BQ43" i="13" s="1"/>
  <c r="BQ44" i="13" s="1"/>
  <c r="BQ45" i="13" s="1"/>
  <c r="BQ46" i="13" s="1"/>
  <c r="BQ47" i="13" s="1"/>
  <c r="BQ48" i="13" s="1"/>
  <c r="BQ49" i="13" s="1"/>
  <c r="BQ50" i="13" s="1"/>
  <c r="BQ51" i="13" s="1"/>
  <c r="BQ52" i="13" s="1"/>
  <c r="BQ53" i="13" s="1"/>
  <c r="O162" i="13" s="1"/>
  <c r="BH38" i="13"/>
  <c r="BI38" i="13"/>
  <c r="CO38" i="15"/>
  <c r="CO39" i="15" s="1"/>
  <c r="CO40" i="15" s="1"/>
  <c r="CO41" i="15" s="1"/>
  <c r="CO42" i="15" s="1"/>
  <c r="CO43" i="15" s="1"/>
  <c r="CO44" i="15" s="1"/>
  <c r="CO45" i="15" s="1"/>
  <c r="CO46" i="15" s="1"/>
  <c r="CO47" i="15" s="1"/>
  <c r="CO48" i="15" s="1"/>
  <c r="CO49" i="15" s="1"/>
  <c r="CO50" i="15" s="1"/>
  <c r="CO51" i="15" s="1"/>
  <c r="CO52" i="15" s="1"/>
  <c r="CO53" i="15" s="1"/>
  <c r="P162" i="15" s="1"/>
  <c r="CF38" i="15"/>
  <c r="CG38" i="15"/>
  <c r="BQ38" i="16"/>
  <c r="BQ39" i="16" s="1"/>
  <c r="BQ40" i="16" s="1"/>
  <c r="BQ41" i="16" s="1"/>
  <c r="BQ42" i="16" s="1"/>
  <c r="BQ43" i="16" s="1"/>
  <c r="BQ44" i="16" s="1"/>
  <c r="BQ45" i="16" s="1"/>
  <c r="BQ46" i="16" s="1"/>
  <c r="BQ47" i="16" s="1"/>
  <c r="BQ48" i="16" s="1"/>
  <c r="BQ49" i="16" s="1"/>
  <c r="BQ50" i="16" s="1"/>
  <c r="BQ51" i="16" s="1"/>
  <c r="BQ52" i="16" s="1"/>
  <c r="BQ53" i="16" s="1"/>
  <c r="O162" i="16" s="1"/>
  <c r="BH38" i="16"/>
  <c r="BI38" i="16"/>
  <c r="DM38" i="13"/>
  <c r="DM39" i="13" s="1"/>
  <c r="DM40" i="13" s="1"/>
  <c r="DM41" i="13" s="1"/>
  <c r="DM42" i="13" s="1"/>
  <c r="DM43" i="13" s="1"/>
  <c r="DM44" i="13" s="1"/>
  <c r="DM45" i="13" s="1"/>
  <c r="DM46" i="13" s="1"/>
  <c r="DM47" i="13" s="1"/>
  <c r="DM48" i="13" s="1"/>
  <c r="DM49" i="13" s="1"/>
  <c r="DM50" i="13" s="1"/>
  <c r="DM51" i="13" s="1"/>
  <c r="DM52" i="13" s="1"/>
  <c r="DM53" i="13" s="1"/>
  <c r="Q162" i="13" s="1"/>
  <c r="DD38" i="13"/>
  <c r="DE38" i="13"/>
  <c r="DM38" i="14"/>
  <c r="DM39" i="14" s="1"/>
  <c r="DM40" i="14" s="1"/>
  <c r="DM41" i="14" s="1"/>
  <c r="DM42" i="14" s="1"/>
  <c r="DM43" i="14" s="1"/>
  <c r="DM44" i="14" s="1"/>
  <c r="DM45" i="14" s="1"/>
  <c r="DM46" i="14" s="1"/>
  <c r="DM47" i="14" s="1"/>
  <c r="DM48" i="14" s="1"/>
  <c r="DM49" i="14" s="1"/>
  <c r="DM50" i="14" s="1"/>
  <c r="DM51" i="14" s="1"/>
  <c r="DM52" i="14" s="1"/>
  <c r="DM53" i="14" s="1"/>
  <c r="Q162" i="14" s="1"/>
  <c r="DD38" i="14"/>
  <c r="DE38" i="14"/>
  <c r="CO38" i="16"/>
  <c r="CO39" i="16" s="1"/>
  <c r="CO40" i="16" s="1"/>
  <c r="CO41" i="16" s="1"/>
  <c r="CO42" i="16" s="1"/>
  <c r="CO43" i="16" s="1"/>
  <c r="CO44" i="16" s="1"/>
  <c r="CO45" i="16" s="1"/>
  <c r="CO46" i="16" s="1"/>
  <c r="CO47" i="16" s="1"/>
  <c r="CO48" i="16" s="1"/>
  <c r="CO49" i="16" s="1"/>
  <c r="CO50" i="16" s="1"/>
  <c r="CO51" i="16" s="1"/>
  <c r="CO52" i="16" s="1"/>
  <c r="CO53" i="16" s="1"/>
  <c r="P162" i="16" s="1"/>
  <c r="CF38" i="16"/>
  <c r="CG38" i="16"/>
  <c r="U38" i="13"/>
  <c r="U39" i="13" s="1"/>
  <c r="U40" i="13" s="1"/>
  <c r="U41" i="13" s="1"/>
  <c r="U42" i="13" s="1"/>
  <c r="U43" i="13" s="1"/>
  <c r="U44" i="13" s="1"/>
  <c r="U45" i="13" s="1"/>
  <c r="U46" i="13" s="1"/>
  <c r="U47" i="13" s="1"/>
  <c r="U48" i="13" s="1"/>
  <c r="U49" i="13" s="1"/>
  <c r="U50" i="13" s="1"/>
  <c r="U51" i="13" s="1"/>
  <c r="U52" i="13" s="1"/>
  <c r="U53" i="13" s="1"/>
  <c r="M162" i="13" s="1"/>
  <c r="L38" i="13"/>
  <c r="M38" i="13"/>
  <c r="DM38" i="15"/>
  <c r="DM39" i="15" s="1"/>
  <c r="DM40" i="15" s="1"/>
  <c r="DM41" i="15" s="1"/>
  <c r="DM42" i="15" s="1"/>
  <c r="DM43" i="15" s="1"/>
  <c r="DM44" i="15" s="1"/>
  <c r="DM45" i="15" s="1"/>
  <c r="DM46" i="15" s="1"/>
  <c r="DM47" i="15" s="1"/>
  <c r="DM48" i="15" s="1"/>
  <c r="DM49" i="15" s="1"/>
  <c r="DM50" i="15" s="1"/>
  <c r="DM51" i="15" s="1"/>
  <c r="DM52" i="15" s="1"/>
  <c r="DM53" i="15" s="1"/>
  <c r="Q162" i="15" s="1"/>
  <c r="DD38" i="15"/>
  <c r="DE38" i="15"/>
  <c r="CO38" i="14"/>
  <c r="CO39" i="14" s="1"/>
  <c r="CO40" i="14" s="1"/>
  <c r="CO41" i="14" s="1"/>
  <c r="CO42" i="14" s="1"/>
  <c r="CO43" i="14" s="1"/>
  <c r="CO44" i="14" s="1"/>
  <c r="CO45" i="14" s="1"/>
  <c r="CO46" i="14" s="1"/>
  <c r="CO47" i="14" s="1"/>
  <c r="CO48" i="14" s="1"/>
  <c r="CO49" i="14" s="1"/>
  <c r="CO50" i="14" s="1"/>
  <c r="CO51" i="14" s="1"/>
  <c r="CO52" i="14" s="1"/>
  <c r="CO53" i="14" s="1"/>
  <c r="P162" i="14" s="1"/>
  <c r="CF38" i="14"/>
  <c r="CG38" i="14"/>
  <c r="DM38" i="16"/>
  <c r="DM39" i="16" s="1"/>
  <c r="DM40" i="16" s="1"/>
  <c r="DM41" i="16" s="1"/>
  <c r="DM42" i="16" s="1"/>
  <c r="DM43" i="16" s="1"/>
  <c r="DM44" i="16" s="1"/>
  <c r="DM45" i="16" s="1"/>
  <c r="DM46" i="16" s="1"/>
  <c r="DM47" i="16" s="1"/>
  <c r="DM48" i="16" s="1"/>
  <c r="DM49" i="16" s="1"/>
  <c r="DM50" i="16" s="1"/>
  <c r="DM51" i="16" s="1"/>
  <c r="DM52" i="16" s="1"/>
  <c r="DM53" i="16" s="1"/>
  <c r="Q162" i="16" s="1"/>
  <c r="DD38" i="16"/>
  <c r="DE38" i="16"/>
  <c r="U38" i="14"/>
  <c r="U39" i="14" s="1"/>
  <c r="U40" i="14" s="1"/>
  <c r="U41" i="14" s="1"/>
  <c r="U42" i="14" s="1"/>
  <c r="U43" i="14" s="1"/>
  <c r="U44" i="14" s="1"/>
  <c r="U45" i="14" s="1"/>
  <c r="U46" i="14" s="1"/>
  <c r="U47" i="14" s="1"/>
  <c r="U48" i="14" s="1"/>
  <c r="U49" i="14" s="1"/>
  <c r="U50" i="14" s="1"/>
  <c r="U51" i="14" s="1"/>
  <c r="U52" i="14" s="1"/>
  <c r="U53" i="14" s="1"/>
  <c r="M162" i="14" s="1"/>
  <c r="L38" i="14"/>
  <c r="M38" i="14"/>
  <c r="AS38" i="14"/>
  <c r="AJ38" i="14"/>
  <c r="AO38" i="14" s="1"/>
  <c r="AK38" i="14"/>
  <c r="AP38" i="14" s="1"/>
  <c r="AS38" i="13"/>
  <c r="AJ38" i="13"/>
  <c r="AK38" i="13"/>
  <c r="CO38" i="13"/>
  <c r="CO39" i="13" s="1"/>
  <c r="CO40" i="13" s="1"/>
  <c r="CO41" i="13" s="1"/>
  <c r="CO42" i="13" s="1"/>
  <c r="CO43" i="13" s="1"/>
  <c r="CO44" i="13" s="1"/>
  <c r="CO45" i="13" s="1"/>
  <c r="CO46" i="13" s="1"/>
  <c r="CO47" i="13" s="1"/>
  <c r="CO48" i="13" s="1"/>
  <c r="CO49" i="13" s="1"/>
  <c r="CO50" i="13" s="1"/>
  <c r="CO51" i="13" s="1"/>
  <c r="CO52" i="13" s="1"/>
  <c r="CO53" i="13" s="1"/>
  <c r="P162" i="13" s="1"/>
  <c r="CF38" i="13"/>
  <c r="CG38" i="13"/>
  <c r="AS38" i="16"/>
  <c r="AS39" i="16" s="1"/>
  <c r="AS40" i="16" s="1"/>
  <c r="AS41" i="16" s="1"/>
  <c r="AS42" i="16" s="1"/>
  <c r="AS43" i="16" s="1"/>
  <c r="AS44" i="16" s="1"/>
  <c r="AS45" i="16" s="1"/>
  <c r="AS46" i="16" s="1"/>
  <c r="AS47" i="16" s="1"/>
  <c r="AS48" i="16" s="1"/>
  <c r="AS49" i="16" s="1"/>
  <c r="AS50" i="16" s="1"/>
  <c r="AS51" i="16" s="1"/>
  <c r="AS52" i="16" s="1"/>
  <c r="AS53" i="16" s="1"/>
  <c r="N162" i="16" s="1"/>
  <c r="AJ38" i="16"/>
  <c r="AK38" i="16"/>
  <c r="AG91" i="10"/>
  <c r="AG92" i="10" s="1"/>
  <c r="AG93" i="10" s="1"/>
  <c r="AG94" i="10" s="1"/>
  <c r="AG95" i="10" s="1"/>
  <c r="AG96" i="10" s="1"/>
  <c r="AG97" i="10" s="1"/>
  <c r="AG98" i="10" s="1"/>
  <c r="AG99" i="10" s="1"/>
  <c r="AG100" i="10" s="1"/>
  <c r="AG101" i="10" s="1"/>
  <c r="AG102" i="10" s="1"/>
  <c r="AG103" i="10" s="1"/>
  <c r="AG104" i="10" s="1"/>
  <c r="AG105" i="10" s="1"/>
  <c r="AG106" i="10" s="1"/>
  <c r="X91" i="10"/>
  <c r="Y91" i="10"/>
  <c r="U38" i="15"/>
  <c r="U39" i="15" s="1"/>
  <c r="U40" i="15" s="1"/>
  <c r="U41" i="15" s="1"/>
  <c r="U42" i="15" s="1"/>
  <c r="U43" i="15" s="1"/>
  <c r="U44" i="15" s="1"/>
  <c r="U45" i="15" s="1"/>
  <c r="U46" i="15" s="1"/>
  <c r="U47" i="15" s="1"/>
  <c r="U48" i="15" s="1"/>
  <c r="U49" i="15" s="1"/>
  <c r="U50" i="15" s="1"/>
  <c r="U51" i="15" s="1"/>
  <c r="U52" i="15" s="1"/>
  <c r="U53" i="15" s="1"/>
  <c r="M162" i="15" s="1"/>
  <c r="L38" i="15"/>
  <c r="M38" i="15"/>
  <c r="U38" i="16"/>
  <c r="U39" i="16" s="1"/>
  <c r="U40" i="16" s="1"/>
  <c r="U41" i="16" s="1"/>
  <c r="U42" i="16" s="1"/>
  <c r="U43" i="16" s="1"/>
  <c r="U44" i="16" s="1"/>
  <c r="U45" i="16" s="1"/>
  <c r="U46" i="16" s="1"/>
  <c r="U47" i="16" s="1"/>
  <c r="U48" i="16" s="1"/>
  <c r="U49" i="16" s="1"/>
  <c r="U50" i="16" s="1"/>
  <c r="U51" i="16" s="1"/>
  <c r="U52" i="16" s="1"/>
  <c r="U53" i="16" s="1"/>
  <c r="M162" i="16" s="1"/>
  <c r="L38" i="16"/>
  <c r="M38" i="16"/>
  <c r="K164" i="13"/>
  <c r="I164" i="13"/>
  <c r="J164" i="13"/>
  <c r="E20" i="12" s="1"/>
  <c r="K164" i="15"/>
  <c r="L164" i="14"/>
  <c r="K163" i="14"/>
  <c r="K164" i="14"/>
  <c r="I165" i="14"/>
  <c r="I167" i="14" s="1"/>
  <c r="L165" i="13"/>
  <c r="L167" i="13" s="1"/>
  <c r="K164" i="16"/>
  <c r="H41" i="12" s="1"/>
  <c r="I165" i="13"/>
  <c r="I167" i="13" s="1"/>
  <c r="K165" i="15"/>
  <c r="K167" i="15" s="1"/>
  <c r="J165" i="14"/>
  <c r="J167" i="14" s="1"/>
  <c r="L164" i="13"/>
  <c r="AS12" i="15"/>
  <c r="AS13" i="15" s="1"/>
  <c r="AS14" i="15" s="1"/>
  <c r="AS15" i="15" s="1"/>
  <c r="AS16" i="15" s="1"/>
  <c r="AS17" i="15" s="1"/>
  <c r="AS18" i="15" s="1"/>
  <c r="AS19" i="15" s="1"/>
  <c r="AS20" i="15" s="1"/>
  <c r="AS21" i="15" s="1"/>
  <c r="AS22" i="15" s="1"/>
  <c r="AS23" i="15" s="1"/>
  <c r="AS24" i="15" s="1"/>
  <c r="AS25" i="15" s="1"/>
  <c r="AS26" i="15" s="1"/>
  <c r="AS27" i="15" s="1"/>
  <c r="I162" i="15" s="1"/>
  <c r="AJ12" i="15"/>
  <c r="K165" i="13"/>
  <c r="K167" i="13" s="1"/>
  <c r="L164" i="15"/>
  <c r="I164" i="16"/>
  <c r="G41" i="12" s="1"/>
  <c r="J165" i="13"/>
  <c r="J167" i="13" s="1"/>
  <c r="AK12" i="15"/>
  <c r="L8" i="11"/>
  <c r="L9" i="11" s="1"/>
  <c r="H163" i="14"/>
  <c r="H165" i="14" s="1"/>
  <c r="H167" i="14" s="1"/>
  <c r="H163" i="16"/>
  <c r="H163" i="15"/>
  <c r="H165" i="15" s="1"/>
  <c r="H167" i="15" s="1"/>
  <c r="H163" i="13"/>
  <c r="H165" i="13" s="1"/>
  <c r="H167" i="13" s="1"/>
  <c r="I164" i="14"/>
  <c r="L165" i="15"/>
  <c r="L167" i="15" s="1"/>
  <c r="L165" i="14"/>
  <c r="L167" i="14" s="1"/>
  <c r="J164" i="14"/>
  <c r="L164" i="16"/>
  <c r="D41" i="12" s="1"/>
  <c r="BQ12" i="15"/>
  <c r="BQ13" i="15" s="1"/>
  <c r="BQ14" i="15" s="1"/>
  <c r="BQ15" i="15" s="1"/>
  <c r="BQ16" i="15" s="1"/>
  <c r="BQ17" i="15" s="1"/>
  <c r="BQ18" i="15" s="1"/>
  <c r="BQ19" i="15" s="1"/>
  <c r="BQ20" i="15" s="1"/>
  <c r="BQ21" i="15" s="1"/>
  <c r="BQ22" i="15" s="1"/>
  <c r="BQ23" i="15" s="1"/>
  <c r="BQ24" i="15" s="1"/>
  <c r="BQ25" i="15" s="1"/>
  <c r="BQ26" i="15" s="1"/>
  <c r="BQ27" i="15" s="1"/>
  <c r="J162" i="15" s="1"/>
  <c r="J163" i="15" s="1"/>
  <c r="BH12" i="15"/>
  <c r="L7" i="11"/>
  <c r="R70" i="2"/>
  <c r="S28" i="8" s="1"/>
  <c r="S27" i="8"/>
  <c r="S26" i="8" s="1"/>
  <c r="Y71" i="2"/>
  <c r="Y68" i="2"/>
  <c r="U23" i="8" s="1"/>
  <c r="AF68" i="2"/>
  <c r="W23" i="8" s="1"/>
  <c r="AF71" i="2"/>
  <c r="W29" i="8" s="1"/>
  <c r="H32" i="12" l="1"/>
  <c r="I32" i="12" s="1"/>
  <c r="AF166" i="15"/>
  <c r="AF168" i="15" s="1"/>
  <c r="L61" i="22"/>
  <c r="E25" i="12"/>
  <c r="W38" i="15"/>
  <c r="W39" i="15" s="1"/>
  <c r="W40" i="15" s="1"/>
  <c r="W41" i="15" s="1"/>
  <c r="W42" i="15" s="1"/>
  <c r="W43" i="15" s="1"/>
  <c r="W44" i="15" s="1"/>
  <c r="W45" i="15" s="1"/>
  <c r="W46" i="15" s="1"/>
  <c r="W47" i="15" s="1"/>
  <c r="W48" i="15" s="1"/>
  <c r="W49" i="15" s="1"/>
  <c r="W50" i="15" s="1"/>
  <c r="W51" i="15" s="1"/>
  <c r="W52" i="15" s="1"/>
  <c r="W53" i="15" s="1"/>
  <c r="CQ38" i="14"/>
  <c r="CQ39" i="14" s="1"/>
  <c r="CQ40" i="14" s="1"/>
  <c r="CQ41" i="14" s="1"/>
  <c r="CQ42" i="14" s="1"/>
  <c r="CQ43" i="14" s="1"/>
  <c r="CQ44" i="14" s="1"/>
  <c r="CQ45" i="14" s="1"/>
  <c r="CQ46" i="14" s="1"/>
  <c r="CQ47" i="14" s="1"/>
  <c r="CQ48" i="14" s="1"/>
  <c r="CQ49" i="14" s="1"/>
  <c r="CQ50" i="14" s="1"/>
  <c r="CQ51" i="14" s="1"/>
  <c r="CQ52" i="14" s="1"/>
  <c r="CQ53" i="14" s="1"/>
  <c r="DN38" i="15"/>
  <c r="DN39" i="15" s="1"/>
  <c r="DN40" i="15" s="1"/>
  <c r="DN41" i="15" s="1"/>
  <c r="DN42" i="15" s="1"/>
  <c r="DN43" i="15" s="1"/>
  <c r="DN44" i="15" s="1"/>
  <c r="DN45" i="15" s="1"/>
  <c r="DN46" i="15" s="1"/>
  <c r="DN47" i="15" s="1"/>
  <c r="DN48" i="15" s="1"/>
  <c r="DN49" i="15" s="1"/>
  <c r="DN50" i="15" s="1"/>
  <c r="DN51" i="15" s="1"/>
  <c r="DN52" i="15" s="1"/>
  <c r="DN53" i="15" s="1"/>
  <c r="DO38" i="14"/>
  <c r="DO39" i="14" s="1"/>
  <c r="DO40" i="14" s="1"/>
  <c r="DO41" i="14" s="1"/>
  <c r="DO42" i="14" s="1"/>
  <c r="DO43" i="14" s="1"/>
  <c r="DO44" i="14" s="1"/>
  <c r="DO45" i="14" s="1"/>
  <c r="DO46" i="14" s="1"/>
  <c r="DO47" i="14" s="1"/>
  <c r="DO48" i="14" s="1"/>
  <c r="DO49" i="14" s="1"/>
  <c r="DO50" i="14" s="1"/>
  <c r="DO51" i="14" s="1"/>
  <c r="DO52" i="14" s="1"/>
  <c r="DO53" i="14" s="1"/>
  <c r="DN38" i="13"/>
  <c r="DN39" i="13" s="1"/>
  <c r="DN40" i="13" s="1"/>
  <c r="DN41" i="13" s="1"/>
  <c r="DN42" i="13" s="1"/>
  <c r="DN43" i="13" s="1"/>
  <c r="DN44" i="13" s="1"/>
  <c r="DN45" i="13" s="1"/>
  <c r="DN46" i="13" s="1"/>
  <c r="DN47" i="13" s="1"/>
  <c r="DN48" i="13" s="1"/>
  <c r="DN49" i="13" s="1"/>
  <c r="DN50" i="13" s="1"/>
  <c r="DN51" i="13" s="1"/>
  <c r="DN52" i="13" s="1"/>
  <c r="DN53" i="13" s="1"/>
  <c r="AT12" i="15"/>
  <c r="AT13" i="15" s="1"/>
  <c r="AT14" i="15" s="1"/>
  <c r="AT15" i="15" s="1"/>
  <c r="AT16" i="15" s="1"/>
  <c r="AT17" i="15" s="1"/>
  <c r="AT18" i="15" s="1"/>
  <c r="AT19" i="15" s="1"/>
  <c r="AT20" i="15" s="1"/>
  <c r="AT21" i="15" s="1"/>
  <c r="AT22" i="15" s="1"/>
  <c r="AT23" i="15" s="1"/>
  <c r="AT24" i="15" s="1"/>
  <c r="AT25" i="15" s="1"/>
  <c r="AT26" i="15" s="1"/>
  <c r="AT27" i="15" s="1"/>
  <c r="W38" i="16"/>
  <c r="W39" i="16" s="1"/>
  <c r="W40" i="16" s="1"/>
  <c r="W41" i="16" s="1"/>
  <c r="W42" i="16" s="1"/>
  <c r="W43" i="16" s="1"/>
  <c r="W44" i="16" s="1"/>
  <c r="W45" i="16" s="1"/>
  <c r="W46" i="16" s="1"/>
  <c r="W47" i="16" s="1"/>
  <c r="W48" i="16" s="1"/>
  <c r="W49" i="16" s="1"/>
  <c r="W50" i="16" s="1"/>
  <c r="W51" i="16" s="1"/>
  <c r="W52" i="16" s="1"/>
  <c r="W53" i="16" s="1"/>
  <c r="V38" i="15"/>
  <c r="V39" i="15" s="1"/>
  <c r="V40" i="15" s="1"/>
  <c r="V41" i="15" s="1"/>
  <c r="V42" i="15" s="1"/>
  <c r="V43" i="15" s="1"/>
  <c r="V44" i="15" s="1"/>
  <c r="V45" i="15" s="1"/>
  <c r="V46" i="15" s="1"/>
  <c r="V47" i="15" s="1"/>
  <c r="V48" i="15" s="1"/>
  <c r="V49" i="15" s="1"/>
  <c r="V50" i="15" s="1"/>
  <c r="V51" i="15" s="1"/>
  <c r="V52" i="15" s="1"/>
  <c r="V53" i="15" s="1"/>
  <c r="CQ38" i="13"/>
  <c r="CQ39" i="13" s="1"/>
  <c r="CQ40" i="13" s="1"/>
  <c r="CQ41" i="13" s="1"/>
  <c r="CQ42" i="13" s="1"/>
  <c r="CQ43" i="13" s="1"/>
  <c r="CQ44" i="13" s="1"/>
  <c r="CQ45" i="13" s="1"/>
  <c r="CQ46" i="13" s="1"/>
  <c r="CQ47" i="13" s="1"/>
  <c r="CQ48" i="13" s="1"/>
  <c r="CQ49" i="13" s="1"/>
  <c r="CQ50" i="13" s="1"/>
  <c r="CQ51" i="13" s="1"/>
  <c r="CQ52" i="13" s="1"/>
  <c r="CQ53" i="13" s="1"/>
  <c r="AT38" i="13"/>
  <c r="AT39" i="13" s="1"/>
  <c r="AT40" i="13" s="1"/>
  <c r="AT41" i="13" s="1"/>
  <c r="AT42" i="13" s="1"/>
  <c r="AT43" i="13" s="1"/>
  <c r="AT44" i="13" s="1"/>
  <c r="AT45" i="13" s="1"/>
  <c r="AT46" i="13" s="1"/>
  <c r="AT47" i="13" s="1"/>
  <c r="AT48" i="13" s="1"/>
  <c r="AT49" i="13" s="1"/>
  <c r="AT50" i="13" s="1"/>
  <c r="AT51" i="13" s="1"/>
  <c r="AT52" i="13" s="1"/>
  <c r="AT53" i="13" s="1"/>
  <c r="DO38" i="16"/>
  <c r="DO39" i="16" s="1"/>
  <c r="DO40" i="16" s="1"/>
  <c r="DO41" i="16" s="1"/>
  <c r="DO42" i="16" s="1"/>
  <c r="DO43" i="16" s="1"/>
  <c r="DO44" i="16" s="1"/>
  <c r="DO45" i="16" s="1"/>
  <c r="DO46" i="16" s="1"/>
  <c r="DO47" i="16" s="1"/>
  <c r="DO48" i="16" s="1"/>
  <c r="DO49" i="16" s="1"/>
  <c r="DO50" i="16" s="1"/>
  <c r="DO51" i="16" s="1"/>
  <c r="DO52" i="16" s="1"/>
  <c r="DO53" i="16" s="1"/>
  <c r="CP38" i="14"/>
  <c r="CP39" i="14" s="1"/>
  <c r="CP40" i="14" s="1"/>
  <c r="CP41" i="14" s="1"/>
  <c r="CP42" i="14" s="1"/>
  <c r="CP43" i="14" s="1"/>
  <c r="CP44" i="14" s="1"/>
  <c r="CP45" i="14" s="1"/>
  <c r="CP46" i="14" s="1"/>
  <c r="CP47" i="14" s="1"/>
  <c r="CP48" i="14" s="1"/>
  <c r="CP49" i="14" s="1"/>
  <c r="CP50" i="14" s="1"/>
  <c r="CP51" i="14" s="1"/>
  <c r="CP52" i="14" s="1"/>
  <c r="CP53" i="14" s="1"/>
  <c r="CQ38" i="16"/>
  <c r="CQ39" i="16" s="1"/>
  <c r="CQ40" i="16" s="1"/>
  <c r="CQ41" i="16" s="1"/>
  <c r="CQ42" i="16" s="1"/>
  <c r="CQ43" i="16" s="1"/>
  <c r="CQ44" i="16" s="1"/>
  <c r="CQ45" i="16" s="1"/>
  <c r="CQ46" i="16" s="1"/>
  <c r="CQ47" i="16" s="1"/>
  <c r="CQ48" i="16" s="1"/>
  <c r="CQ49" i="16" s="1"/>
  <c r="CQ50" i="16" s="1"/>
  <c r="CQ51" i="16" s="1"/>
  <c r="CQ52" i="16" s="1"/>
  <c r="CQ53" i="16" s="1"/>
  <c r="DN38" i="14"/>
  <c r="DN39" i="14" s="1"/>
  <c r="DN40" i="14" s="1"/>
  <c r="DN41" i="14" s="1"/>
  <c r="DN42" i="14" s="1"/>
  <c r="DN43" i="14" s="1"/>
  <c r="DN44" i="14" s="1"/>
  <c r="DN45" i="14" s="1"/>
  <c r="DN46" i="14" s="1"/>
  <c r="DN47" i="14" s="1"/>
  <c r="DN48" i="14" s="1"/>
  <c r="DN49" i="14" s="1"/>
  <c r="DN50" i="14" s="1"/>
  <c r="DN51" i="14" s="1"/>
  <c r="DN52" i="14" s="1"/>
  <c r="DN53" i="14" s="1"/>
  <c r="CQ38" i="15"/>
  <c r="CQ39" i="15" s="1"/>
  <c r="CQ40" i="15" s="1"/>
  <c r="CQ41" i="15" s="1"/>
  <c r="CQ42" i="15" s="1"/>
  <c r="CQ43" i="15" s="1"/>
  <c r="CQ44" i="15" s="1"/>
  <c r="CQ45" i="15" s="1"/>
  <c r="CQ46" i="15" s="1"/>
  <c r="CQ47" i="15" s="1"/>
  <c r="CQ48" i="15" s="1"/>
  <c r="CQ49" i="15" s="1"/>
  <c r="CQ50" i="15" s="1"/>
  <c r="CQ51" i="15" s="1"/>
  <c r="CQ52" i="15" s="1"/>
  <c r="CQ53" i="15" s="1"/>
  <c r="BR38" i="13"/>
  <c r="BR39" i="13" s="1"/>
  <c r="BR40" i="13" s="1"/>
  <c r="BR41" i="13" s="1"/>
  <c r="BR42" i="13" s="1"/>
  <c r="BR43" i="13" s="1"/>
  <c r="BR44" i="13" s="1"/>
  <c r="BR45" i="13" s="1"/>
  <c r="BR46" i="13" s="1"/>
  <c r="BR47" i="13" s="1"/>
  <c r="BR48" i="13" s="1"/>
  <c r="BR49" i="13" s="1"/>
  <c r="BR50" i="13" s="1"/>
  <c r="BR51" i="13" s="1"/>
  <c r="BR52" i="13" s="1"/>
  <c r="BR53" i="13" s="1"/>
  <c r="BS38" i="14"/>
  <c r="BS39" i="14" s="1"/>
  <c r="BS40" i="14" s="1"/>
  <c r="BS41" i="14" s="1"/>
  <c r="BS42" i="14" s="1"/>
  <c r="BS43" i="14" s="1"/>
  <c r="BS44" i="14" s="1"/>
  <c r="BS45" i="14" s="1"/>
  <c r="BS46" i="14" s="1"/>
  <c r="BS47" i="14" s="1"/>
  <c r="BS48" i="14" s="1"/>
  <c r="BS49" i="14" s="1"/>
  <c r="BS50" i="14" s="1"/>
  <c r="BS51" i="14" s="1"/>
  <c r="BS52" i="14" s="1"/>
  <c r="BS53" i="14" s="1"/>
  <c r="AU12" i="15"/>
  <c r="AU13" i="15" s="1"/>
  <c r="AU14" i="15" s="1"/>
  <c r="AU15" i="15" s="1"/>
  <c r="AU16" i="15" s="1"/>
  <c r="AU17" i="15" s="1"/>
  <c r="AU18" i="15" s="1"/>
  <c r="AU19" i="15" s="1"/>
  <c r="AU20" i="15" s="1"/>
  <c r="AU21" i="15" s="1"/>
  <c r="AU22" i="15" s="1"/>
  <c r="AU23" i="15" s="1"/>
  <c r="AU24" i="15" s="1"/>
  <c r="AU25" i="15" s="1"/>
  <c r="AU26" i="15" s="1"/>
  <c r="AU27" i="15" s="1"/>
  <c r="BR38" i="15"/>
  <c r="BR39" i="15" s="1"/>
  <c r="BR40" i="15" s="1"/>
  <c r="BR41" i="15" s="1"/>
  <c r="BR42" i="15" s="1"/>
  <c r="BR43" i="15" s="1"/>
  <c r="BR44" i="15" s="1"/>
  <c r="BR45" i="15" s="1"/>
  <c r="BR46" i="15" s="1"/>
  <c r="BR47" i="15" s="1"/>
  <c r="BR48" i="15" s="1"/>
  <c r="BR49" i="15" s="1"/>
  <c r="BR50" i="15" s="1"/>
  <c r="BR51" i="15" s="1"/>
  <c r="BR52" i="15" s="1"/>
  <c r="BR53" i="15" s="1"/>
  <c r="V38" i="16"/>
  <c r="V39" i="16" s="1"/>
  <c r="V40" i="16" s="1"/>
  <c r="V41" i="16" s="1"/>
  <c r="V42" i="16" s="1"/>
  <c r="V43" i="16" s="1"/>
  <c r="V44" i="16" s="1"/>
  <c r="V45" i="16" s="1"/>
  <c r="V46" i="16" s="1"/>
  <c r="V47" i="16" s="1"/>
  <c r="V48" i="16" s="1"/>
  <c r="V49" i="16" s="1"/>
  <c r="V50" i="16" s="1"/>
  <c r="V51" i="16" s="1"/>
  <c r="V52" i="16" s="1"/>
  <c r="V53" i="16" s="1"/>
  <c r="AU38" i="16"/>
  <c r="AU39" i="16" s="1"/>
  <c r="AU40" i="16" s="1"/>
  <c r="AU41" i="16" s="1"/>
  <c r="AU42" i="16" s="1"/>
  <c r="AU43" i="16" s="1"/>
  <c r="AU44" i="16" s="1"/>
  <c r="AU45" i="16" s="1"/>
  <c r="AU46" i="16" s="1"/>
  <c r="AU47" i="16" s="1"/>
  <c r="AU48" i="16" s="1"/>
  <c r="AU49" i="16" s="1"/>
  <c r="AU50" i="16" s="1"/>
  <c r="AU51" i="16" s="1"/>
  <c r="AU52" i="16" s="1"/>
  <c r="AU53" i="16" s="1"/>
  <c r="CP38" i="13"/>
  <c r="CP39" i="13" s="1"/>
  <c r="CP40" i="13" s="1"/>
  <c r="CP41" i="13" s="1"/>
  <c r="CP42" i="13" s="1"/>
  <c r="CP43" i="13" s="1"/>
  <c r="CP44" i="13" s="1"/>
  <c r="CP45" i="13" s="1"/>
  <c r="CP46" i="13" s="1"/>
  <c r="CP47" i="13" s="1"/>
  <c r="CP48" i="13" s="1"/>
  <c r="CP49" i="13" s="1"/>
  <c r="CP50" i="13" s="1"/>
  <c r="CP51" i="13" s="1"/>
  <c r="CP52" i="13" s="1"/>
  <c r="CP53" i="13" s="1"/>
  <c r="W38" i="14"/>
  <c r="W39" i="14" s="1"/>
  <c r="W40" i="14" s="1"/>
  <c r="W41" i="14" s="1"/>
  <c r="W42" i="14" s="1"/>
  <c r="W43" i="14" s="1"/>
  <c r="W44" i="14" s="1"/>
  <c r="W45" i="14" s="1"/>
  <c r="W46" i="14" s="1"/>
  <c r="W47" i="14" s="1"/>
  <c r="W48" i="14" s="1"/>
  <c r="W49" i="14" s="1"/>
  <c r="W50" i="14" s="1"/>
  <c r="W51" i="14" s="1"/>
  <c r="W52" i="14" s="1"/>
  <c r="W53" i="14" s="1"/>
  <c r="DN38" i="16"/>
  <c r="DN39" i="16" s="1"/>
  <c r="DN40" i="16" s="1"/>
  <c r="DN41" i="16" s="1"/>
  <c r="DN42" i="16" s="1"/>
  <c r="DN43" i="16" s="1"/>
  <c r="DN44" i="16" s="1"/>
  <c r="DN45" i="16" s="1"/>
  <c r="DN46" i="16" s="1"/>
  <c r="DN47" i="16" s="1"/>
  <c r="DN48" i="16" s="1"/>
  <c r="DN49" i="16" s="1"/>
  <c r="DN50" i="16" s="1"/>
  <c r="DN51" i="16" s="1"/>
  <c r="DN52" i="16" s="1"/>
  <c r="DN53" i="16" s="1"/>
  <c r="W38" i="13"/>
  <c r="W39" i="13" s="1"/>
  <c r="W40" i="13" s="1"/>
  <c r="W41" i="13" s="1"/>
  <c r="W42" i="13" s="1"/>
  <c r="W43" i="13" s="1"/>
  <c r="W44" i="13" s="1"/>
  <c r="W45" i="13" s="1"/>
  <c r="W46" i="13" s="1"/>
  <c r="W47" i="13" s="1"/>
  <c r="W48" i="13" s="1"/>
  <c r="W49" i="13" s="1"/>
  <c r="W50" i="13" s="1"/>
  <c r="W51" i="13" s="1"/>
  <c r="W52" i="13" s="1"/>
  <c r="W53" i="13" s="1"/>
  <c r="CP38" i="16"/>
  <c r="CP39" i="16" s="1"/>
  <c r="CP40" i="16" s="1"/>
  <c r="CP41" i="16" s="1"/>
  <c r="CP42" i="16" s="1"/>
  <c r="CP43" i="16" s="1"/>
  <c r="CP44" i="16" s="1"/>
  <c r="CP45" i="16" s="1"/>
  <c r="CP46" i="16" s="1"/>
  <c r="CP47" i="16" s="1"/>
  <c r="CP48" i="16" s="1"/>
  <c r="CP49" i="16" s="1"/>
  <c r="CP50" i="16" s="1"/>
  <c r="CP51" i="16" s="1"/>
  <c r="CP52" i="16" s="1"/>
  <c r="CP53" i="16" s="1"/>
  <c r="BS38" i="16"/>
  <c r="BS39" i="16" s="1"/>
  <c r="BS40" i="16" s="1"/>
  <c r="BS41" i="16" s="1"/>
  <c r="BS42" i="16" s="1"/>
  <c r="BS43" i="16" s="1"/>
  <c r="BS44" i="16" s="1"/>
  <c r="BS45" i="16" s="1"/>
  <c r="BS46" i="16" s="1"/>
  <c r="BS47" i="16" s="1"/>
  <c r="BS48" i="16" s="1"/>
  <c r="BS49" i="16" s="1"/>
  <c r="BS50" i="16" s="1"/>
  <c r="BS51" i="16" s="1"/>
  <c r="BS52" i="16" s="1"/>
  <c r="BS53" i="16" s="1"/>
  <c r="CP38" i="15"/>
  <c r="CP39" i="15" s="1"/>
  <c r="CP40" i="15" s="1"/>
  <c r="CP41" i="15" s="1"/>
  <c r="CP42" i="15" s="1"/>
  <c r="CP43" i="15" s="1"/>
  <c r="CP44" i="15" s="1"/>
  <c r="CP45" i="15" s="1"/>
  <c r="CP46" i="15" s="1"/>
  <c r="CP47" i="15" s="1"/>
  <c r="CP48" i="15" s="1"/>
  <c r="CP49" i="15" s="1"/>
  <c r="CP50" i="15" s="1"/>
  <c r="CP51" i="15" s="1"/>
  <c r="CP52" i="15" s="1"/>
  <c r="CP53" i="15" s="1"/>
  <c r="AU38" i="15"/>
  <c r="AU39" i="15" s="1"/>
  <c r="AU40" i="15" s="1"/>
  <c r="AU41" i="15" s="1"/>
  <c r="AU42" i="15" s="1"/>
  <c r="AU43" i="15" s="1"/>
  <c r="AU44" i="15" s="1"/>
  <c r="AU45" i="15" s="1"/>
  <c r="AU46" i="15" s="1"/>
  <c r="AU47" i="15" s="1"/>
  <c r="AU48" i="15" s="1"/>
  <c r="AU49" i="15" s="1"/>
  <c r="AU50" i="15" s="1"/>
  <c r="AU51" i="15" s="1"/>
  <c r="AU52" i="15" s="1"/>
  <c r="AU53" i="15" s="1"/>
  <c r="BR38" i="14"/>
  <c r="BR39" i="14" s="1"/>
  <c r="BR40" i="14" s="1"/>
  <c r="BR41" i="14" s="1"/>
  <c r="BR42" i="14" s="1"/>
  <c r="BR43" i="14" s="1"/>
  <c r="BR44" i="14" s="1"/>
  <c r="BR45" i="14" s="1"/>
  <c r="BR46" i="14" s="1"/>
  <c r="BR47" i="14" s="1"/>
  <c r="BR48" i="14" s="1"/>
  <c r="BR49" i="14" s="1"/>
  <c r="BR50" i="14" s="1"/>
  <c r="BR51" i="14" s="1"/>
  <c r="BR52" i="14" s="1"/>
  <c r="BR53" i="14" s="1"/>
  <c r="BR12" i="15"/>
  <c r="BR13" i="15" s="1"/>
  <c r="BR14" i="15" s="1"/>
  <c r="BR15" i="15" s="1"/>
  <c r="BR16" i="15" s="1"/>
  <c r="BR17" i="15" s="1"/>
  <c r="BR18" i="15" s="1"/>
  <c r="BR19" i="15" s="1"/>
  <c r="BR20" i="15" s="1"/>
  <c r="BR21" i="15" s="1"/>
  <c r="BR22" i="15" s="1"/>
  <c r="BR23" i="15" s="1"/>
  <c r="BR24" i="15" s="1"/>
  <c r="BR25" i="15" s="1"/>
  <c r="BR26" i="15" s="1"/>
  <c r="BR27" i="15" s="1"/>
  <c r="AU38" i="13"/>
  <c r="AU39" i="13" s="1"/>
  <c r="AU40" i="13" s="1"/>
  <c r="AU41" i="13" s="1"/>
  <c r="AU42" i="13" s="1"/>
  <c r="AU43" i="13" s="1"/>
  <c r="AU44" i="13" s="1"/>
  <c r="AU45" i="13" s="1"/>
  <c r="AU46" i="13" s="1"/>
  <c r="AU47" i="13" s="1"/>
  <c r="AU48" i="13" s="1"/>
  <c r="AU49" i="13" s="1"/>
  <c r="AU50" i="13" s="1"/>
  <c r="AU51" i="13" s="1"/>
  <c r="AU52" i="13" s="1"/>
  <c r="AU53" i="13" s="1"/>
  <c r="AT38" i="14"/>
  <c r="AT39" i="14" s="1"/>
  <c r="AT40" i="14" s="1"/>
  <c r="AT41" i="14" s="1"/>
  <c r="AT42" i="14" s="1"/>
  <c r="AT43" i="14" s="1"/>
  <c r="AT44" i="14" s="1"/>
  <c r="AT45" i="14" s="1"/>
  <c r="AT46" i="14" s="1"/>
  <c r="AT47" i="14" s="1"/>
  <c r="AT48" i="14" s="1"/>
  <c r="AT49" i="14" s="1"/>
  <c r="AT50" i="14" s="1"/>
  <c r="AT51" i="14" s="1"/>
  <c r="AT52" i="14" s="1"/>
  <c r="AT53" i="14" s="1"/>
  <c r="BS38" i="13"/>
  <c r="BS39" i="13" s="1"/>
  <c r="BS40" i="13" s="1"/>
  <c r="BS41" i="13" s="1"/>
  <c r="BS42" i="13" s="1"/>
  <c r="BS43" i="13" s="1"/>
  <c r="BS44" i="13" s="1"/>
  <c r="BS45" i="13" s="1"/>
  <c r="BS46" i="13" s="1"/>
  <c r="BS47" i="13" s="1"/>
  <c r="BS48" i="13" s="1"/>
  <c r="BS49" i="13" s="1"/>
  <c r="BS50" i="13" s="1"/>
  <c r="BS51" i="13" s="1"/>
  <c r="BS52" i="13" s="1"/>
  <c r="BS53" i="13" s="1"/>
  <c r="AT38" i="16"/>
  <c r="AT39" i="16" s="1"/>
  <c r="AT40" i="16" s="1"/>
  <c r="AT41" i="16" s="1"/>
  <c r="AT42" i="16" s="1"/>
  <c r="AT43" i="16" s="1"/>
  <c r="AT44" i="16" s="1"/>
  <c r="AT45" i="16" s="1"/>
  <c r="AT46" i="16" s="1"/>
  <c r="AT47" i="16" s="1"/>
  <c r="AT48" i="16" s="1"/>
  <c r="AT49" i="16" s="1"/>
  <c r="AT50" i="16" s="1"/>
  <c r="AT51" i="16" s="1"/>
  <c r="AT52" i="16" s="1"/>
  <c r="AT53" i="16" s="1"/>
  <c r="AU38" i="14"/>
  <c r="AU39" i="14" s="1"/>
  <c r="AU40" i="14" s="1"/>
  <c r="AU41" i="14" s="1"/>
  <c r="AU42" i="14" s="1"/>
  <c r="AU43" i="14" s="1"/>
  <c r="AU44" i="14" s="1"/>
  <c r="AU45" i="14" s="1"/>
  <c r="AU46" i="14" s="1"/>
  <c r="AU47" i="14" s="1"/>
  <c r="AU48" i="14" s="1"/>
  <c r="AU49" i="14" s="1"/>
  <c r="AU50" i="14" s="1"/>
  <c r="AU51" i="14" s="1"/>
  <c r="AU52" i="14" s="1"/>
  <c r="AU53" i="14" s="1"/>
  <c r="V38" i="14"/>
  <c r="V39" i="14" s="1"/>
  <c r="V40" i="14" s="1"/>
  <c r="V41" i="14" s="1"/>
  <c r="V42" i="14" s="1"/>
  <c r="V43" i="14" s="1"/>
  <c r="V44" i="14" s="1"/>
  <c r="V45" i="14" s="1"/>
  <c r="V46" i="14" s="1"/>
  <c r="V47" i="14" s="1"/>
  <c r="V48" i="14" s="1"/>
  <c r="V49" i="14" s="1"/>
  <c r="V50" i="14" s="1"/>
  <c r="V51" i="14" s="1"/>
  <c r="V52" i="14" s="1"/>
  <c r="V53" i="14" s="1"/>
  <c r="DO38" i="15"/>
  <c r="DO39" i="15" s="1"/>
  <c r="DO40" i="15" s="1"/>
  <c r="DO41" i="15" s="1"/>
  <c r="DO42" i="15" s="1"/>
  <c r="DO43" i="15" s="1"/>
  <c r="DO44" i="15" s="1"/>
  <c r="DO45" i="15" s="1"/>
  <c r="DO46" i="15" s="1"/>
  <c r="DO47" i="15" s="1"/>
  <c r="DO48" i="15" s="1"/>
  <c r="DO49" i="15" s="1"/>
  <c r="DO50" i="15" s="1"/>
  <c r="DO51" i="15" s="1"/>
  <c r="DO52" i="15" s="1"/>
  <c r="DO53" i="15" s="1"/>
  <c r="V38" i="13"/>
  <c r="V39" i="13" s="1"/>
  <c r="V40" i="13" s="1"/>
  <c r="V41" i="13" s="1"/>
  <c r="V42" i="13" s="1"/>
  <c r="V43" i="13" s="1"/>
  <c r="V44" i="13" s="1"/>
  <c r="V45" i="13" s="1"/>
  <c r="V46" i="13" s="1"/>
  <c r="V47" i="13" s="1"/>
  <c r="V48" i="13" s="1"/>
  <c r="V49" i="13" s="1"/>
  <c r="V50" i="13" s="1"/>
  <c r="V51" i="13" s="1"/>
  <c r="V52" i="13" s="1"/>
  <c r="V53" i="13" s="1"/>
  <c r="DO38" i="13"/>
  <c r="DO39" i="13" s="1"/>
  <c r="DO40" i="13" s="1"/>
  <c r="DO41" i="13" s="1"/>
  <c r="DO42" i="13" s="1"/>
  <c r="DO43" i="13" s="1"/>
  <c r="DO44" i="13" s="1"/>
  <c r="DO45" i="13" s="1"/>
  <c r="DO46" i="13" s="1"/>
  <c r="DO47" i="13" s="1"/>
  <c r="DO48" i="13" s="1"/>
  <c r="DO49" i="13" s="1"/>
  <c r="DO50" i="13" s="1"/>
  <c r="DO51" i="13" s="1"/>
  <c r="DO52" i="13" s="1"/>
  <c r="DO53" i="13" s="1"/>
  <c r="BR38" i="16"/>
  <c r="BR39" i="16" s="1"/>
  <c r="BR40" i="16" s="1"/>
  <c r="BR41" i="16" s="1"/>
  <c r="BR42" i="16" s="1"/>
  <c r="BR43" i="16" s="1"/>
  <c r="BR44" i="16" s="1"/>
  <c r="BR45" i="16" s="1"/>
  <c r="BR46" i="16" s="1"/>
  <c r="BR47" i="16" s="1"/>
  <c r="BR48" i="16" s="1"/>
  <c r="BR49" i="16" s="1"/>
  <c r="BR50" i="16" s="1"/>
  <c r="BR51" i="16" s="1"/>
  <c r="BR52" i="16" s="1"/>
  <c r="BR53" i="16" s="1"/>
  <c r="BS38" i="15"/>
  <c r="BS39" i="15" s="1"/>
  <c r="BS40" i="15" s="1"/>
  <c r="BS41" i="15" s="1"/>
  <c r="BS42" i="15" s="1"/>
  <c r="BS43" i="15" s="1"/>
  <c r="BS44" i="15" s="1"/>
  <c r="BS45" i="15" s="1"/>
  <c r="BS46" i="15" s="1"/>
  <c r="BS47" i="15" s="1"/>
  <c r="BS48" i="15" s="1"/>
  <c r="BS49" i="15" s="1"/>
  <c r="BS50" i="15" s="1"/>
  <c r="BS51" i="15" s="1"/>
  <c r="BS52" i="15" s="1"/>
  <c r="BS53" i="15" s="1"/>
  <c r="AT38" i="15"/>
  <c r="AT39" i="15" s="1"/>
  <c r="AT40" i="15" s="1"/>
  <c r="AT41" i="15" s="1"/>
  <c r="AT42" i="15" s="1"/>
  <c r="AT43" i="15" s="1"/>
  <c r="AT44" i="15" s="1"/>
  <c r="AT45" i="15" s="1"/>
  <c r="AT46" i="15" s="1"/>
  <c r="AT47" i="15" s="1"/>
  <c r="AT48" i="15" s="1"/>
  <c r="AT49" i="15" s="1"/>
  <c r="AT50" i="15" s="1"/>
  <c r="AT51" i="15" s="1"/>
  <c r="AT52" i="15" s="1"/>
  <c r="AT53" i="15" s="1"/>
  <c r="I25" i="12"/>
  <c r="I33" i="12"/>
  <c r="I19" i="12"/>
  <c r="I26" i="12"/>
  <c r="X166" i="15"/>
  <c r="X168" i="15" s="1"/>
  <c r="G31" i="12"/>
  <c r="I17" i="12"/>
  <c r="I18" i="12"/>
  <c r="I24" i="12"/>
  <c r="Z166" i="15"/>
  <c r="Z168" i="15" s="1"/>
  <c r="H31" i="12"/>
  <c r="I29" i="12"/>
  <c r="I36" i="12"/>
  <c r="R166" i="13"/>
  <c r="R168" i="13" s="1"/>
  <c r="F22" i="12"/>
  <c r="I22" i="12" s="1"/>
  <c r="L166" i="13"/>
  <c r="L168" i="13" s="1"/>
  <c r="D20" i="12"/>
  <c r="J166" i="13"/>
  <c r="J168" i="13" s="1"/>
  <c r="I166" i="13"/>
  <c r="I168" i="13" s="1"/>
  <c r="G20" i="12"/>
  <c r="K166" i="13"/>
  <c r="K168" i="13" s="1"/>
  <c r="H20" i="12"/>
  <c r="L166" i="15"/>
  <c r="L168" i="15" s="1"/>
  <c r="D34" i="12"/>
  <c r="K166" i="15"/>
  <c r="K168" i="15" s="1"/>
  <c r="H34" i="12"/>
  <c r="J166" i="14"/>
  <c r="J168" i="14" s="1"/>
  <c r="E27" i="12"/>
  <c r="L166" i="14"/>
  <c r="L168" i="14" s="1"/>
  <c r="D27" i="12"/>
  <c r="K166" i="14"/>
  <c r="K168" i="14" s="1"/>
  <c r="H27" i="12"/>
  <c r="I166" i="14"/>
  <c r="I168" i="14" s="1"/>
  <c r="G27" i="12"/>
  <c r="AH91" i="10"/>
  <c r="G61" i="22"/>
  <c r="Q7" i="23" s="1"/>
  <c r="AH66" i="10"/>
  <c r="F81" i="22"/>
  <c r="AI42" i="10"/>
  <c r="K83" i="22"/>
  <c r="AH15" i="10"/>
  <c r="D82" i="22"/>
  <c r="AI91" i="10"/>
  <c r="M61" i="22"/>
  <c r="R7" i="23" s="1"/>
  <c r="AI66" i="10"/>
  <c r="L81" i="22"/>
  <c r="AH41" i="10"/>
  <c r="E82" i="22"/>
  <c r="AI15" i="10"/>
  <c r="J82" i="22"/>
  <c r="U29" i="8"/>
  <c r="U27" i="8" s="1"/>
  <c r="U26" i="8" s="1"/>
  <c r="Q163" i="16"/>
  <c r="Q164" i="16"/>
  <c r="D42" i="12" s="1"/>
  <c r="P163" i="16"/>
  <c r="P164" i="16"/>
  <c r="H42" i="12" s="1"/>
  <c r="O163" i="14"/>
  <c r="O164" i="14"/>
  <c r="P163" i="14"/>
  <c r="P164" i="14"/>
  <c r="AS39" i="13"/>
  <c r="AS40" i="13" s="1"/>
  <c r="AS41" i="13" s="1"/>
  <c r="AS42" i="13" s="1"/>
  <c r="AS43" i="13" s="1"/>
  <c r="AS44" i="13" s="1"/>
  <c r="AS45" i="13" s="1"/>
  <c r="AS46" i="13" s="1"/>
  <c r="AS47" i="13" s="1"/>
  <c r="AS48" i="13" s="1"/>
  <c r="AS49" i="13" s="1"/>
  <c r="AS50" i="13" s="1"/>
  <c r="AS51" i="13" s="1"/>
  <c r="AS52" i="13" s="1"/>
  <c r="AS53" i="13" s="1"/>
  <c r="N162" i="13" s="1"/>
  <c r="Q163" i="13"/>
  <c r="Q164" i="13"/>
  <c r="AS39" i="15"/>
  <c r="AS40" i="15" s="1"/>
  <c r="AS41" i="15" s="1"/>
  <c r="AS42" i="15" s="1"/>
  <c r="AS43" i="15" s="1"/>
  <c r="AS44" i="15" s="1"/>
  <c r="AS45" i="15" s="1"/>
  <c r="AS46" i="15" s="1"/>
  <c r="AS47" i="15" s="1"/>
  <c r="AS48" i="15" s="1"/>
  <c r="AS49" i="15" s="1"/>
  <c r="AS50" i="15" s="1"/>
  <c r="AS51" i="15" s="1"/>
  <c r="AS52" i="15" s="1"/>
  <c r="AS53" i="15" s="1"/>
  <c r="N162" i="15" s="1"/>
  <c r="O163" i="15"/>
  <c r="O164" i="15"/>
  <c r="P163" i="15"/>
  <c r="P164" i="15"/>
  <c r="Q163" i="15"/>
  <c r="Q164" i="15"/>
  <c r="O163" i="13"/>
  <c r="O164" i="13"/>
  <c r="AS39" i="14"/>
  <c r="AS40" i="14" s="1"/>
  <c r="AS41" i="14" s="1"/>
  <c r="AS42" i="14" s="1"/>
  <c r="AS43" i="14" s="1"/>
  <c r="AS44" i="14" s="1"/>
  <c r="AS45" i="14" s="1"/>
  <c r="AS46" i="14" s="1"/>
  <c r="AS47" i="14" s="1"/>
  <c r="AS48" i="14" s="1"/>
  <c r="AS49" i="14" s="1"/>
  <c r="AS50" i="14" s="1"/>
  <c r="AS51" i="14" s="1"/>
  <c r="AS52" i="14" s="1"/>
  <c r="AS53" i="14" s="1"/>
  <c r="N162" i="14" s="1"/>
  <c r="O163" i="16"/>
  <c r="O164" i="16"/>
  <c r="E42" i="12" s="1"/>
  <c r="M8" i="11"/>
  <c r="N163" i="16"/>
  <c r="N164" i="16"/>
  <c r="G42" i="12" s="1"/>
  <c r="P163" i="13"/>
  <c r="P164" i="13"/>
  <c r="Q163" i="14"/>
  <c r="Q164" i="14"/>
  <c r="J164" i="16"/>
  <c r="E41" i="12" s="1"/>
  <c r="L10" i="11"/>
  <c r="H164" i="13"/>
  <c r="H164" i="14"/>
  <c r="J165" i="15"/>
  <c r="J167" i="15" s="1"/>
  <c r="H164" i="15"/>
  <c r="J164" i="15"/>
  <c r="L11" i="11"/>
  <c r="L13" i="11" s="1"/>
  <c r="I163" i="15"/>
  <c r="I164" i="15"/>
  <c r="H164" i="16"/>
  <c r="F41" i="12" s="1"/>
  <c r="K165" i="14"/>
  <c r="K167" i="14" s="1"/>
  <c r="Y70" i="2"/>
  <c r="U28" i="8" s="1"/>
  <c r="AF70" i="2"/>
  <c r="W28" i="8" s="1"/>
  <c r="W27" i="8"/>
  <c r="W26" i="8" s="1"/>
  <c r="P13" i="9"/>
  <c r="P14" i="9" s="1"/>
  <c r="P15" i="9" s="1"/>
  <c r="P16" i="9" s="1"/>
  <c r="P17" i="9" s="1"/>
  <c r="P18" i="9" s="1"/>
  <c r="P19" i="9" s="1"/>
  <c r="P20" i="9" s="1"/>
  <c r="P21" i="9" s="1"/>
  <c r="P22" i="9" s="1"/>
  <c r="P23" i="9" s="1"/>
  <c r="P24" i="9" s="1"/>
  <c r="P25" i="9" s="1"/>
  <c r="P26" i="9" s="1"/>
  <c r="P27" i="9" s="1"/>
  <c r="P28" i="9" s="1"/>
  <c r="D6" i="11" s="1"/>
  <c r="P39" i="9"/>
  <c r="P40" i="9" s="1"/>
  <c r="P41" i="9" s="1"/>
  <c r="P42" i="9" s="1"/>
  <c r="P43" i="9" s="1"/>
  <c r="P44" i="9" s="1"/>
  <c r="P45" i="9" s="1"/>
  <c r="P46" i="9" s="1"/>
  <c r="P47" i="9" s="1"/>
  <c r="P48" i="9" s="1"/>
  <c r="P49" i="9" s="1"/>
  <c r="P50" i="9" s="1"/>
  <c r="P51" i="9" s="1"/>
  <c r="P52" i="9" s="1"/>
  <c r="P53" i="9" s="1"/>
  <c r="P54" i="9" s="1"/>
  <c r="E6" i="11" s="1"/>
  <c r="P65" i="9"/>
  <c r="P66" i="9" s="1"/>
  <c r="P67" i="9" s="1"/>
  <c r="P68" i="9" s="1"/>
  <c r="P69" i="9" s="1"/>
  <c r="P70" i="9" s="1"/>
  <c r="P71" i="9" s="1"/>
  <c r="P72" i="9" s="1"/>
  <c r="P73" i="9" s="1"/>
  <c r="P74" i="9" s="1"/>
  <c r="P75" i="9" s="1"/>
  <c r="P76" i="9" s="1"/>
  <c r="P77" i="9" s="1"/>
  <c r="P78" i="9" s="1"/>
  <c r="P79" i="9" s="1"/>
  <c r="P80" i="9" s="1"/>
  <c r="F6" i="11" s="1"/>
  <c r="P91" i="9"/>
  <c r="P92" i="9" s="1"/>
  <c r="P93" i="9" s="1"/>
  <c r="P94" i="9" s="1"/>
  <c r="P95" i="9" s="1"/>
  <c r="P96" i="9" s="1"/>
  <c r="P97" i="9" s="1"/>
  <c r="P98" i="9" s="1"/>
  <c r="P99" i="9" s="1"/>
  <c r="P100" i="9" s="1"/>
  <c r="P101" i="9" s="1"/>
  <c r="P102" i="9" s="1"/>
  <c r="P103" i="9" s="1"/>
  <c r="P104" i="9" s="1"/>
  <c r="P105" i="9" s="1"/>
  <c r="P106" i="9" s="1"/>
  <c r="G6" i="11" s="1"/>
  <c r="P117" i="9"/>
  <c r="P118" i="9" s="1"/>
  <c r="P119" i="9" s="1"/>
  <c r="P120" i="9" s="1"/>
  <c r="P121" i="9" s="1"/>
  <c r="P122" i="9" s="1"/>
  <c r="P123" i="9" s="1"/>
  <c r="P124" i="9" s="1"/>
  <c r="P125" i="9" s="1"/>
  <c r="P126" i="9" s="1"/>
  <c r="P127" i="9" s="1"/>
  <c r="P128" i="9" s="1"/>
  <c r="P129" i="9" s="1"/>
  <c r="P130" i="9" s="1"/>
  <c r="P131" i="9" s="1"/>
  <c r="P132" i="9" s="1"/>
  <c r="H6" i="11" s="1"/>
  <c r="Q13" i="9"/>
  <c r="Q14" i="9" s="1"/>
  <c r="Q15" i="9" s="1"/>
  <c r="Q16" i="9" s="1"/>
  <c r="Q17" i="9" s="1"/>
  <c r="Q18" i="9" s="1"/>
  <c r="Q19" i="9" s="1"/>
  <c r="Q20" i="9" s="1"/>
  <c r="Q21" i="9" s="1"/>
  <c r="Q22" i="9" s="1"/>
  <c r="Q23" i="9" s="1"/>
  <c r="Q24" i="9" s="1"/>
  <c r="Q25" i="9" s="1"/>
  <c r="Q26" i="9" s="1"/>
  <c r="Q27" i="9" s="1"/>
  <c r="Q28" i="9" s="1"/>
  <c r="D7" i="11" s="1"/>
  <c r="Q39" i="9"/>
  <c r="Q40" i="9" s="1"/>
  <c r="Q41" i="9" s="1"/>
  <c r="Q42" i="9" s="1"/>
  <c r="Q43" i="9" s="1"/>
  <c r="Q44" i="9" s="1"/>
  <c r="Q45" i="9" s="1"/>
  <c r="Q46" i="9" s="1"/>
  <c r="Q47" i="9" s="1"/>
  <c r="Q48" i="9" s="1"/>
  <c r="Q49" i="9" s="1"/>
  <c r="Q50" i="9" s="1"/>
  <c r="Q51" i="9" s="1"/>
  <c r="Q52" i="9" s="1"/>
  <c r="Q53" i="9" s="1"/>
  <c r="Q54" i="9" s="1"/>
  <c r="E7" i="11" s="1"/>
  <c r="Q65" i="9"/>
  <c r="Q66" i="9" s="1"/>
  <c r="Q67" i="9" s="1"/>
  <c r="Q68" i="9" s="1"/>
  <c r="Q69" i="9" s="1"/>
  <c r="Q70" i="9" s="1"/>
  <c r="Q71" i="9" s="1"/>
  <c r="Q72" i="9" s="1"/>
  <c r="Q73" i="9" s="1"/>
  <c r="Q74" i="9" s="1"/>
  <c r="Q75" i="9" s="1"/>
  <c r="Q76" i="9" s="1"/>
  <c r="Q77" i="9" s="1"/>
  <c r="Q78" i="9" s="1"/>
  <c r="Q79" i="9" s="1"/>
  <c r="Q80" i="9" s="1"/>
  <c r="F7" i="11" s="1"/>
  <c r="Q91" i="9"/>
  <c r="Q92" i="9" s="1"/>
  <c r="Q93" i="9" s="1"/>
  <c r="Q94" i="9" s="1"/>
  <c r="Q95" i="9" s="1"/>
  <c r="Q96" i="9" s="1"/>
  <c r="Q97" i="9" s="1"/>
  <c r="Q98" i="9" s="1"/>
  <c r="Q99" i="9" s="1"/>
  <c r="Q100" i="9" s="1"/>
  <c r="Q101" i="9" s="1"/>
  <c r="Q102" i="9" s="1"/>
  <c r="Q103" i="9" s="1"/>
  <c r="Q104" i="9" s="1"/>
  <c r="Q105" i="9" s="1"/>
  <c r="Q106" i="9" s="1"/>
  <c r="G7" i="11" s="1"/>
  <c r="Q117" i="9"/>
  <c r="Q118" i="9" s="1"/>
  <c r="Q119" i="9" s="1"/>
  <c r="Q120" i="9" s="1"/>
  <c r="Q121" i="9" s="1"/>
  <c r="Q122" i="9" s="1"/>
  <c r="Q123" i="9" s="1"/>
  <c r="Q124" i="9" s="1"/>
  <c r="Q125" i="9" s="1"/>
  <c r="Q126" i="9" s="1"/>
  <c r="Q127" i="9" s="1"/>
  <c r="Q128" i="9" s="1"/>
  <c r="Q129" i="9" s="1"/>
  <c r="Q130" i="9" s="1"/>
  <c r="Q131" i="9" s="1"/>
  <c r="Q132" i="9" s="1"/>
  <c r="H7" i="11" s="1"/>
  <c r="R13" i="9"/>
  <c r="R14" i="9" s="1"/>
  <c r="R15" i="9" s="1"/>
  <c r="R16" i="9" s="1"/>
  <c r="R17" i="9" s="1"/>
  <c r="R18" i="9" s="1"/>
  <c r="R19" i="9" s="1"/>
  <c r="R20" i="9" s="1"/>
  <c r="R21" i="9" s="1"/>
  <c r="R22" i="9" s="1"/>
  <c r="R23" i="9" s="1"/>
  <c r="R24" i="9" s="1"/>
  <c r="R25" i="9" s="1"/>
  <c r="R26" i="9" s="1"/>
  <c r="R27" i="9" s="1"/>
  <c r="R28" i="9" s="1"/>
  <c r="D8" i="11" s="1"/>
  <c r="R39" i="9"/>
  <c r="R40" i="9" s="1"/>
  <c r="R41" i="9" s="1"/>
  <c r="R42" i="9" s="1"/>
  <c r="R43" i="9" s="1"/>
  <c r="R44" i="9" s="1"/>
  <c r="R45" i="9" s="1"/>
  <c r="R46" i="9" s="1"/>
  <c r="R47" i="9" s="1"/>
  <c r="R48" i="9" s="1"/>
  <c r="R49" i="9" s="1"/>
  <c r="R50" i="9" s="1"/>
  <c r="R51" i="9" s="1"/>
  <c r="R52" i="9" s="1"/>
  <c r="R53" i="9" s="1"/>
  <c r="R54" i="9" s="1"/>
  <c r="E8" i="11" s="1"/>
  <c r="R65" i="9"/>
  <c r="R66" i="9" s="1"/>
  <c r="R67" i="9" s="1"/>
  <c r="R68" i="9" s="1"/>
  <c r="R69" i="9" s="1"/>
  <c r="R70" i="9" s="1"/>
  <c r="R71" i="9" s="1"/>
  <c r="R72" i="9" s="1"/>
  <c r="R73" i="9" s="1"/>
  <c r="R74" i="9" s="1"/>
  <c r="R75" i="9" s="1"/>
  <c r="R76" i="9" s="1"/>
  <c r="R77" i="9" s="1"/>
  <c r="R78" i="9" s="1"/>
  <c r="R79" i="9" s="1"/>
  <c r="R80" i="9" s="1"/>
  <c r="F8" i="11" s="1"/>
  <c r="R91" i="9"/>
  <c r="R92" i="9" s="1"/>
  <c r="R93" i="9" s="1"/>
  <c r="R94" i="9" s="1"/>
  <c r="R95" i="9" s="1"/>
  <c r="R96" i="9" s="1"/>
  <c r="R97" i="9" s="1"/>
  <c r="R98" i="9" s="1"/>
  <c r="R99" i="9" s="1"/>
  <c r="R100" i="9" s="1"/>
  <c r="R101" i="9" s="1"/>
  <c r="R102" i="9" s="1"/>
  <c r="R103" i="9" s="1"/>
  <c r="R104" i="9" s="1"/>
  <c r="R105" i="9" s="1"/>
  <c r="R106" i="9" s="1"/>
  <c r="G8" i="11" s="1"/>
  <c r="S13" i="9"/>
  <c r="T13" i="9"/>
  <c r="S39" i="9"/>
  <c r="T39" i="9"/>
  <c r="T65" i="9"/>
  <c r="S65" i="9"/>
  <c r="L12" i="11" l="1"/>
  <c r="L14" i="11" s="1"/>
  <c r="I31" i="12"/>
  <c r="I41" i="12"/>
  <c r="P166" i="13"/>
  <c r="P168" i="13" s="1"/>
  <c r="H21" i="12"/>
  <c r="H166" i="14"/>
  <c r="H168" i="14" s="1"/>
  <c r="F27" i="12"/>
  <c r="I27" i="12" s="1"/>
  <c r="H166" i="15"/>
  <c r="H168" i="15" s="1"/>
  <c r="F34" i="12"/>
  <c r="H166" i="13"/>
  <c r="H168" i="13" s="1"/>
  <c r="F20" i="12"/>
  <c r="I20" i="12" s="1"/>
  <c r="O166" i="13"/>
  <c r="O168" i="13" s="1"/>
  <c r="E21" i="12"/>
  <c r="Q166" i="13"/>
  <c r="Q168" i="13" s="1"/>
  <c r="D21" i="12"/>
  <c r="J166" i="15"/>
  <c r="J168" i="15" s="1"/>
  <c r="E34" i="12"/>
  <c r="O166" i="15"/>
  <c r="O168" i="15" s="1"/>
  <c r="E35" i="12"/>
  <c r="Q166" i="15"/>
  <c r="Q168" i="15" s="1"/>
  <c r="D35" i="12"/>
  <c r="P166" i="15"/>
  <c r="P168" i="15" s="1"/>
  <c r="H35" i="12"/>
  <c r="I166" i="15"/>
  <c r="I168" i="15" s="1"/>
  <c r="G34" i="12"/>
  <c r="Q166" i="14"/>
  <c r="Q168" i="14" s="1"/>
  <c r="D28" i="12"/>
  <c r="P166" i="14"/>
  <c r="P168" i="14" s="1"/>
  <c r="H28" i="12"/>
  <c r="O166" i="14"/>
  <c r="O168" i="14" s="1"/>
  <c r="E28" i="12"/>
  <c r="AH42" i="10"/>
  <c r="E83" i="22"/>
  <c r="AI67" i="10"/>
  <c r="L82" i="22"/>
  <c r="AI92" i="10"/>
  <c r="M81" i="22"/>
  <c r="T7" i="23" s="1"/>
  <c r="AH67" i="10"/>
  <c r="F82" i="22"/>
  <c r="AI43" i="10"/>
  <c r="K84" i="22"/>
  <c r="J83" i="22"/>
  <c r="D83" i="22"/>
  <c r="AH92" i="10"/>
  <c r="G81" i="22"/>
  <c r="S7" i="23" s="1"/>
  <c r="T66" i="9"/>
  <c r="M53" i="18"/>
  <c r="T40" i="9"/>
  <c r="L53" i="18"/>
  <c r="T14" i="9"/>
  <c r="K53" i="18"/>
  <c r="S7" i="17" s="1"/>
  <c r="S66" i="9"/>
  <c r="F53" i="18"/>
  <c r="S14" i="9"/>
  <c r="D53" i="18"/>
  <c r="R7" i="17" s="1"/>
  <c r="S40" i="9"/>
  <c r="E53" i="18"/>
  <c r="M163" i="16"/>
  <c r="M164" i="16"/>
  <c r="F42" i="12" s="1"/>
  <c r="P165" i="14"/>
  <c r="P167" i="14" s="1"/>
  <c r="M163" i="14"/>
  <c r="M165" i="14" s="1"/>
  <c r="M167" i="14" s="1"/>
  <c r="M164" i="14"/>
  <c r="O165" i="13"/>
  <c r="O167" i="13" s="1"/>
  <c r="N163" i="15"/>
  <c r="N164" i="15"/>
  <c r="O165" i="14"/>
  <c r="O167" i="14" s="1"/>
  <c r="Q165" i="14"/>
  <c r="Q167" i="14" s="1"/>
  <c r="M163" i="15"/>
  <c r="M165" i="15" s="1"/>
  <c r="M167" i="15" s="1"/>
  <c r="M164" i="15"/>
  <c r="M9" i="11"/>
  <c r="M10" i="11"/>
  <c r="Q165" i="15"/>
  <c r="Q167" i="15" s="1"/>
  <c r="Q165" i="13"/>
  <c r="Q167" i="13" s="1"/>
  <c r="O165" i="15"/>
  <c r="O167" i="15" s="1"/>
  <c r="N163" i="14"/>
  <c r="N164" i="14"/>
  <c r="M163" i="13"/>
  <c r="M165" i="13" s="1"/>
  <c r="M167" i="13" s="1"/>
  <c r="M164" i="13"/>
  <c r="P165" i="13"/>
  <c r="P167" i="13" s="1"/>
  <c r="P165" i="15"/>
  <c r="P167" i="15" s="1"/>
  <c r="N163" i="13"/>
  <c r="N164" i="13"/>
  <c r="I165" i="15"/>
  <c r="I167" i="15" s="1"/>
  <c r="H9" i="11"/>
  <c r="H11" i="11" s="1"/>
  <c r="H13" i="11" s="1"/>
  <c r="H10" i="11"/>
  <c r="H12" i="11" s="1"/>
  <c r="H14" i="11" s="1"/>
  <c r="F9" i="11"/>
  <c r="F11" i="11" s="1"/>
  <c r="F13" i="11" s="1"/>
  <c r="F10" i="11"/>
  <c r="F12" i="11" s="1"/>
  <c r="F14" i="11" s="1"/>
  <c r="E10" i="11"/>
  <c r="E12" i="11" s="1"/>
  <c r="E14" i="11" s="1"/>
  <c r="E9" i="11"/>
  <c r="E11" i="11" s="1"/>
  <c r="E13" i="11" s="1"/>
  <c r="G10" i="11"/>
  <c r="G12" i="11" s="1"/>
  <c r="G14" i="11" s="1"/>
  <c r="G9" i="11"/>
  <c r="G11" i="11" s="1"/>
  <c r="G13" i="11" s="1"/>
  <c r="D9" i="11"/>
  <c r="D11" i="11" s="1"/>
  <c r="D13" i="11" s="1"/>
  <c r="D10" i="11"/>
  <c r="D12" i="11" s="1"/>
  <c r="D14" i="11" s="1"/>
  <c r="S91" i="9"/>
  <c r="T91" i="9"/>
  <c r="S117" i="9"/>
  <c r="T117" i="9"/>
  <c r="M12" i="11" l="1"/>
  <c r="M14" i="11" s="1"/>
  <c r="I34" i="12"/>
  <c r="M166" i="15"/>
  <c r="M168" i="15" s="1"/>
  <c r="F35" i="12"/>
  <c r="M166" i="13"/>
  <c r="M168" i="13" s="1"/>
  <c r="F21" i="12"/>
  <c r="N166" i="13"/>
  <c r="N168" i="13" s="1"/>
  <c r="G21" i="12"/>
  <c r="M166" i="14"/>
  <c r="M168" i="14" s="1"/>
  <c r="F28" i="12"/>
  <c r="N166" i="15"/>
  <c r="N168" i="15" s="1"/>
  <c r="G35" i="12"/>
  <c r="N166" i="14"/>
  <c r="N168" i="14" s="1"/>
  <c r="G28" i="12"/>
  <c r="AI93" i="10"/>
  <c r="M82" i="22"/>
  <c r="T8" i="23" s="1"/>
  <c r="AI44" i="10"/>
  <c r="K85" i="22"/>
  <c r="AI68" i="10"/>
  <c r="L83" i="22"/>
  <c r="AH93" i="10"/>
  <c r="G82" i="22"/>
  <c r="S8" i="23" s="1"/>
  <c r="AH68" i="10"/>
  <c r="F83" i="22"/>
  <c r="AH43" i="10"/>
  <c r="E84" i="22"/>
  <c r="O53" i="18"/>
  <c r="S41" i="9"/>
  <c r="E54" i="18"/>
  <c r="T41" i="9"/>
  <c r="L54" i="18"/>
  <c r="S118" i="9"/>
  <c r="H53" i="18"/>
  <c r="S67" i="9"/>
  <c r="F54" i="18"/>
  <c r="T92" i="9"/>
  <c r="N53" i="18"/>
  <c r="S92" i="9"/>
  <c r="G53" i="18"/>
  <c r="T15" i="9"/>
  <c r="K54" i="18"/>
  <c r="S8" i="17" s="1"/>
  <c r="S15" i="9"/>
  <c r="D54" i="18"/>
  <c r="R8" i="17" s="1"/>
  <c r="T67" i="9"/>
  <c r="M54" i="18"/>
  <c r="N165" i="13"/>
  <c r="N167" i="13" s="1"/>
  <c r="N165" i="14"/>
  <c r="N167" i="14" s="1"/>
  <c r="M11" i="11"/>
  <c r="M13" i="11" s="1"/>
  <c r="I42" i="12"/>
  <c r="N165" i="15"/>
  <c r="N167" i="15" s="1"/>
  <c r="T118" i="9"/>
  <c r="Q143" i="9"/>
  <c r="Q144" i="9" s="1"/>
  <c r="Q145" i="9" s="1"/>
  <c r="Q146" i="9" s="1"/>
  <c r="Q147" i="9" s="1"/>
  <c r="Q148" i="9" s="1"/>
  <c r="Q149" i="9" s="1"/>
  <c r="Q150" i="9" s="1"/>
  <c r="Q151" i="9" s="1"/>
  <c r="Q152" i="9" s="1"/>
  <c r="Q153" i="9" s="1"/>
  <c r="Q154" i="9" s="1"/>
  <c r="Q155" i="9" s="1"/>
  <c r="Q156" i="9" s="1"/>
  <c r="Q157" i="9" s="1"/>
  <c r="Q158" i="9" s="1"/>
  <c r="I6" i="11" s="1"/>
  <c r="R143" i="9"/>
  <c r="R144" i="9" s="1"/>
  <c r="R145" i="9" s="1"/>
  <c r="R146" i="9" s="1"/>
  <c r="R147" i="9" s="1"/>
  <c r="R148" i="9" s="1"/>
  <c r="R149" i="9" s="1"/>
  <c r="R150" i="9" s="1"/>
  <c r="R151" i="9" s="1"/>
  <c r="R152" i="9" s="1"/>
  <c r="R153" i="9" s="1"/>
  <c r="R154" i="9" s="1"/>
  <c r="R155" i="9" s="1"/>
  <c r="R156" i="9" s="1"/>
  <c r="R157" i="9" s="1"/>
  <c r="R158" i="9" s="1"/>
  <c r="I7" i="11" s="1"/>
  <c r="S143" i="9"/>
  <c r="S144" i="9" s="1"/>
  <c r="S145" i="9" s="1"/>
  <c r="S146" i="9" s="1"/>
  <c r="S147" i="9" s="1"/>
  <c r="S148" i="9" s="1"/>
  <c r="S149" i="9" s="1"/>
  <c r="S150" i="9" s="1"/>
  <c r="S151" i="9" s="1"/>
  <c r="S152" i="9" s="1"/>
  <c r="S153" i="9" s="1"/>
  <c r="S154" i="9" s="1"/>
  <c r="S155" i="9" s="1"/>
  <c r="S156" i="9" s="1"/>
  <c r="S157" i="9" s="1"/>
  <c r="S158" i="9" s="1"/>
  <c r="I8" i="11" s="1"/>
  <c r="T143" i="9"/>
  <c r="T144" i="9" s="1"/>
  <c r="T145" i="9" s="1"/>
  <c r="T146" i="9" s="1"/>
  <c r="T147" i="9" s="1"/>
  <c r="T148" i="9" s="1"/>
  <c r="T149" i="9" s="1"/>
  <c r="T150" i="9" s="1"/>
  <c r="T151" i="9" s="1"/>
  <c r="T152" i="9" s="1"/>
  <c r="T153" i="9" s="1"/>
  <c r="T154" i="9" s="1"/>
  <c r="T155" i="9" s="1"/>
  <c r="T156" i="9" s="1"/>
  <c r="T157" i="9" s="1"/>
  <c r="T158" i="9" s="1"/>
  <c r="U143" i="9"/>
  <c r="U144" i="9" s="1"/>
  <c r="U145" i="9" s="1"/>
  <c r="U146" i="9" s="1"/>
  <c r="U147" i="9" s="1"/>
  <c r="U148" i="9" s="1"/>
  <c r="U149" i="9" s="1"/>
  <c r="U150" i="9" s="1"/>
  <c r="U151" i="9" s="1"/>
  <c r="U152" i="9" s="1"/>
  <c r="U153" i="9" s="1"/>
  <c r="U154" i="9" s="1"/>
  <c r="U155" i="9" s="1"/>
  <c r="U156" i="9" s="1"/>
  <c r="U157" i="9" s="1"/>
  <c r="U158" i="9" s="1"/>
  <c r="AI45" i="10" l="1"/>
  <c r="K86" i="22"/>
  <c r="AH94" i="10"/>
  <c r="G83" i="22"/>
  <c r="S9" i="23" s="1"/>
  <c r="AI69" i="10"/>
  <c r="L84" i="22"/>
  <c r="AI94" i="10"/>
  <c r="M83" i="22"/>
  <c r="T9" i="23" s="1"/>
  <c r="AH69" i="10"/>
  <c r="F84" i="22"/>
  <c r="AH44" i="10"/>
  <c r="E85" i="22"/>
  <c r="I21" i="12"/>
  <c r="I35" i="12"/>
  <c r="S68" i="9"/>
  <c r="F55" i="18"/>
  <c r="S119" i="9"/>
  <c r="H54" i="18"/>
  <c r="S16" i="9"/>
  <c r="D55" i="18"/>
  <c r="R9" i="17" s="1"/>
  <c r="S93" i="9"/>
  <c r="G54" i="18"/>
  <c r="T42" i="9"/>
  <c r="L55" i="18"/>
  <c r="T119" i="9"/>
  <c r="O54" i="18"/>
  <c r="T16" i="9"/>
  <c r="K55" i="18"/>
  <c r="S9" i="17" s="1"/>
  <c r="T68" i="9"/>
  <c r="M55" i="18"/>
  <c r="T93" i="9"/>
  <c r="N54" i="18"/>
  <c r="S42" i="9"/>
  <c r="E55" i="18"/>
  <c r="I28" i="12"/>
  <c r="I10" i="11"/>
  <c r="I9" i="11"/>
  <c r="I11" i="11" s="1"/>
  <c r="I13" i="11" s="1"/>
  <c r="I12" i="11" l="1"/>
  <c r="I14" i="11" s="1"/>
  <c r="J33" i="12"/>
  <c r="J28" i="12"/>
  <c r="J31" i="12"/>
  <c r="J21" i="12"/>
  <c r="J34" i="12"/>
  <c r="J20" i="12"/>
  <c r="J35" i="12"/>
  <c r="J24" i="12"/>
  <c r="J22" i="12"/>
  <c r="J27" i="12"/>
  <c r="J19" i="12"/>
  <c r="J25" i="12"/>
  <c r="J29" i="12"/>
  <c r="J40" i="12"/>
  <c r="J18" i="12"/>
  <c r="J36" i="12"/>
  <c r="J17" i="12"/>
  <c r="J32" i="12"/>
  <c r="J26" i="12"/>
  <c r="J38" i="12"/>
  <c r="J39" i="12"/>
  <c r="J42" i="12"/>
  <c r="J43" i="12"/>
  <c r="AI70" i="10"/>
  <c r="L85" i="22"/>
  <c r="AH45" i="10"/>
  <c r="E86" i="22"/>
  <c r="AH95" i="10"/>
  <c r="G84" i="22"/>
  <c r="S10" i="23" s="1"/>
  <c r="AH70" i="10"/>
  <c r="F85" i="22"/>
  <c r="AI46" i="10"/>
  <c r="K87" i="22"/>
  <c r="AI95" i="10"/>
  <c r="M84" i="22"/>
  <c r="T10" i="23" s="1"/>
  <c r="T69" i="9"/>
  <c r="M56" i="18"/>
  <c r="S17" i="9"/>
  <c r="D56" i="18"/>
  <c r="R10" i="17" s="1"/>
  <c r="S43" i="9"/>
  <c r="E56" i="18"/>
  <c r="T120" i="9"/>
  <c r="O55" i="18"/>
  <c r="S120" i="9"/>
  <c r="H55" i="18"/>
  <c r="S94" i="9"/>
  <c r="G55" i="18"/>
  <c r="T17" i="9"/>
  <c r="K56" i="18"/>
  <c r="S10" i="17" s="1"/>
  <c r="T94" i="9"/>
  <c r="N55" i="18"/>
  <c r="T43" i="9"/>
  <c r="L56" i="18"/>
  <c r="S69" i="9"/>
  <c r="F56" i="18"/>
  <c r="J41" i="12"/>
  <c r="AI96" i="10" l="1"/>
  <c r="M85" i="22"/>
  <c r="T11" i="23" s="1"/>
  <c r="AI47" i="10"/>
  <c r="K88" i="22"/>
  <c r="AI71" i="10"/>
  <c r="L86" i="22"/>
  <c r="AH96" i="10"/>
  <c r="G85" i="22"/>
  <c r="S11" i="23" s="1"/>
  <c r="AH46" i="10"/>
  <c r="E87" i="22"/>
  <c r="AH71" i="10"/>
  <c r="F86" i="22"/>
  <c r="S18" i="9"/>
  <c r="D57" i="18"/>
  <c r="R11" i="17" s="1"/>
  <c r="T95" i="9"/>
  <c r="N56" i="18"/>
  <c r="S44" i="9"/>
  <c r="E57" i="18"/>
  <c r="S95" i="9"/>
  <c r="G56" i="18"/>
  <c r="T121" i="9"/>
  <c r="O56" i="18"/>
  <c r="T18" i="9"/>
  <c r="K57" i="18"/>
  <c r="S11" i="17" s="1"/>
  <c r="S70" i="9"/>
  <c r="F57" i="18"/>
  <c r="T44" i="9"/>
  <c r="L57" i="18"/>
  <c r="S121" i="9"/>
  <c r="H56" i="18"/>
  <c r="T70" i="9"/>
  <c r="M57" i="18"/>
  <c r="AH72" i="10" l="1"/>
  <c r="F87" i="22"/>
  <c r="AI72" i="10"/>
  <c r="L87" i="22"/>
  <c r="AI48" i="10"/>
  <c r="K89" i="22"/>
  <c r="AH47" i="10"/>
  <c r="E88" i="22"/>
  <c r="AH97" i="10"/>
  <c r="G86" i="22"/>
  <c r="S12" i="23" s="1"/>
  <c r="AI97" i="10"/>
  <c r="M86" i="22"/>
  <c r="T12" i="23" s="1"/>
  <c r="S96" i="9"/>
  <c r="G57" i="18"/>
  <c r="S71" i="9"/>
  <c r="F58" i="18"/>
  <c r="T96" i="9"/>
  <c r="N57" i="18"/>
  <c r="T45" i="9"/>
  <c r="L58" i="18"/>
  <c r="S45" i="9"/>
  <c r="E58" i="18"/>
  <c r="T19" i="9"/>
  <c r="K58" i="18"/>
  <c r="S12" i="17" s="1"/>
  <c r="T71" i="9"/>
  <c r="M58" i="18"/>
  <c r="S122" i="9"/>
  <c r="H57" i="18"/>
  <c r="T122" i="9"/>
  <c r="O57" i="18"/>
  <c r="S19" i="9"/>
  <c r="D58" i="18"/>
  <c r="R12" i="17" s="1"/>
  <c r="AH48" i="10" l="1"/>
  <c r="E89" i="22"/>
  <c r="AI73" i="10"/>
  <c r="L88" i="22"/>
  <c r="AH98" i="10"/>
  <c r="G87" i="22"/>
  <c r="S13" i="23" s="1"/>
  <c r="AH73" i="10"/>
  <c r="F88" i="22"/>
  <c r="AI98" i="10"/>
  <c r="M87" i="22"/>
  <c r="T13" i="23" s="1"/>
  <c r="AI49" i="10"/>
  <c r="K90" i="22"/>
  <c r="S123" i="9"/>
  <c r="H58" i="18"/>
  <c r="T46" i="9"/>
  <c r="L59" i="18"/>
  <c r="S20" i="9"/>
  <c r="D59" i="18"/>
  <c r="R13" i="17" s="1"/>
  <c r="T20" i="9"/>
  <c r="K59" i="18"/>
  <c r="S13" i="17" s="1"/>
  <c r="S72" i="9"/>
  <c r="F59" i="18"/>
  <c r="T72" i="9"/>
  <c r="M59" i="18"/>
  <c r="T97" i="9"/>
  <c r="N58" i="18"/>
  <c r="T123" i="9"/>
  <c r="O58" i="18"/>
  <c r="S46" i="9"/>
  <c r="E59" i="18"/>
  <c r="S97" i="9"/>
  <c r="G58" i="18"/>
  <c r="AI50" i="10" l="1"/>
  <c r="K91" i="22"/>
  <c r="AI99" i="10"/>
  <c r="M88" i="22"/>
  <c r="T14" i="23" s="1"/>
  <c r="AI74" i="10"/>
  <c r="L89" i="22"/>
  <c r="AH74" i="10"/>
  <c r="F89" i="22"/>
  <c r="AH99" i="10"/>
  <c r="G88" i="22"/>
  <c r="S14" i="23" s="1"/>
  <c r="AH49" i="10"/>
  <c r="E90" i="22"/>
  <c r="T124" i="9"/>
  <c r="O59" i="18"/>
  <c r="T21" i="9"/>
  <c r="K60" i="18"/>
  <c r="S14" i="17" s="1"/>
  <c r="T98" i="9"/>
  <c r="N59" i="18"/>
  <c r="S21" i="9"/>
  <c r="D60" i="18"/>
  <c r="R14" i="17" s="1"/>
  <c r="S98" i="9"/>
  <c r="G59" i="18"/>
  <c r="T47" i="9"/>
  <c r="L60" i="18"/>
  <c r="T73" i="9"/>
  <c r="M60" i="18"/>
  <c r="S47" i="9"/>
  <c r="E60" i="18"/>
  <c r="S73" i="9"/>
  <c r="F60" i="18"/>
  <c r="S124" i="9"/>
  <c r="H59" i="18"/>
  <c r="AH100" i="10" l="1"/>
  <c r="G89" i="22"/>
  <c r="S15" i="23" s="1"/>
  <c r="AI100" i="10"/>
  <c r="M89" i="22"/>
  <c r="T15" i="23" s="1"/>
  <c r="AH75" i="10"/>
  <c r="F90" i="22"/>
  <c r="AI75" i="10"/>
  <c r="L90" i="22"/>
  <c r="AH50" i="10"/>
  <c r="E91" i="22"/>
  <c r="AI51" i="10"/>
  <c r="K92" i="22"/>
  <c r="S48" i="9"/>
  <c r="E61" i="18"/>
  <c r="S22" i="9"/>
  <c r="D61" i="18"/>
  <c r="R15" i="17" s="1"/>
  <c r="T74" i="9"/>
  <c r="M61" i="18"/>
  <c r="S125" i="9"/>
  <c r="H60" i="18"/>
  <c r="T22" i="9"/>
  <c r="K61" i="18"/>
  <c r="S15" i="17" s="1"/>
  <c r="T99" i="9"/>
  <c r="N60" i="18"/>
  <c r="T48" i="9"/>
  <c r="L61" i="18"/>
  <c r="S74" i="9"/>
  <c r="F61" i="18"/>
  <c r="S99" i="9"/>
  <c r="G60" i="18"/>
  <c r="T125" i="9"/>
  <c r="O60" i="18"/>
  <c r="AH51" i="10" l="1"/>
  <c r="E92" i="22"/>
  <c r="AI76" i="10"/>
  <c r="L91" i="22"/>
  <c r="AI101" i="10"/>
  <c r="M90" i="22"/>
  <c r="T16" i="23" s="1"/>
  <c r="AH101" i="10"/>
  <c r="G90" i="22"/>
  <c r="S16" i="23" s="1"/>
  <c r="AI52" i="10"/>
  <c r="K93" i="22"/>
  <c r="AH76" i="10"/>
  <c r="F91" i="22"/>
  <c r="T75" i="9"/>
  <c r="M62" i="18"/>
  <c r="S23" i="9"/>
  <c r="D62" i="18"/>
  <c r="R16" i="17" s="1"/>
  <c r="S126" i="9"/>
  <c r="H61" i="18"/>
  <c r="T49" i="9"/>
  <c r="L62" i="18"/>
  <c r="S75" i="9"/>
  <c r="F62" i="18"/>
  <c r="T126" i="9"/>
  <c r="O61" i="18"/>
  <c r="T100" i="9"/>
  <c r="N61" i="18"/>
  <c r="S100" i="9"/>
  <c r="G61" i="18"/>
  <c r="T23" i="9"/>
  <c r="K62" i="18"/>
  <c r="S16" i="17" s="1"/>
  <c r="S49" i="9"/>
  <c r="E62" i="18"/>
  <c r="AI53" i="10" l="1"/>
  <c r="K94" i="22"/>
  <c r="AH102" i="10"/>
  <c r="G91" i="22"/>
  <c r="S17" i="23" s="1"/>
  <c r="AH52" i="10"/>
  <c r="E93" i="22"/>
  <c r="AH77" i="10"/>
  <c r="F92" i="22"/>
  <c r="AI77" i="10"/>
  <c r="L92" i="22"/>
  <c r="AI102" i="10"/>
  <c r="M91" i="22"/>
  <c r="T17" i="23" s="1"/>
  <c r="T50" i="9"/>
  <c r="L63" i="18"/>
  <c r="T101" i="9"/>
  <c r="N62" i="18"/>
  <c r="S24" i="9"/>
  <c r="D63" i="18"/>
  <c r="R17" i="17" s="1"/>
  <c r="S127" i="9"/>
  <c r="H62" i="18"/>
  <c r="S101" i="9"/>
  <c r="G62" i="18"/>
  <c r="S50" i="9"/>
  <c r="E63" i="18"/>
  <c r="T127" i="9"/>
  <c r="O62" i="18"/>
  <c r="T24" i="9"/>
  <c r="K63" i="18"/>
  <c r="S17" i="17" s="1"/>
  <c r="S76" i="9"/>
  <c r="F63" i="18"/>
  <c r="T76" i="9"/>
  <c r="M63" i="18"/>
  <c r="AH53" i="10" l="1"/>
  <c r="E94" i="22"/>
  <c r="AH103" i="10"/>
  <c r="G92" i="22"/>
  <c r="S18" i="23" s="1"/>
  <c r="AI78" i="10"/>
  <c r="L93" i="22"/>
  <c r="AI54" i="10"/>
  <c r="K96" i="22" s="1"/>
  <c r="K95" i="22"/>
  <c r="AI103" i="10"/>
  <c r="M92" i="22"/>
  <c r="T18" i="23" s="1"/>
  <c r="AH78" i="10"/>
  <c r="F93" i="22"/>
  <c r="T102" i="9"/>
  <c r="N63" i="18"/>
  <c r="T25" i="9"/>
  <c r="K64" i="18"/>
  <c r="S18" i="17" s="1"/>
  <c r="S128" i="9"/>
  <c r="H63" i="18"/>
  <c r="S25" i="9"/>
  <c r="D64" i="18"/>
  <c r="R18" i="17" s="1"/>
  <c r="S51" i="9"/>
  <c r="E64" i="18"/>
  <c r="T128" i="9"/>
  <c r="O63" i="18"/>
  <c r="T77" i="9"/>
  <c r="M64" i="18"/>
  <c r="S77" i="9"/>
  <c r="F64" i="18"/>
  <c r="S102" i="9"/>
  <c r="G63" i="18"/>
  <c r="T51" i="9"/>
  <c r="L64" i="18"/>
  <c r="AI104" i="10" l="1"/>
  <c r="M93" i="22"/>
  <c r="T19" i="23" s="1"/>
  <c r="AH104" i="10"/>
  <c r="G93" i="22"/>
  <c r="S19" i="23" s="1"/>
  <c r="AH79" i="10"/>
  <c r="F94" i="22"/>
  <c r="AI79" i="10"/>
  <c r="L94" i="22"/>
  <c r="AH54" i="10"/>
  <c r="E96" i="22" s="1"/>
  <c r="E95" i="22"/>
  <c r="S26" i="9"/>
  <c r="D65" i="18"/>
  <c r="R19" i="17" s="1"/>
  <c r="T52" i="9"/>
  <c r="L65" i="18"/>
  <c r="T26" i="9"/>
  <c r="K65" i="18"/>
  <c r="S19" i="17" s="1"/>
  <c r="S78" i="9"/>
  <c r="F65" i="18"/>
  <c r="T78" i="9"/>
  <c r="M65" i="18"/>
  <c r="S129" i="9"/>
  <c r="H64" i="18"/>
  <c r="T129" i="9"/>
  <c r="O64" i="18"/>
  <c r="S103" i="9"/>
  <c r="G64" i="18"/>
  <c r="S52" i="9"/>
  <c r="E65" i="18"/>
  <c r="T103" i="9"/>
  <c r="N64" i="18"/>
  <c r="AH105" i="10" l="1"/>
  <c r="G94" i="22"/>
  <c r="S20" i="23" s="1"/>
  <c r="AH80" i="10"/>
  <c r="F96" i="22" s="1"/>
  <c r="F95" i="22"/>
  <c r="AI105" i="10"/>
  <c r="M94" i="22"/>
  <c r="T20" i="23" s="1"/>
  <c r="AI80" i="10"/>
  <c r="L96" i="22" s="1"/>
  <c r="L95" i="22"/>
  <c r="S104" i="9"/>
  <c r="G65" i="18"/>
  <c r="T27" i="9"/>
  <c r="K66" i="18"/>
  <c r="S20" i="17" s="1"/>
  <c r="T104" i="9"/>
  <c r="N65" i="18"/>
  <c r="T53" i="9"/>
  <c r="L66" i="18"/>
  <c r="S79" i="9"/>
  <c r="F66" i="18"/>
  <c r="T130" i="9"/>
  <c r="O65" i="18"/>
  <c r="S130" i="9"/>
  <c r="H65" i="18"/>
  <c r="S53" i="9"/>
  <c r="E66" i="18"/>
  <c r="T79" i="9"/>
  <c r="M66" i="18"/>
  <c r="S27" i="9"/>
  <c r="D66" i="18"/>
  <c r="R20" i="17" s="1"/>
  <c r="AI106" i="10" l="1"/>
  <c r="M96" i="22" s="1"/>
  <c r="T22" i="23" s="1"/>
  <c r="M95" i="22"/>
  <c r="T21" i="23" s="1"/>
  <c r="AH106" i="10"/>
  <c r="G96" i="22" s="1"/>
  <c r="S22" i="23" s="1"/>
  <c r="G95" i="22"/>
  <c r="S21" i="23" s="1"/>
  <c r="T54" i="9"/>
  <c r="L67" i="18"/>
  <c r="T105" i="9"/>
  <c r="N66" i="18"/>
  <c r="T28" i="9"/>
  <c r="K67" i="18"/>
  <c r="S21" i="17" s="1"/>
  <c r="S54" i="9"/>
  <c r="E67" i="18"/>
  <c r="S28" i="9"/>
  <c r="D67" i="18"/>
  <c r="R21" i="17" s="1"/>
  <c r="S131" i="9"/>
  <c r="H66" i="18"/>
  <c r="T131" i="9"/>
  <c r="O66" i="18"/>
  <c r="M67" i="18"/>
  <c r="T80" i="9"/>
  <c r="S80" i="9"/>
  <c r="F67" i="18"/>
  <c r="S105" i="9"/>
  <c r="G66" i="18"/>
  <c r="M68" i="18" l="1"/>
  <c r="E68" i="18"/>
  <c r="K68" i="18"/>
  <c r="S22" i="17" s="1"/>
  <c r="F68" i="18"/>
  <c r="D68" i="18"/>
  <c r="R22" i="17" s="1"/>
  <c r="L68" i="18"/>
  <c r="T132" i="9"/>
  <c r="O67" i="18"/>
  <c r="S106" i="9"/>
  <c r="G67" i="18"/>
  <c r="T106" i="9"/>
  <c r="N67" i="18"/>
  <c r="S132" i="9"/>
  <c r="H67" i="18"/>
  <c r="D30" i="17" l="1"/>
  <c r="E30" i="17" s="1"/>
  <c r="F30" i="17" s="1"/>
  <c r="D29" i="17"/>
  <c r="E29" i="17" s="1"/>
  <c r="F29" i="17" s="1"/>
  <c r="H68" i="18"/>
  <c r="G68" i="18"/>
  <c r="O68" i="18"/>
  <c r="N68" i="18"/>
  <c r="D30" i="23" l="1"/>
  <c r="E30" i="23" s="1"/>
  <c r="F30" i="23" s="1"/>
  <c r="D29" i="23"/>
  <c r="E29" i="23" s="1"/>
  <c r="F29" i="23" s="1"/>
  <c r="R10" i="23" l="1"/>
  <c r="R13" i="23"/>
  <c r="R16" i="23"/>
  <c r="R19" i="23"/>
  <c r="R22" i="23"/>
  <c r="J71" i="2"/>
  <c r="P29" i="8" s="1"/>
  <c r="P27" i="8" s="1"/>
  <c r="P22" i="8"/>
  <c r="D46" i="22" l="1"/>
  <c r="D40" i="22"/>
  <c r="W22" i="10"/>
  <c r="AB22" i="10" s="1"/>
  <c r="W28" i="10"/>
  <c r="AB28" i="10" s="1"/>
  <c r="D43" i="22"/>
  <c r="P24" i="8"/>
  <c r="W16" i="10"/>
  <c r="AB16" i="10" s="1"/>
  <c r="W25" i="10"/>
  <c r="AB25" i="10" s="1"/>
  <c r="W19" i="10"/>
  <c r="AB19" i="10" s="1"/>
  <c r="D52" i="22"/>
  <c r="D49" i="22"/>
  <c r="X22" i="10" l="1"/>
  <c r="D70" i="22" s="1"/>
  <c r="Y22" i="10"/>
  <c r="J70" i="22" s="1"/>
  <c r="Y28" i="10"/>
  <c r="J76" i="22" s="1"/>
  <c r="X28" i="10"/>
  <c r="D76" i="22" s="1"/>
  <c r="Y16" i="10"/>
  <c r="X16" i="10"/>
  <c r="AG16" i="10"/>
  <c r="AG17" i="10" s="1"/>
  <c r="AG18" i="10" s="1"/>
  <c r="Y19" i="10"/>
  <c r="J67" i="22" s="1"/>
  <c r="X19" i="10"/>
  <c r="D67" i="22" s="1"/>
  <c r="X25" i="10"/>
  <c r="D73" i="22" s="1"/>
  <c r="Y25" i="10"/>
  <c r="J73" i="22" s="1"/>
  <c r="AG19" i="10" l="1"/>
  <c r="AG20" i="10" s="1"/>
  <c r="AG21" i="10" s="1"/>
  <c r="AG22" i="10" s="1"/>
  <c r="AG23" i="10" s="1"/>
  <c r="AG24" i="10" s="1"/>
  <c r="AG25" i="10" s="1"/>
  <c r="AG26" i="10" s="1"/>
  <c r="AG27" i="10" s="1"/>
  <c r="AG28" i="10" s="1"/>
  <c r="J8" i="11" s="1"/>
  <c r="J9" i="11" s="1"/>
  <c r="J11" i="11" s="1"/>
  <c r="J13" i="11" s="1"/>
  <c r="J64" i="22"/>
  <c r="AI16" i="10"/>
  <c r="AH16" i="10"/>
  <c r="D64" i="22"/>
  <c r="J10" i="11" l="1"/>
  <c r="H15" i="11" s="1"/>
  <c r="J84" i="22"/>
  <c r="AI17" i="10"/>
  <c r="D84" i="22"/>
  <c r="AH17" i="10"/>
  <c r="E15" i="11" l="1"/>
  <c r="J12" i="11"/>
  <c r="J14" i="11" s="1"/>
  <c r="D15" i="11"/>
  <c r="M15" i="11"/>
  <c r="F15" i="11"/>
  <c r="J15" i="11"/>
  <c r="G15" i="11"/>
  <c r="K15" i="11"/>
  <c r="L15" i="11"/>
  <c r="I15" i="11"/>
  <c r="D85" i="22"/>
  <c r="AH18" i="10"/>
  <c r="J85" i="22"/>
  <c r="AI18" i="10"/>
  <c r="J86" i="22" l="1"/>
  <c r="AI19" i="10"/>
  <c r="D86" i="22"/>
  <c r="AH19" i="10"/>
  <c r="AH20" i="10" l="1"/>
  <c r="D87" i="22"/>
  <c r="J87" i="22"/>
  <c r="AI20" i="10"/>
  <c r="J88" i="22" l="1"/>
  <c r="AI21" i="10"/>
  <c r="D88" i="22"/>
  <c r="AH21" i="10"/>
  <c r="D89" i="22" l="1"/>
  <c r="AH22" i="10"/>
  <c r="AI22" i="10"/>
  <c r="J89" i="22"/>
  <c r="AI23" i="10" l="1"/>
  <c r="J90" i="22"/>
  <c r="D90" i="22"/>
  <c r="AH23" i="10"/>
  <c r="AH24" i="10" l="1"/>
  <c r="D91" i="22"/>
  <c r="AI24" i="10"/>
  <c r="J91" i="22"/>
  <c r="J92" i="22" l="1"/>
  <c r="AI25" i="10"/>
  <c r="AH25" i="10"/>
  <c r="D92" i="22"/>
  <c r="AH26" i="10" l="1"/>
  <c r="D93" i="22"/>
  <c r="AI26" i="10"/>
  <c r="J93" i="22"/>
  <c r="J94" i="22" l="1"/>
  <c r="AI27" i="10"/>
  <c r="AH27" i="10"/>
  <c r="D94" i="22"/>
  <c r="AI28" i="10" l="1"/>
  <c r="J96" i="22" s="1"/>
  <c r="J95" i="22"/>
  <c r="D95" i="22"/>
  <c r="AH28" i="10"/>
  <c r="D96" i="22" s="1"/>
</calcChain>
</file>

<file path=xl/comments1.xml><?xml version="1.0" encoding="utf-8"?>
<comments xmlns="http://schemas.openxmlformats.org/spreadsheetml/2006/main">
  <authors>
    <author>Cumplido-Marín, Laura</author>
  </authors>
  <commentList>
    <comment ref="C55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https://www.agricentre.basf.co.uk/en/Crop-Solutions/Crop-overview/Maize/economics-of-the-crop.html</t>
        </r>
      </text>
    </comment>
  </commentList>
</comments>
</file>

<file path=xl/comments2.xml><?xml version="1.0" encoding="utf-8"?>
<comments xmlns="http://schemas.openxmlformats.org/spreadsheetml/2006/main">
  <authors>
    <author>Cumplido-Marín, Laura</author>
  </authors>
  <commentList>
    <comment ref="D45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'Arable margins'</t>
        </r>
      </text>
    </comment>
    <comment ref="E45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'Arable margins'</t>
        </r>
      </text>
    </comment>
    <comment ref="F45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'Arable margins'</t>
        </r>
      </text>
    </comment>
    <comment ref="G45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'Arable margins'</t>
        </r>
      </text>
    </comment>
    <comment ref="H45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'Arable margins'</t>
        </r>
      </text>
    </comment>
  </commentList>
</comments>
</file>

<file path=xl/comments3.xml><?xml version="1.0" encoding="utf-8"?>
<comments xmlns="http://schemas.openxmlformats.org/spreadsheetml/2006/main">
  <authors>
    <author>Cumplido-Marín, Laura</author>
  </authors>
  <commentList>
    <comment ref="F65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Conisdering planting density of 14000 as advised in https://www.energiepflanzen.com/product/sida-im-4x4cm-presstopf/</t>
        </r>
      </text>
    </comment>
    <comment ref="D81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'Energy margins'</t>
        </r>
      </text>
    </comment>
    <comment ref="E81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'Energy margins'</t>
        </r>
      </text>
    </comment>
    <comment ref="F81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'Energy margins'</t>
        </r>
      </text>
    </comment>
    <comment ref="G81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'Energy margins'</t>
        </r>
      </text>
    </comment>
    <comment ref="D84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E84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F84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G84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G85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assumed same as forage maize (ABC, 2019)</t>
        </r>
      </text>
    </comment>
    <comment ref="F86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G86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D89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Energy margins</t>
        </r>
      </text>
    </comment>
    <comment ref="E89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energy margins</t>
        </r>
      </text>
    </comment>
    <comment ref="F89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energy margins</t>
        </r>
      </text>
    </comment>
    <comment ref="G89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energy margins</t>
        </r>
      </text>
    </comment>
    <comment ref="F91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G91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D93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E93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energy fixed costs</t>
        </r>
      </text>
    </comment>
  </commentList>
</comments>
</file>

<file path=xl/sharedStrings.xml><?xml version="1.0" encoding="utf-8"?>
<sst xmlns="http://schemas.openxmlformats.org/spreadsheetml/2006/main" count="8184" uniqueCount="688">
  <si>
    <t>Straw variable costs</t>
  </si>
  <si>
    <t>Production</t>
  </si>
  <si>
    <t>Main crop</t>
  </si>
  <si>
    <t>Straw</t>
  </si>
  <si>
    <t>Wheat</t>
  </si>
  <si>
    <t>OSR</t>
  </si>
  <si>
    <t>Sugar beet</t>
  </si>
  <si>
    <t>Prices</t>
  </si>
  <si>
    <t>Straw price</t>
  </si>
  <si>
    <t>Output</t>
  </si>
  <si>
    <t>Total</t>
  </si>
  <si>
    <t>Variable costs</t>
  </si>
  <si>
    <t xml:space="preserve">Sub-total </t>
  </si>
  <si>
    <t>Nitrogen price</t>
  </si>
  <si>
    <t>Nitrogen rate</t>
  </si>
  <si>
    <t>Phosphorus price</t>
  </si>
  <si>
    <t>Phosphorus rate</t>
  </si>
  <si>
    <t>Pottassium price</t>
  </si>
  <si>
    <t>Pottassium rate</t>
  </si>
  <si>
    <t>Straw units</t>
  </si>
  <si>
    <t>Fixed costs</t>
  </si>
  <si>
    <t>Main crop operations</t>
  </si>
  <si>
    <t>Straw operations costs</t>
  </si>
  <si>
    <t>Labour cost</t>
  </si>
  <si>
    <t>Labour input (grain)</t>
  </si>
  <si>
    <t>(hr)</t>
  </si>
  <si>
    <t>Labour input (straw)</t>
  </si>
  <si>
    <t>Net margins</t>
  </si>
  <si>
    <t>Breakdown of fixed costs (machinary and labour) for different farming operations (included above)</t>
  </si>
  <si>
    <t>Maize</t>
  </si>
  <si>
    <t>Cultivation</t>
  </si>
  <si>
    <t>Fertiliser</t>
  </si>
  <si>
    <t>Drilling</t>
  </si>
  <si>
    <t>Spraying</t>
  </si>
  <si>
    <t>Total fixed costs</t>
  </si>
  <si>
    <t>Total labour cost</t>
  </si>
  <si>
    <t>Total labour input</t>
  </si>
  <si>
    <t>Fixed cost w/out labour</t>
  </si>
  <si>
    <t>Labour rate</t>
  </si>
  <si>
    <t>Cultivations</t>
  </si>
  <si>
    <t>Multiplier</t>
  </si>
  <si>
    <t>Total cost</t>
  </si>
  <si>
    <t>Hours</t>
  </si>
  <si>
    <t>Cost</t>
  </si>
  <si>
    <t>Stubble raking</t>
  </si>
  <si>
    <t>Total cultivation costs</t>
  </si>
  <si>
    <t>Extra for variable rate application</t>
  </si>
  <si>
    <t>Liquid fertiliser</t>
  </si>
  <si>
    <t>Total fertiliser application costs</t>
  </si>
  <si>
    <t>Grass seed (broadcast)</t>
  </si>
  <si>
    <t>Maize precision drilling</t>
  </si>
  <si>
    <t>Sugar beet drilling</t>
  </si>
  <si>
    <t>De-stoning potato land</t>
  </si>
  <si>
    <t>Potato ridging</t>
  </si>
  <si>
    <t>Potato planting</t>
  </si>
  <si>
    <t>Total drilling costs</t>
  </si>
  <si>
    <t>Extra if less than 50 acres (20ha)</t>
  </si>
  <si>
    <t>Spraying (120-150 l/ha 36 boom)</t>
  </si>
  <si>
    <t>Spraying (based on 200 l/ha &amp; 24m boom)</t>
  </si>
  <si>
    <t>Weed wiping</t>
  </si>
  <si>
    <t>Total spraying costs</t>
  </si>
  <si>
    <t>Forage hasvesting only- first cut</t>
  </si>
  <si>
    <t>Combining cereals</t>
  </si>
  <si>
    <t>Crop drying (inc. intake and pre-cleaning) (per tonne)</t>
  </si>
  <si>
    <t>Grass topping</t>
  </si>
  <si>
    <t>Grass mowing</t>
  </si>
  <si>
    <t>Tedding</t>
  </si>
  <si>
    <t>Raking</t>
  </si>
  <si>
    <t>Grain storage (per tonne per month)</t>
  </si>
  <si>
    <t>Handling into store (per tonne)</t>
  </si>
  <si>
    <t>Handling out of store (per tonne)</t>
  </si>
  <si>
    <t>Schedule</t>
  </si>
  <si>
    <t>Start year</t>
  </si>
  <si>
    <t>Events</t>
  </si>
  <si>
    <t>Average annual summary</t>
  </si>
  <si>
    <t>Yield per harvest</t>
  </si>
  <si>
    <t>Woodchips</t>
  </si>
  <si>
    <t xml:space="preserve">Woodchips sub-total </t>
  </si>
  <si>
    <t>Planting subsidy</t>
  </si>
  <si>
    <t>Product output</t>
  </si>
  <si>
    <t>Establishment costs</t>
  </si>
  <si>
    <t>Cuttings/seedlings</t>
  </si>
  <si>
    <t>Planting Material sub-total</t>
  </si>
  <si>
    <t>Planting</t>
  </si>
  <si>
    <t>Cuttback at the end of the first year</t>
  </si>
  <si>
    <t>Total establishment costs</t>
  </si>
  <si>
    <t>Recurring costs</t>
  </si>
  <si>
    <t>Total recurring costs</t>
  </si>
  <si>
    <t>Total costs</t>
  </si>
  <si>
    <r>
      <t>(odt ha</t>
    </r>
    <r>
      <rPr>
        <vertAlign val="superscript"/>
        <sz val="8"/>
        <rFont val="Arial"/>
        <family val="2"/>
      </rPr>
      <t>-1</t>
    </r>
    <r>
      <rPr>
        <sz val="8"/>
        <rFont val="Arial"/>
        <family val="2"/>
      </rPr>
      <t>)</t>
    </r>
  </si>
  <si>
    <r>
      <t>(t ha</t>
    </r>
    <r>
      <rPr>
        <vertAlign val="superscript"/>
        <sz val="8"/>
        <rFont val="Arial"/>
        <family val="2"/>
      </rPr>
      <t>-1</t>
    </r>
    <r>
      <rPr>
        <sz val="8"/>
        <rFont val="Arial"/>
        <family val="2"/>
      </rPr>
      <t>)</t>
    </r>
  </si>
  <si>
    <r>
      <t>(kg ha</t>
    </r>
    <r>
      <rPr>
        <vertAlign val="superscript"/>
        <sz val="8"/>
        <rFont val="Arial"/>
        <family val="2"/>
      </rPr>
      <t>-1</t>
    </r>
    <r>
      <rPr>
        <sz val="8"/>
        <rFont val="Arial"/>
        <family val="2"/>
      </rPr>
      <t>)</t>
    </r>
  </si>
  <si>
    <t>SRC</t>
  </si>
  <si>
    <t>Miscanthus</t>
  </si>
  <si>
    <t>Sida</t>
  </si>
  <si>
    <t>Silphie</t>
  </si>
  <si>
    <t>Later barn work</t>
  </si>
  <si>
    <t>Drying</t>
  </si>
  <si>
    <t>Contract rate</t>
  </si>
  <si>
    <t>Farmer rate</t>
  </si>
  <si>
    <t>Deep ploughing (&gt; 30cm)</t>
  </si>
  <si>
    <t>Sub-soiling/Flat lifting</t>
  </si>
  <si>
    <t>Mole-ploughing - single leg</t>
  </si>
  <si>
    <t>Spring-time harrowing</t>
  </si>
  <si>
    <t>Pressing</t>
  </si>
  <si>
    <t>Rolling - flat (grassland)</t>
  </si>
  <si>
    <t>Cultivation (Rexus Twin / Culti-press etc)</t>
  </si>
  <si>
    <t>One-pass tillage train (Solo/Discordon etc)</t>
  </si>
  <si>
    <t>Rape drilling with flatlift/subsoiler</t>
  </si>
  <si>
    <t xml:space="preserve">Cereal drilling - conventional </t>
  </si>
  <si>
    <t>Cereal drilling - Combi-drilling</t>
  </si>
  <si>
    <t>Cereal drilling - Cultivator drill (Vaderstad)</t>
  </si>
  <si>
    <t>Direct drilling</t>
  </si>
  <si>
    <t>Carrot/parsnip/onion precision drilling</t>
  </si>
  <si>
    <t>Grass seeding with harrow (e.g. Opico)</t>
  </si>
  <si>
    <t>Cross drilling grass</t>
  </si>
  <si>
    <t>-</t>
  </si>
  <si>
    <t>Chain harrowing</t>
  </si>
  <si>
    <t>Maize drilling under plastic</t>
  </si>
  <si>
    <t>Ploughing - light land</t>
  </si>
  <si>
    <t>Ploughing - heavy land</t>
  </si>
  <si>
    <t>Ploughing - with furrow press</t>
  </si>
  <si>
    <t>Rotavating - grass</t>
  </si>
  <si>
    <t>Rotavating - ploughed land</t>
  </si>
  <si>
    <t>Discing - Deep</t>
  </si>
  <si>
    <t>Discing- Shallow</t>
  </si>
  <si>
    <t>Power harrowing - deep/on ploughing</t>
  </si>
  <si>
    <t>Power harrowing - shallow/seedbed prep</t>
  </si>
  <si>
    <t>Rolling - ring (seedbeds)</t>
  </si>
  <si>
    <t>Lime spreading (per tonne)</t>
  </si>
  <si>
    <t>Irrigation</t>
  </si>
  <si>
    <t>Irrigating (excl. Water costs) per inch</t>
  </si>
  <si>
    <t>Total Irrigation costs</t>
  </si>
  <si>
    <t>ATV spraying</t>
  </si>
  <si>
    <t>Slug-pelleting</t>
  </si>
  <si>
    <t>Avadex spraying</t>
  </si>
  <si>
    <t>Combining cereals - Extra for straw chopper on combine</t>
  </si>
  <si>
    <t>Combining cereals - Extra for seeding (Autocast)</t>
  </si>
  <si>
    <t>Combining cereals - Extra for yield mapping</t>
  </si>
  <si>
    <t>OSR harvesting - out of window</t>
  </si>
  <si>
    <t>OSR harvesting - direct combining</t>
  </si>
  <si>
    <t>Combining peas/beans</t>
  </si>
  <si>
    <t>Combining grain maize</t>
  </si>
  <si>
    <t>Swathing OSR</t>
  </si>
  <si>
    <t>Grain carting to barn (per hour)</t>
  </si>
  <si>
    <t>Fertilising</t>
  </si>
  <si>
    <t>Forage hasvesting only - other cuts</t>
  </si>
  <si>
    <t>Forage harvesting, cart (3 trailers) and clamping (1st cut)</t>
  </si>
  <si>
    <t>Whole crop forage harvesting, cart (3 trailers) and clamping</t>
  </si>
  <si>
    <t>Complete service - mow, rake, forage harvest, cart (3 trailers) and clamp</t>
  </si>
  <si>
    <t>Extra forage trailer (per hour)</t>
  </si>
  <si>
    <t>Flail topping margings (per hour)</t>
  </si>
  <si>
    <t>Forage box (per hour)</t>
  </si>
  <si>
    <t>Baling</t>
  </si>
  <si>
    <t>Baling (per bale) - 'small'</t>
  </si>
  <si>
    <t>Baling (per bale) - 80cm x 90cm</t>
  </si>
  <si>
    <t>Baling (per bale) - 120cm x 70cm</t>
  </si>
  <si>
    <t>Baling (per bale) - 120cm x 90cm</t>
  </si>
  <si>
    <t>Baling (per bale) - 120cm x 130cm</t>
  </si>
  <si>
    <t>Baling (per bale) - Round 120cm</t>
  </si>
  <si>
    <t>Baling (per bale) - Round 150cm</t>
  </si>
  <si>
    <t>Bale wrapping - Round 120cm (6 layers)</t>
  </si>
  <si>
    <t>Bale wrapping - Round 120cm (with 4 layers)</t>
  </si>
  <si>
    <t>Bale wrapping - Round 120cm (wthout plastic)</t>
  </si>
  <si>
    <t>Bale wrapping - Square 120cm x 70cm (6 layers)</t>
  </si>
  <si>
    <t>Bale wrapping - Square 120cm x 70cm (4 layers)</t>
  </si>
  <si>
    <t>Bale wrapping - Square 120cm x 70cm (without plastic)</t>
  </si>
  <si>
    <t>Bale chaser (per hour)</t>
  </si>
  <si>
    <t>Total baling costs</t>
  </si>
  <si>
    <t>Potato harvesting - harvesting only</t>
  </si>
  <si>
    <t>Potato harvesting - harvesting and carting</t>
  </si>
  <si>
    <t>Sugar beet harvesting - harvesting only</t>
  </si>
  <si>
    <t>Sugar beet harvesting - harvesting and carting</t>
  </si>
  <si>
    <t>Root crops irrigation (25 mm application / ha)</t>
  </si>
  <si>
    <t>FYM spreading - tractor and rear discharge (per hour)</t>
  </si>
  <si>
    <t>FYM spreading - tractor and side discharge spreader (per hour)</t>
  </si>
  <si>
    <t>Slurry spreader- tanker (per hour)</t>
  </si>
  <si>
    <t>Slurry spreader- umbilical (per hour)</t>
  </si>
  <si>
    <t>Slurry spreader- extra pump (per hour)</t>
  </si>
  <si>
    <t>Slurry inyection (per hour)</t>
  </si>
  <si>
    <t>Harvesting</t>
  </si>
  <si>
    <t>Total harvesting costs</t>
  </si>
  <si>
    <t>Forage maize harvesting incl carting (3 trailers) and clamping</t>
  </si>
  <si>
    <t>Grass and Forage management</t>
  </si>
  <si>
    <t>Total grass and forage management costs</t>
  </si>
  <si>
    <t>Drilling/planting</t>
  </si>
  <si>
    <t>General maintenance</t>
  </si>
  <si>
    <t>Quad bike (including man)</t>
  </si>
  <si>
    <t>Hedge cutting - flail (per hour)</t>
  </si>
  <si>
    <t>Hedge cutting - saw-blade (per hour)</t>
  </si>
  <si>
    <t>Hedge laying (per metre)</t>
  </si>
  <si>
    <t>Fence erection (with materials) - post and 4 Barb (per metre)</t>
  </si>
  <si>
    <t>Fence erection (with materials) - post, stock  net, and 2 Barb (per metre)</t>
  </si>
  <si>
    <t>Fence erection (with materials) - post and 3 rails (per metre)</t>
  </si>
  <si>
    <t>Tractor + Post Knocker + Man (per hour)</t>
  </si>
  <si>
    <t>Ditching using 360 deg digger (per hour)</t>
  </si>
  <si>
    <t>Tractor + Trailer + Man (per hour)</t>
  </si>
  <si>
    <t>100 - 150 hp Tractor + man (per hour)</t>
  </si>
  <si>
    <t>150 - 220 hp Tractor + man (per hour)</t>
  </si>
  <si>
    <t>220 - 300 hp Tractor + man (per hour)</t>
  </si>
  <si>
    <t>300 hp Tractor + man (per hour)</t>
  </si>
  <si>
    <t>Forklift/Telehandler + man (per hour)</t>
  </si>
  <si>
    <t>Total general maintenance costs</t>
  </si>
  <si>
    <t>Total crop drying costs</t>
  </si>
  <si>
    <t>Fertliser distribution</t>
  </si>
  <si>
    <t>Cart</t>
  </si>
  <si>
    <t>Barn work</t>
  </si>
  <si>
    <t>Grass and Forage mngmnt</t>
  </si>
  <si>
    <t>General mntnance</t>
  </si>
  <si>
    <t>Main crop fixed costs</t>
  </si>
  <si>
    <t>Straw fixed costs</t>
  </si>
  <si>
    <t>Redman (2018)</t>
  </si>
  <si>
    <t>ABC (2018)</t>
  </si>
  <si>
    <t>Labour input grain</t>
  </si>
  <si>
    <t>Labour input straw</t>
  </si>
  <si>
    <t>h</t>
  </si>
  <si>
    <t>General</t>
  </si>
  <si>
    <t>Basic payment scheme</t>
  </si>
  <si>
    <t>Land rent</t>
  </si>
  <si>
    <t>Other overheads</t>
  </si>
  <si>
    <t>Grain/whole plant</t>
  </si>
  <si>
    <t>Commodity output prices (at the "farm gate")</t>
  </si>
  <si>
    <t>Grain</t>
  </si>
  <si>
    <t>Input prices: paid by farmers</t>
  </si>
  <si>
    <t>labour wage rate:</t>
  </si>
  <si>
    <t>Agrochemical prices</t>
  </si>
  <si>
    <t>N</t>
  </si>
  <si>
    <t>Sprays (pesticides, herbicides, etc)</t>
  </si>
  <si>
    <t>Straw variable costs (baling string)</t>
  </si>
  <si>
    <t>Physical inputs by crop: Quantities/ha</t>
  </si>
  <si>
    <t>Coming from Arable fixed costs</t>
  </si>
  <si>
    <t>Calculated/assumed value from Redman (2018)</t>
  </si>
  <si>
    <t>Fixed costs (machine costs)</t>
  </si>
  <si>
    <t>Sub-Total</t>
  </si>
  <si>
    <t>Fixed costs (labour)</t>
  </si>
  <si>
    <t>Main crop labour</t>
  </si>
  <si>
    <t>Summary of variable costs</t>
  </si>
  <si>
    <t>Staw labour</t>
  </si>
  <si>
    <t>Other fixed costs</t>
  </si>
  <si>
    <t>Summary of fixed costs</t>
  </si>
  <si>
    <t>way: 1=contract cost, 2=farmer cost</t>
  </si>
  <si>
    <t>way</t>
  </si>
  <si>
    <t>Drying (per tonne)</t>
  </si>
  <si>
    <t>Rotations and harvests</t>
  </si>
  <si>
    <t xml:space="preserve">Sida </t>
  </si>
  <si>
    <t>Physical production</t>
  </si>
  <si>
    <t>Input prices</t>
  </si>
  <si>
    <t>Planting material</t>
  </si>
  <si>
    <t>Output prices (at the "farm gate")</t>
  </si>
  <si>
    <t>Biomass</t>
  </si>
  <si>
    <t>Field operations: costs (labour and machinery):</t>
  </si>
  <si>
    <t>Establishment operations:</t>
  </si>
  <si>
    <t>Ground preparation</t>
  </si>
  <si>
    <t>Mechanical weeding</t>
  </si>
  <si>
    <t>Recurring operations:</t>
  </si>
  <si>
    <t>Decommissioning</t>
  </si>
  <si>
    <t>(years)</t>
  </si>
  <si>
    <t>Note:  Biomass is woodchips for SRC and Sida, straw for miscanthus, silage por maize and Silphie</t>
  </si>
  <si>
    <t>Forage maize</t>
  </si>
  <si>
    <t>Note:  Biomass is woodchips for SRC and Sida, straw for miscanthus, silage for maize and Silphie</t>
  </si>
  <si>
    <t>Note:  ODT = oven dried tonne</t>
  </si>
  <si>
    <t>End year</t>
  </si>
  <si>
    <t>Frequency</t>
  </si>
  <si>
    <t>16 years summary of prices and costs</t>
  </si>
  <si>
    <t>Decommissioning costs</t>
  </si>
  <si>
    <t>Total decommissioning costs</t>
  </si>
  <si>
    <t>Nitrogen sub-total</t>
  </si>
  <si>
    <t>Phosphorus sub-total</t>
  </si>
  <si>
    <t>Potassium sub-total</t>
  </si>
  <si>
    <t>Crop revenue</t>
  </si>
  <si>
    <t>Net margins (without subsidies)</t>
  </si>
  <si>
    <t>Net margins (with subsidies)</t>
  </si>
  <si>
    <t>Coming from Energy basic inputs</t>
  </si>
  <si>
    <t xml:space="preserve">Discounted </t>
  </si>
  <si>
    <t>Discounted Cumulative</t>
  </si>
  <si>
    <t>Years</t>
  </si>
  <si>
    <t>Crop</t>
  </si>
  <si>
    <t>Total Variable Cost</t>
  </si>
  <si>
    <t>Total Fixed Costs</t>
  </si>
  <si>
    <t>Total Costs</t>
  </si>
  <si>
    <t>Discounted Crop Revenue</t>
  </si>
  <si>
    <t>Discounted Total Cost</t>
  </si>
  <si>
    <t>Discounted net margin with sigle farm payment</t>
  </si>
  <si>
    <t>Discounted Cumulative Crop Revenue</t>
  </si>
  <si>
    <t>Discounted Cumulative Total Cost</t>
  </si>
  <si>
    <t>Discounted Cumulative net margin with sigle farm payment</t>
  </si>
  <si>
    <t>Total Variable Costs</t>
  </si>
  <si>
    <t>Discount rate</t>
  </si>
  <si>
    <t>Sugar Beet</t>
  </si>
  <si>
    <t>Rotation</t>
  </si>
  <si>
    <t>Year</t>
  </si>
  <si>
    <t>Total Establishment Costs</t>
  </si>
  <si>
    <t>Total Recurring Costs</t>
  </si>
  <si>
    <t xml:space="preserve">Yield               </t>
  </si>
  <si>
    <t xml:space="preserve">Price               </t>
  </si>
  <si>
    <t>Total Decomm. Costs</t>
  </si>
  <si>
    <t xml:space="preserve">Discounted Total Costs </t>
  </si>
  <si>
    <t>Discounted Total Revenue</t>
  </si>
  <si>
    <t>Discounted Total Costs</t>
  </si>
  <si>
    <t>Discounted Cumulative Total Costs</t>
  </si>
  <si>
    <t>discount rate</t>
  </si>
  <si>
    <t>Relative changes (%) in inputs parameters</t>
  </si>
  <si>
    <t>Range</t>
  </si>
  <si>
    <t>Rank</t>
  </si>
  <si>
    <t>Yield</t>
  </si>
  <si>
    <t>Costs</t>
  </si>
  <si>
    <t>%</t>
  </si>
  <si>
    <t>Discounted</t>
  </si>
  <si>
    <t>Price +50%</t>
  </si>
  <si>
    <t>Sida 0%</t>
  </si>
  <si>
    <t>Sida +50%</t>
  </si>
  <si>
    <t>Sida -50%</t>
  </si>
  <si>
    <t>Sida +100%</t>
  </si>
  <si>
    <t>Sida -100%</t>
  </si>
  <si>
    <t>Silphie 0%</t>
  </si>
  <si>
    <t>Silphie +50%</t>
  </si>
  <si>
    <t>Silphie -50%</t>
  </si>
  <si>
    <t>Silphie +100%</t>
  </si>
  <si>
    <t>Silphie -100%</t>
  </si>
  <si>
    <t>Price -50%</t>
  </si>
  <si>
    <t>Price +100%</t>
  </si>
  <si>
    <t>Price -100%</t>
  </si>
  <si>
    <t>Yield +50%</t>
  </si>
  <si>
    <t>Yield -50%</t>
  </si>
  <si>
    <t>Yield +100%</t>
  </si>
  <si>
    <t>Yield -100%</t>
  </si>
  <si>
    <t>Costs +50%</t>
  </si>
  <si>
    <t>Costs -50%</t>
  </si>
  <si>
    <t>Costs +100%</t>
  </si>
  <si>
    <t>Costs -100%</t>
  </si>
  <si>
    <t>PRICE</t>
  </si>
  <si>
    <t>YIELD</t>
  </si>
  <si>
    <t>COSTS</t>
  </si>
  <si>
    <t>Price</t>
  </si>
  <si>
    <t>Variable Costs</t>
  </si>
  <si>
    <t>Fixed Costs</t>
  </si>
  <si>
    <r>
      <t>(t ha</t>
    </r>
    <r>
      <rPr>
        <vertAlign val="superscript"/>
        <sz val="8"/>
        <color theme="1"/>
        <rFont val="Arial"/>
        <family val="2"/>
      </rPr>
      <t>-1</t>
    </r>
    <r>
      <rPr>
        <sz val="8"/>
        <color theme="1"/>
        <rFont val="Arial"/>
        <family val="2"/>
      </rPr>
      <t>)</t>
    </r>
  </si>
  <si>
    <r>
      <t>t ha</t>
    </r>
    <r>
      <rPr>
        <vertAlign val="superscript"/>
        <sz val="8"/>
        <rFont val="Arial"/>
        <family val="2"/>
      </rPr>
      <t>-1</t>
    </r>
  </si>
  <si>
    <r>
      <t>app. ha</t>
    </r>
    <r>
      <rPr>
        <vertAlign val="superscript"/>
        <sz val="8"/>
        <rFont val="Arial"/>
        <family val="2"/>
      </rPr>
      <t>-1</t>
    </r>
  </si>
  <si>
    <t>ARABLE</t>
  </si>
  <si>
    <t>ENERGY</t>
  </si>
  <si>
    <t>Coming from Arable margins</t>
  </si>
  <si>
    <t>Coming from Energy margins</t>
  </si>
  <si>
    <t>SENSITIVITY ANALYSIS: PRICE</t>
  </si>
  <si>
    <t>SENSITIVITY ANALYSIS: YIELD</t>
  </si>
  <si>
    <t>SENSITIVITY ANALYSIS: COSTS</t>
  </si>
  <si>
    <t>SENSITIVITY ANALYSIS: DISC. RATE</t>
  </si>
  <si>
    <t>Arable system with grants</t>
  </si>
  <si>
    <t>Arable system without grants</t>
  </si>
  <si>
    <t xml:space="preserve">Net present value at 0% discount rate    </t>
  </si>
  <si>
    <r>
      <t>NPV16</t>
    </r>
    <r>
      <rPr>
        <vertAlign val="subscript"/>
        <sz val="8"/>
        <color theme="1"/>
        <rFont val="Arial"/>
        <family val="2"/>
      </rPr>
      <t xml:space="preserve"> years</t>
    </r>
    <r>
      <rPr>
        <sz val="8"/>
        <color theme="1"/>
        <rFont val="Arial"/>
        <family val="2"/>
      </rPr>
      <t xml:space="preserve"> </t>
    </r>
  </si>
  <si>
    <r>
      <t>NPV</t>
    </r>
    <r>
      <rPr>
        <vertAlign val="subscript"/>
        <sz val="8"/>
        <color theme="1"/>
        <rFont val="Arial"/>
        <family val="2"/>
      </rPr>
      <t>infinite</t>
    </r>
    <r>
      <rPr>
        <sz val="8"/>
        <color theme="1"/>
        <rFont val="Arial"/>
        <family val="2"/>
      </rPr>
      <t xml:space="preserve"> </t>
    </r>
  </si>
  <si>
    <t xml:space="preserve">Equivalent Annual Value </t>
  </si>
  <si>
    <t>Discount Rate</t>
  </si>
  <si>
    <t>Output cells are coloured in green</t>
  </si>
  <si>
    <t>INSTRUCTIONS FOR USE</t>
  </si>
  <si>
    <t>Default information was obtained from Redman (2018), with some exceptions:</t>
  </si>
  <si>
    <t xml:space="preserve">This excel file has been developed to perform a financial analysis of arable and energy crops in the UK. </t>
  </si>
  <si>
    <t>INTRODUCTION / EXECUTIVE SUMMARY</t>
  </si>
  <si>
    <t>Originial model developed by Dr Anil Graves, modified by Laura Cumplido-Marin</t>
  </si>
  <si>
    <t xml:space="preserve">SidaTim </t>
  </si>
  <si>
    <t>Coming from Inputs</t>
  </si>
  <si>
    <t>Price of cart and later barn work, same as tractor+trailer+man</t>
  </si>
  <si>
    <t>42.05, 35.63</t>
  </si>
  <si>
    <t>Obtained from</t>
  </si>
  <si>
    <t>Arable Inputs</t>
  </si>
  <si>
    <t>Arable Fixed Costs</t>
  </si>
  <si>
    <t>Energy Inputs</t>
  </si>
  <si>
    <t>Year of first harvest</t>
  </si>
  <si>
    <t>Interval between harvest</t>
  </si>
  <si>
    <t>Data calculated from literature review sources</t>
  </si>
  <si>
    <t>The following assumptions were made</t>
  </si>
  <si>
    <t>Coming from Arable Inputs</t>
  </si>
  <si>
    <t>Coming from Energy Inputs</t>
  </si>
  <si>
    <t>Title of model:</t>
  </si>
  <si>
    <t>Version number:</t>
  </si>
  <si>
    <r>
      <t xml:space="preserve"> t ha</t>
    </r>
    <r>
      <rPr>
        <vertAlign val="superscript"/>
        <sz val="8"/>
        <color theme="1"/>
        <rFont val="Arial"/>
        <family val="2"/>
      </rPr>
      <t>-1</t>
    </r>
  </si>
  <si>
    <r>
      <t>₤ t</t>
    </r>
    <r>
      <rPr>
        <vertAlign val="superscript"/>
        <sz val="8"/>
        <color theme="1"/>
        <rFont val="Arial"/>
        <family val="2"/>
      </rPr>
      <t>-1</t>
    </r>
  </si>
  <si>
    <r>
      <t>kg ha</t>
    </r>
    <r>
      <rPr>
        <vertAlign val="superscript"/>
        <sz val="8"/>
        <color theme="1"/>
        <rFont val="Arial"/>
        <family val="2"/>
      </rPr>
      <t>-1</t>
    </r>
  </si>
  <si>
    <r>
      <t>₤ ha</t>
    </r>
    <r>
      <rPr>
        <vertAlign val="superscript"/>
        <sz val="8"/>
        <color theme="1"/>
        <rFont val="Arial"/>
        <family val="2"/>
      </rPr>
      <t>-1</t>
    </r>
  </si>
  <si>
    <t>The model requires all cells coloured in cream on the "Arable Inputs" and "Energy Inputs" sheets to be completed by the user</t>
  </si>
  <si>
    <t>All other cells are locked and cannot be modified</t>
  </si>
  <si>
    <t>Establishment Costs</t>
  </si>
  <si>
    <r>
      <t>(t ha</t>
    </r>
    <r>
      <rPr>
        <vertAlign val="superscript"/>
        <sz val="8"/>
        <rFont val="Arial"/>
        <family val="2"/>
      </rPr>
      <t>-1)</t>
    </r>
  </si>
  <si>
    <t>Recurring Costs</t>
  </si>
  <si>
    <t>Decommissioning Costs</t>
  </si>
  <si>
    <t>Price 0</t>
  </si>
  <si>
    <t>Price +50</t>
  </si>
  <si>
    <t>Price -50</t>
  </si>
  <si>
    <t>Price +100</t>
  </si>
  <si>
    <t>Price -100</t>
  </si>
  <si>
    <t>Rotation 0%</t>
  </si>
  <si>
    <t>Rotation +50%</t>
  </si>
  <si>
    <t>Rotation -50%</t>
  </si>
  <si>
    <t>Rotation +100%</t>
  </si>
  <si>
    <t>Rotation -100%</t>
  </si>
  <si>
    <t>Exchnage rate</t>
  </si>
  <si>
    <t>% change</t>
  </si>
  <si>
    <t>Discount Rate +50%</t>
  </si>
  <si>
    <t>Discount Rate -50%</t>
  </si>
  <si>
    <t>Discount Rate +100%</t>
  </si>
  <si>
    <t>Discount Rate -100%</t>
  </si>
  <si>
    <t>Yield +50</t>
  </si>
  <si>
    <t>Yield -50</t>
  </si>
  <si>
    <t>Yield +100</t>
  </si>
  <si>
    <t>Yield -100</t>
  </si>
  <si>
    <t>Costs 0</t>
  </si>
  <si>
    <t>Costs +50</t>
  </si>
  <si>
    <t>Costs -50</t>
  </si>
  <si>
    <t>Costs +100</t>
  </si>
  <si>
    <t>Yield 0</t>
  </si>
  <si>
    <t>Dis. rate:</t>
  </si>
  <si>
    <t>Dis. rate 0</t>
  </si>
  <si>
    <t>Dis. rate +50</t>
  </si>
  <si>
    <t>Dis. rate -50</t>
  </si>
  <si>
    <t>Dis. rate +100</t>
  </si>
  <si>
    <t>Dis. rate -100</t>
  </si>
  <si>
    <t>Dis. rate -100%</t>
  </si>
  <si>
    <t>Dis. rate +100%</t>
  </si>
  <si>
    <t>Dis. rate -50%</t>
  </si>
  <si>
    <t>Dis. rate +50%</t>
  </si>
  <si>
    <t>Costs-50%</t>
  </si>
  <si>
    <t>SRC 0%</t>
  </si>
  <si>
    <t>SRC +50%</t>
  </si>
  <si>
    <t>SRC -50%</t>
  </si>
  <si>
    <t>SRC +100%</t>
  </si>
  <si>
    <t>SRC -100%</t>
  </si>
  <si>
    <t>Miscanthus 0%</t>
  </si>
  <si>
    <t>Miscanthus +50%</t>
  </si>
  <si>
    <t>Miscanthus -50%</t>
  </si>
  <si>
    <t>Miscanthus +100%</t>
  </si>
  <si>
    <t>Miscanthus -100%</t>
  </si>
  <si>
    <t>DISCOUNT RATE</t>
  </si>
  <si>
    <t>Exchange rate</t>
  </si>
  <si>
    <t>Costs -100</t>
  </si>
  <si>
    <t>Energy system without grants</t>
  </si>
  <si>
    <t>Energy system with grants</t>
  </si>
  <si>
    <t>Silphium</t>
  </si>
  <si>
    <t>Crop revenue without grants</t>
  </si>
  <si>
    <t>Crop revenue with grants</t>
  </si>
  <si>
    <t>Net margin without grants</t>
  </si>
  <si>
    <t>Net margin with grants</t>
  </si>
  <si>
    <t>Cumulative net margin without grants</t>
  </si>
  <si>
    <t>Cumulative net margin with grants</t>
  </si>
  <si>
    <t>Discounted net margin without grants</t>
  </si>
  <si>
    <t>Discounted net margin with grants</t>
  </si>
  <si>
    <t>Discounted Cumulative net margin without grants</t>
  </si>
  <si>
    <t>Discounted Cumulative net margin with grants</t>
  </si>
  <si>
    <r>
      <t>P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>O</t>
    </r>
    <r>
      <rPr>
        <vertAlign val="subscript"/>
        <sz val="8"/>
        <rFont val="Arial"/>
        <family val="2"/>
      </rPr>
      <t>5</t>
    </r>
  </si>
  <si>
    <r>
      <t>K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>O</t>
    </r>
  </si>
  <si>
    <r>
      <t>single superphosphate 20% P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>O</t>
    </r>
    <r>
      <rPr>
        <vertAlign val="subscript"/>
        <sz val="8"/>
        <rFont val="Arial"/>
        <family val="2"/>
      </rPr>
      <t>5</t>
    </r>
  </si>
  <si>
    <r>
      <t>muriate of potash 60% K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>O</t>
    </r>
  </si>
  <si>
    <t>Fertilisers cost</t>
  </si>
  <si>
    <t>Spray cost</t>
  </si>
  <si>
    <t>Seed cost</t>
  </si>
  <si>
    <t xml:space="preserve">Seed </t>
  </si>
  <si>
    <t>Weeding</t>
  </si>
  <si>
    <t>Planting material cost</t>
  </si>
  <si>
    <t>Main product</t>
  </si>
  <si>
    <t>Plastic</t>
  </si>
  <si>
    <t>Cutback 1st year</t>
  </si>
  <si>
    <t xml:space="preserve">Mowing and baling </t>
  </si>
  <si>
    <t>Harvesting, carting and clamping</t>
  </si>
  <si>
    <t>Fertiliser application</t>
  </si>
  <si>
    <t>Mowing and baling</t>
  </si>
  <si>
    <t>Harvesting, carting, and clamping</t>
  </si>
  <si>
    <t>Hadling and storage</t>
  </si>
  <si>
    <t>Material costs:</t>
  </si>
  <si>
    <t>Fertilising (after harvest)</t>
  </si>
  <si>
    <t>Fertilising (establishment)</t>
  </si>
  <si>
    <t>Ground prep</t>
  </si>
  <si>
    <t>Cutback</t>
  </si>
  <si>
    <t>Cut back</t>
  </si>
  <si>
    <t>Cut back first year</t>
  </si>
  <si>
    <t>Mechical weeding</t>
  </si>
  <si>
    <t>Total Fixed costs (machinary)</t>
  </si>
  <si>
    <t>Total Establishment costs (machinery)</t>
  </si>
  <si>
    <t>RECURRING OPERATIONS</t>
  </si>
  <si>
    <t>ESTABLISHMENT OPERATIONS</t>
  </si>
  <si>
    <t>Harvesting SRC</t>
  </si>
  <si>
    <t>Harvesting and clamping</t>
  </si>
  <si>
    <t>Labour input (establishment)</t>
  </si>
  <si>
    <t>Recurring costs (machinary)</t>
  </si>
  <si>
    <t>Labour input (recurring)</t>
  </si>
  <si>
    <r>
      <t>t ha</t>
    </r>
    <r>
      <rPr>
        <vertAlign val="superscript"/>
        <sz val="8"/>
        <color theme="1"/>
        <rFont val="Arial"/>
        <family val="2"/>
      </rPr>
      <t>-1</t>
    </r>
  </si>
  <si>
    <t>Price of biomass: SRC and Miscanthus</t>
  </si>
  <si>
    <r>
      <t>₤</t>
    </r>
    <r>
      <rPr>
        <sz val="8"/>
        <color theme="1"/>
        <rFont val="Arial"/>
        <family val="2"/>
      </rPr>
      <t xml:space="preserve"> ha</t>
    </r>
    <r>
      <rPr>
        <vertAlign val="superscript"/>
        <sz val="8"/>
        <color theme="1"/>
        <rFont val="Arial"/>
        <family val="2"/>
      </rPr>
      <t>-1</t>
    </r>
  </si>
  <si>
    <t>Price of biomass: Sida and Silphium same as SRC and forage maize respectively</t>
  </si>
  <si>
    <t>55.0, 40.7</t>
  </si>
  <si>
    <r>
      <t>₤ odt</t>
    </r>
    <r>
      <rPr>
        <vertAlign val="superscript"/>
        <sz val="8"/>
        <color theme="1"/>
        <rFont val="Arial"/>
        <family val="2"/>
      </rPr>
      <t>-1</t>
    </r>
  </si>
  <si>
    <t>200.0, 180.0</t>
  </si>
  <si>
    <t>Cost of ground preparation Sida and Silphium: same as Miscanthus</t>
  </si>
  <si>
    <t>Cost of ground preparation SRC and Miscanthus</t>
  </si>
  <si>
    <t>Energiepflanzen.com</t>
  </si>
  <si>
    <t>Energy inputs</t>
  </si>
  <si>
    <t>Planting density Sida</t>
  </si>
  <si>
    <r>
      <t>seedlings ha</t>
    </r>
    <r>
      <rPr>
        <vertAlign val="superscript"/>
        <sz val="8"/>
        <color theme="1"/>
        <rFont val="Arial"/>
        <family val="2"/>
      </rPr>
      <t>-1</t>
    </r>
  </si>
  <si>
    <t>Sowing density Silphium</t>
  </si>
  <si>
    <t>Cost of sowing Silphium: assumed same as forage maize</t>
  </si>
  <si>
    <t>Cost of cutback first year SRC</t>
  </si>
  <si>
    <t>Cost of cutback first year Sida and Silphium: assumed same as Miscanthus</t>
  </si>
  <si>
    <t xml:space="preserve">Cost of mechanical weeding Sida and Silphium: calculated using cost of tractor + post knocker + man (per hour) </t>
  </si>
  <si>
    <t>Costs of mowing and baling Miscanthus</t>
  </si>
  <si>
    <t>P&amp;L Cook &amp; Partners (2007)</t>
  </si>
  <si>
    <t>Cost of decommissioning Miscanthus, Sida, and Silphium</t>
  </si>
  <si>
    <r>
      <t>Fertilisers (kg ha</t>
    </r>
    <r>
      <rPr>
        <vertAlign val="superscript"/>
        <sz val="8"/>
        <rFont val="Arial"/>
        <family val="2"/>
      </rPr>
      <t>-1</t>
    </r>
    <r>
      <rPr>
        <sz val="8"/>
        <rFont val="Arial"/>
        <family val="2"/>
      </rPr>
      <t>)</t>
    </r>
  </si>
  <si>
    <t>Fertilisers (establish.) sub-total</t>
  </si>
  <si>
    <t>Fertilisers (recurring) sub-total</t>
  </si>
  <si>
    <t xml:space="preserve">Fertilisers </t>
  </si>
  <si>
    <t>Sprays</t>
  </si>
  <si>
    <t xml:space="preserve">N </t>
  </si>
  <si>
    <r>
      <t>P</t>
    </r>
    <r>
      <rPr>
        <vertAlign val="sub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>O</t>
    </r>
    <r>
      <rPr>
        <vertAlign val="subscript"/>
        <sz val="8"/>
        <color theme="1"/>
        <rFont val="Arial"/>
        <family val="2"/>
      </rPr>
      <t>5</t>
    </r>
    <r>
      <rPr>
        <sz val="8"/>
        <color theme="1"/>
        <rFont val="Arial"/>
        <family val="2"/>
      </rPr>
      <t/>
    </r>
  </si>
  <si>
    <r>
      <t>K</t>
    </r>
    <r>
      <rPr>
        <vertAlign val="sub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>O</t>
    </r>
  </si>
  <si>
    <t xml:space="preserve">Fertilisers Sub-total </t>
  </si>
  <si>
    <t>Cumplido-Marin et al, 2020</t>
  </si>
  <si>
    <r>
      <t>£ t</t>
    </r>
    <r>
      <rPr>
        <vertAlign val="superscript"/>
        <sz val="8"/>
        <color theme="1"/>
        <rFont val="Arial"/>
        <family val="2"/>
      </rPr>
      <t>-1</t>
    </r>
  </si>
  <si>
    <t>Cost of fertilisers: arable crops</t>
  </si>
  <si>
    <t>274.8, 195.0, 238.6, 340.8, 277.3</t>
  </si>
  <si>
    <t>Cost of fertilisers (establishment): energy crops</t>
  </si>
  <si>
    <t>Cost of fertilisers (recurring): energy crops</t>
  </si>
  <si>
    <t>Spays</t>
  </si>
  <si>
    <t>Spray application</t>
  </si>
  <si>
    <r>
      <t>Calculated price of N, P</t>
    </r>
    <r>
      <rPr>
        <vertAlign val="sub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>O</t>
    </r>
    <r>
      <rPr>
        <vertAlign val="subscript"/>
        <sz val="8"/>
        <color theme="1"/>
        <rFont val="Arial"/>
        <family val="2"/>
      </rPr>
      <t>5</t>
    </r>
    <r>
      <rPr>
        <sz val="8"/>
        <color theme="1"/>
        <rFont val="Arial"/>
        <family val="2"/>
      </rPr>
      <t>, K</t>
    </r>
    <r>
      <rPr>
        <vertAlign val="sub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>O from Redman (2018)</t>
    </r>
  </si>
  <si>
    <t>39.5, 110.4, 151.8, 166.6</t>
  </si>
  <si>
    <t>126.3, 117.7, 162.0, 177.7</t>
  </si>
  <si>
    <t>100, 60</t>
  </si>
  <si>
    <t>Cost of sprays (recurring) of SRC and Miscanthus: assumed half of the cost of sprays in establishment</t>
  </si>
  <si>
    <t>F. maize 0%</t>
  </si>
  <si>
    <t>F. maize +50%</t>
  </si>
  <si>
    <t>F. maize -50%</t>
  </si>
  <si>
    <t>F. maize +100%</t>
  </si>
  <si>
    <t>F. maize -100%</t>
  </si>
  <si>
    <t xml:space="preserve">             </t>
  </si>
  <si>
    <t>BASF Agricultural Solutions UK</t>
  </si>
  <si>
    <t>Arable inputs</t>
  </si>
  <si>
    <t>Price of forage maize (considering price £35-40 per FM tonne and dry matter 35%)</t>
  </si>
  <si>
    <t>Yield profile co-efficient</t>
  </si>
  <si>
    <t>(proportion)</t>
  </si>
  <si>
    <t>Yield profile</t>
  </si>
  <si>
    <t>Yield profile coefficient over rotation</t>
  </si>
  <si>
    <t>(Year)</t>
  </si>
  <si>
    <t>Note: Yield profiles developed from combined published data sources</t>
  </si>
  <si>
    <t>Nitrogen</t>
  </si>
  <si>
    <t>Phosphorus</t>
  </si>
  <si>
    <t>Pottassium</t>
  </si>
  <si>
    <t>F to m</t>
  </si>
  <si>
    <t>G to n</t>
  </si>
  <si>
    <t>H to o</t>
  </si>
  <si>
    <t>E to l</t>
  </si>
  <si>
    <t>M to t</t>
  </si>
  <si>
    <t>N to u</t>
  </si>
  <si>
    <t>O to v</t>
  </si>
  <si>
    <t>L to S</t>
  </si>
  <si>
    <t>T to aa</t>
  </si>
  <si>
    <t>U to ab</t>
  </si>
  <si>
    <t>V to ac</t>
  </si>
  <si>
    <t>S to Z</t>
  </si>
  <si>
    <t>New</t>
  </si>
  <si>
    <t>Average established dry biomass yield</t>
  </si>
  <si>
    <t>Sida and Silphium yield</t>
  </si>
  <si>
    <t>10.2, 14.3</t>
  </si>
  <si>
    <r>
      <t>₤ ha</t>
    </r>
    <r>
      <rPr>
        <vertAlign val="superscript"/>
        <sz val="8"/>
        <rFont val="Arial"/>
        <family val="2"/>
      </rPr>
      <t>-1</t>
    </r>
  </si>
  <si>
    <t>Witzel and Finger (2016)</t>
  </si>
  <si>
    <t>Miscanthus average and profile yield</t>
  </si>
  <si>
    <t>Wtizel and Finger (2016) and ADAS (2003)</t>
  </si>
  <si>
    <r>
      <t>CaCO</t>
    </r>
    <r>
      <rPr>
        <vertAlign val="subscript"/>
        <sz val="8"/>
        <rFont val="Arial"/>
        <family val="2"/>
      </rPr>
      <t>3</t>
    </r>
  </si>
  <si>
    <t>ARABLE BASIC INPUTS (PLN)</t>
  </si>
  <si>
    <t>PLN ha-1</t>
  </si>
  <si>
    <t>PLN t-1</t>
  </si>
  <si>
    <t>PLN h-1</t>
  </si>
  <si>
    <t>ARABLE FIXED COSTS (PLN ha-1)</t>
  </si>
  <si>
    <t>(PLN ha-1)</t>
  </si>
  <si>
    <t>ARABLE MARGINS (PLN ha-1)</t>
  </si>
  <si>
    <t>(PLN t-1)</t>
  </si>
  <si>
    <t>(PLN kg-1/ unit-1 )</t>
  </si>
  <si>
    <t>(PLN kg-1)</t>
  </si>
  <si>
    <t>(PLN app.-1)</t>
  </si>
  <si>
    <t>(PLN h-1)</t>
  </si>
  <si>
    <t>ENERGY BASIC INPUTS (PLN)</t>
  </si>
  <si>
    <t>(PLN kg-1 / unit-1)</t>
  </si>
  <si>
    <t>(PLN ODT-1)</t>
  </si>
  <si>
    <t>ENERGY MARGINS (PLN ha-1)</t>
  </si>
  <si>
    <t>ENERGY CULTIVATION COSTS (PLN ha-1)</t>
  </si>
  <si>
    <t>ARABLE NPV (PLN ha-1)</t>
  </si>
  <si>
    <t>ENERGY NPV (PLN ha-1)</t>
  </si>
  <si>
    <t>MARGINS SUMMARY (PLN ha-1)</t>
  </si>
  <si>
    <t>(PLN ha-1 yr-1)</t>
  </si>
  <si>
    <t xml:space="preserve"> (PLN ha-1)</t>
  </si>
  <si>
    <t>(PLN ha-1 y-1)</t>
  </si>
  <si>
    <t>SUMMARY NPV (PLN ha-1)</t>
  </si>
  <si>
    <t>Sensitivity Analysis (PLN ha-1)</t>
  </si>
  <si>
    <t>CAP</t>
  </si>
  <si>
    <r>
      <t>PLN ha</t>
    </r>
    <r>
      <rPr>
        <vertAlign val="superscript"/>
        <sz val="8"/>
        <color theme="1"/>
        <rFont val="Arial"/>
        <family val="2"/>
      </rPr>
      <t>-1</t>
    </r>
  </si>
  <si>
    <t>4.6, 2.5, 56.8, 5.8</t>
  </si>
  <si>
    <t>Wheat, berley, OSR straw yields</t>
  </si>
  <si>
    <t>4.9, 3.0, 5.6</t>
  </si>
  <si>
    <t>867, 721, 1645, 120, 724</t>
  </si>
  <si>
    <r>
      <t>PLN t</t>
    </r>
    <r>
      <rPr>
        <vertAlign val="superscript"/>
        <sz val="8"/>
        <color theme="1"/>
        <rFont val="Arial"/>
        <family val="2"/>
      </rPr>
      <t>-1</t>
    </r>
  </si>
  <si>
    <t>Price of wheat, barley, OSR straw</t>
  </si>
  <si>
    <t>140, 120, 120</t>
  </si>
  <si>
    <r>
      <t>PLN h</t>
    </r>
    <r>
      <rPr>
        <vertAlign val="superscript"/>
        <sz val="8"/>
        <color theme="1"/>
        <rFont val="Arial"/>
        <family val="2"/>
      </rPr>
      <t>-1</t>
    </r>
  </si>
  <si>
    <r>
      <t>Price of fertilisers (N, P, K, CaCO</t>
    </r>
    <r>
      <rPr>
        <vertAlign val="subscript"/>
        <sz val="8"/>
        <color theme="1"/>
        <rFont val="Arial"/>
        <family val="2"/>
      </rPr>
      <t>3</t>
    </r>
    <r>
      <rPr>
        <sz val="8"/>
        <color theme="1"/>
        <rFont val="Arial"/>
        <family val="2"/>
      </rPr>
      <t>)</t>
    </r>
  </si>
  <si>
    <t>3.44, 4.47, 2.68, 1.93</t>
  </si>
  <si>
    <r>
      <t>PLN kg</t>
    </r>
    <r>
      <rPr>
        <vertAlign val="superscript"/>
        <sz val="8"/>
        <color theme="1"/>
        <rFont val="Arial"/>
        <family val="2"/>
      </rPr>
      <t>-1</t>
    </r>
  </si>
  <si>
    <t>Seed cost for wheat, barley, OSR, sugar beet, maize</t>
  </si>
  <si>
    <t>Spraying cost (same for all arable crops)</t>
  </si>
  <si>
    <r>
      <t>PLN app</t>
    </r>
    <r>
      <rPr>
        <vertAlign val="superscript"/>
        <sz val="8"/>
        <color theme="1"/>
        <rFont val="Arial"/>
        <family val="2"/>
      </rPr>
      <t>-1</t>
    </r>
  </si>
  <si>
    <t>Straw variable costs for wheat, barley, OSR</t>
  </si>
  <si>
    <t>Seed rate for wheat, barley, OSR, sugar beet, maize</t>
  </si>
  <si>
    <t>Fertiliser rates of wheat</t>
  </si>
  <si>
    <t>190, 60, 95</t>
  </si>
  <si>
    <t>Fertiliser rates of barley</t>
  </si>
  <si>
    <t>84, 47, 126</t>
  </si>
  <si>
    <t>Fertiliser rates of OSR</t>
  </si>
  <si>
    <t>190, 75, 200</t>
  </si>
  <si>
    <t>Fertiliser rates of sugar beet</t>
  </si>
  <si>
    <t>127, 90, 155</t>
  </si>
  <si>
    <t>Fertiliser rates of maize</t>
  </si>
  <si>
    <t>145, 76, 144</t>
  </si>
  <si>
    <t>Spray applications for wheat, barley, OSR, sugar beet</t>
  </si>
  <si>
    <t>3, 2, 5, 2</t>
  </si>
  <si>
    <r>
      <t>app ha</t>
    </r>
    <r>
      <rPr>
        <vertAlign val="superscript"/>
        <sz val="8"/>
        <color theme="1"/>
        <rFont val="Arial"/>
        <family val="2"/>
      </rPr>
      <t>-1</t>
    </r>
  </si>
  <si>
    <t>Crop Revenue (without CAP)</t>
  </si>
  <si>
    <t>Crop Revenue (with CAP)</t>
  </si>
  <si>
    <t>Annual net margin without CAP</t>
  </si>
  <si>
    <t>Annual net margin with CAP</t>
  </si>
  <si>
    <t>Discounted CAP</t>
  </si>
  <si>
    <t>Discounted net margin without CAP</t>
  </si>
  <si>
    <t>Discounted Cumulative CAP</t>
  </si>
  <si>
    <t>Discounted Cumulative net margin without CAP</t>
  </si>
  <si>
    <t>Total revenue (crop and CAP)</t>
  </si>
  <si>
    <t>Net margins (without CAP)</t>
  </si>
  <si>
    <t>Net margin (with CAP)</t>
  </si>
  <si>
    <t>Discounted Total CAP</t>
  </si>
  <si>
    <t>NPV without CAP</t>
  </si>
  <si>
    <t>NPV with CAP</t>
  </si>
  <si>
    <t xml:space="preserve">NPVInfinite without CAP </t>
  </si>
  <si>
    <t>NPVInfinite with CAP</t>
  </si>
  <si>
    <t>Equivalent Annual Value without CAP</t>
  </si>
  <si>
    <t>Equivalent Annual Value with CAP</t>
  </si>
  <si>
    <t>Crop revenue without CAP</t>
  </si>
  <si>
    <t>Crop revenue with CAP</t>
  </si>
  <si>
    <t>Discounted net margin without CAP (PLN ha-1)</t>
  </si>
  <si>
    <t>Discounted net margin with CAP (PLN ha-1)</t>
  </si>
  <si>
    <t>Discounted cumulative net margin without CAP (PLN ha-1)</t>
  </si>
  <si>
    <t>£/PLN</t>
  </si>
  <si>
    <t>Wheat, barley, ORS, sugar beet, maize grain prices</t>
  </si>
  <si>
    <t>barley</t>
  </si>
  <si>
    <t>Price of OSR straw (ex-farm), same as wheat and barley</t>
  </si>
  <si>
    <r>
      <t>PLN kg</t>
    </r>
    <r>
      <rPr>
        <vertAlign val="superscript"/>
        <sz val="8"/>
        <color theme="1"/>
        <rFont val="Arial"/>
        <family val="2"/>
      </rPr>
      <t>-1</t>
    </r>
    <r>
      <rPr>
        <sz val="8"/>
        <color theme="1"/>
        <rFont val="Arial"/>
        <family val="2"/>
      </rPr>
      <t>/unit</t>
    </r>
    <r>
      <rPr>
        <vertAlign val="superscript"/>
        <sz val="8"/>
        <color theme="1"/>
        <rFont val="Arial"/>
        <family val="2"/>
      </rPr>
      <t>-1</t>
    </r>
  </si>
  <si>
    <t>Fertiliser needs for SRC (nitrogen)</t>
  </si>
  <si>
    <t>AHDB</t>
  </si>
  <si>
    <t>Fertiliser needs of SRC (P, K)</t>
  </si>
  <si>
    <t>80, 120</t>
  </si>
  <si>
    <t>100, 80, 120</t>
  </si>
  <si>
    <t>Fertiliser needs of Miscanthus, Sida, and Silphium (N, P, K)</t>
  </si>
  <si>
    <t>Cost of sprays SRC, Sida, Silphium (establishment), same as Miscanthus</t>
  </si>
  <si>
    <t>Cost of planting SRC, Miscanthus, Sida</t>
  </si>
  <si>
    <t>Cost of sprays SRC, Miscanthus, Sida, Silphium</t>
  </si>
  <si>
    <t>148.0, 40.6, 22.0, 22.0</t>
  </si>
  <si>
    <t>Decommissioning cost SRC, Miscanthus, Sida, Silphium</t>
  </si>
  <si>
    <t>2100.0, 500.0, 500.0, 500.0</t>
  </si>
  <si>
    <t>Silphium 0%</t>
  </si>
  <si>
    <t>Silphium +50%</t>
  </si>
  <si>
    <t>Silphium -50%</t>
  </si>
  <si>
    <t>Silphium +100%</t>
  </si>
  <si>
    <t>Silphium -100%</t>
  </si>
  <si>
    <t>Dr. Marek Bury</t>
  </si>
  <si>
    <t>Barley</t>
  </si>
  <si>
    <t>200.0, 180.0, 3.0, 1.30, 24.0</t>
  </si>
  <si>
    <t>1.89, 1.70, 180.86, 1300.0, 24.31</t>
  </si>
  <si>
    <t>Wheat, barley, sugar beet yields</t>
  </si>
  <si>
    <t>Cost of planting material SRC, Miscanthus</t>
  </si>
  <si>
    <t>0.245, 4.5</t>
  </si>
  <si>
    <t>SidaTim project</t>
  </si>
  <si>
    <t>Price Sida seedlings (Dirk Helling-Junghans)</t>
  </si>
  <si>
    <r>
      <t>€ seedling</t>
    </r>
    <r>
      <rPr>
        <vertAlign val="superscript"/>
        <sz val="8"/>
        <color theme="1"/>
        <rFont val="Arial"/>
        <family val="2"/>
      </rPr>
      <t>-1</t>
    </r>
  </si>
  <si>
    <t>Cost of Silphium seeds</t>
  </si>
  <si>
    <r>
      <t>€ kg</t>
    </r>
    <r>
      <rPr>
        <vertAlign val="superscript"/>
        <sz val="8"/>
        <color theme="1"/>
        <rFont val="Arial"/>
        <family val="2"/>
      </rPr>
      <t>-1</t>
    </r>
  </si>
  <si>
    <r>
      <t>PLN kg</t>
    </r>
    <r>
      <rPr>
        <vertAlign val="superscript"/>
        <sz val="8"/>
        <rFont val="Arial"/>
        <family val="2"/>
      </rPr>
      <t>-1</t>
    </r>
  </si>
  <si>
    <t>Cost of fertiliser application: establishment, recurring</t>
  </si>
  <si>
    <t>Cost of ground prep</t>
  </si>
  <si>
    <t>805.0, 650.0,</t>
  </si>
  <si>
    <t>Cost of harvesting SRC, Miscanthus</t>
  </si>
  <si>
    <t>Cost of harvesting Sida, Silphium</t>
  </si>
  <si>
    <t>100, 175</t>
  </si>
  <si>
    <t xml:space="preserve">Straw yield               </t>
  </si>
  <si>
    <t xml:space="preserve">Straw price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</si>
</sst>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"/>
    <numFmt numFmtId="165" formatCode="0.00_)"/>
    <numFmt numFmtId="166" formatCode="0_)"/>
    <numFmt numFmtId="167" formatCode="0.000"/>
    <numFmt numFmtId="168" formatCode="0.0_)"/>
  </numFmts>
  <fonts count="34" x14ac:knownFonts="1"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0"/>
      <name val="Arial"/>
      <family val="2"/>
    </font>
    <font>
      <vertAlign val="superscript"/>
      <sz val="8"/>
      <name val="Arial"/>
      <family val="2"/>
    </font>
    <font>
      <b/>
      <sz val="8"/>
      <color indexed="8"/>
      <name val="Arial"/>
      <family val="2"/>
    </font>
    <font>
      <i/>
      <sz val="8"/>
      <name val="Arial"/>
      <family val="2"/>
    </font>
    <font>
      <b/>
      <i/>
      <sz val="8"/>
      <name val="Arial"/>
      <family val="2"/>
    </font>
    <font>
      <sz val="8"/>
      <color theme="1"/>
      <name val="Arial"/>
      <family val="2"/>
    </font>
    <font>
      <u/>
      <sz val="11"/>
      <color theme="10"/>
      <name val="Arial"/>
      <family val="2"/>
    </font>
    <font>
      <sz val="12"/>
      <color theme="1"/>
      <name val="Arial"/>
      <family val="2"/>
    </font>
    <font>
      <b/>
      <sz val="8"/>
      <color theme="1"/>
      <name val="Arial"/>
      <family val="2"/>
    </font>
    <font>
      <sz val="11"/>
      <color theme="1"/>
      <name val="Arial"/>
      <family val="2"/>
    </font>
    <font>
      <sz val="8"/>
      <name val="Times New Roman"/>
      <family val="1"/>
    </font>
    <font>
      <vertAlign val="subscript"/>
      <sz val="8"/>
      <name val="Arial"/>
      <family val="2"/>
    </font>
    <font>
      <sz val="10"/>
      <name val="Arial"/>
      <family val="2"/>
    </font>
    <font>
      <sz val="8"/>
      <color theme="1"/>
      <name val="Calibri"/>
      <family val="2"/>
    </font>
    <font>
      <vertAlign val="superscript"/>
      <sz val="8"/>
      <color theme="1"/>
      <name val="Arial"/>
      <family val="2"/>
    </font>
    <font>
      <i/>
      <sz val="10"/>
      <name val="Arial"/>
      <family val="2"/>
    </font>
    <font>
      <sz val="10"/>
      <color rgb="FFFF0000"/>
      <name val="Arial"/>
      <family val="2"/>
    </font>
    <font>
      <sz val="8"/>
      <color theme="4"/>
      <name val="Arial"/>
      <family val="2"/>
    </font>
    <font>
      <vertAlign val="subscript"/>
      <sz val="8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9"/>
      <name val="Arial"/>
      <family val="2"/>
    </font>
    <font>
      <sz val="8"/>
      <color rgb="FFFF0000"/>
      <name val="Arial"/>
      <family val="2"/>
    </font>
    <font>
      <sz val="8"/>
      <color theme="5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2" fillId="0" borderId="0" applyNumberFormat="0" applyFill="0" applyBorder="0" applyAlignment="0" applyProtection="0"/>
    <xf numFmtId="9" fontId="15" fillId="0" borderId="0" applyFont="0" applyFill="0" applyBorder="0" applyAlignment="0" applyProtection="0"/>
  </cellStyleXfs>
  <cellXfs count="1099">
    <xf numFmtId="0" fontId="0" fillId="0" borderId="0" xfId="0"/>
    <xf numFmtId="0" fontId="1" fillId="0" borderId="0" xfId="0" applyFont="1"/>
    <xf numFmtId="0" fontId="0" fillId="0" borderId="0" xfId="0" applyFont="1"/>
    <xf numFmtId="164" fontId="3" fillId="0" borderId="16" xfId="0" applyNumberFormat="1" applyFont="1" applyFill="1" applyBorder="1" applyProtection="1">
      <protection locked="0"/>
    </xf>
    <xf numFmtId="0" fontId="3" fillId="2" borderId="9" xfId="0" applyFont="1" applyFill="1" applyBorder="1" applyAlignment="1" applyProtection="1"/>
    <xf numFmtId="0" fontId="3" fillId="2" borderId="13" xfId="0" applyFont="1" applyFill="1" applyBorder="1" applyAlignment="1" applyProtection="1"/>
    <xf numFmtId="0" fontId="4" fillId="0" borderId="8" xfId="0" applyFont="1" applyFill="1" applyBorder="1" applyProtection="1"/>
    <xf numFmtId="0" fontId="4" fillId="0" borderId="3" xfId="0" applyFont="1" applyFill="1" applyBorder="1" applyProtection="1"/>
    <xf numFmtId="165" fontId="8" fillId="0" borderId="3" xfId="0" applyNumberFormat="1" applyFont="1" applyFill="1" applyBorder="1" applyAlignment="1" applyProtection="1"/>
    <xf numFmtId="0" fontId="3" fillId="0" borderId="3" xfId="0" applyFont="1" applyFill="1" applyBorder="1" applyAlignment="1" applyProtection="1"/>
    <xf numFmtId="0" fontId="3" fillId="0" borderId="3" xfId="0" applyFont="1" applyFill="1" applyBorder="1" applyProtection="1"/>
    <xf numFmtId="0" fontId="4" fillId="2" borderId="10" xfId="0" applyFont="1" applyFill="1" applyBorder="1" applyProtection="1"/>
    <xf numFmtId="0" fontId="3" fillId="2" borderId="3" xfId="0" applyFont="1" applyFill="1" applyBorder="1" applyProtection="1"/>
    <xf numFmtId="0" fontId="4" fillId="2" borderId="3" xfId="0" applyFont="1" applyFill="1" applyBorder="1" applyProtection="1"/>
    <xf numFmtId="0" fontId="3" fillId="2" borderId="14" xfId="0" applyFont="1" applyFill="1" applyBorder="1" applyProtection="1"/>
    <xf numFmtId="165" fontId="8" fillId="0" borderId="8" xfId="0" applyNumberFormat="1" applyFont="1" applyFill="1" applyBorder="1" applyProtection="1"/>
    <xf numFmtId="0" fontId="3" fillId="0" borderId="16" xfId="0" applyFont="1" applyFill="1" applyBorder="1" applyProtection="1"/>
    <xf numFmtId="0" fontId="3" fillId="0" borderId="16" xfId="0" applyFont="1" applyFill="1" applyBorder="1" applyAlignment="1" applyProtection="1">
      <alignment horizontal="left" vertical="top"/>
    </xf>
    <xf numFmtId="0" fontId="3" fillId="0" borderId="9" xfId="0" applyFont="1" applyFill="1" applyBorder="1" applyAlignment="1" applyProtection="1"/>
    <xf numFmtId="165" fontId="8" fillId="0" borderId="0" xfId="0" applyNumberFormat="1" applyFont="1" applyFill="1" applyBorder="1" applyAlignment="1" applyProtection="1">
      <alignment horizontal="left" vertical="top" wrapText="1"/>
    </xf>
    <xf numFmtId="0" fontId="4" fillId="0" borderId="0" xfId="0" applyFont="1" applyFill="1" applyBorder="1" applyAlignment="1" applyProtection="1"/>
    <xf numFmtId="0" fontId="0" fillId="0" borderId="0" xfId="0" applyFont="1" applyFill="1" applyBorder="1"/>
    <xf numFmtId="0" fontId="3" fillId="0" borderId="11" xfId="0" applyFont="1" applyFill="1" applyBorder="1" applyProtection="1"/>
    <xf numFmtId="0" fontId="3" fillId="0" borderId="13" xfId="0" applyFont="1" applyFill="1" applyBorder="1" applyAlignment="1" applyProtection="1"/>
    <xf numFmtId="0" fontId="11" fillId="0" borderId="0" xfId="0" applyFont="1"/>
    <xf numFmtId="0" fontId="0" fillId="0" borderId="0" xfId="0" applyFont="1" applyFill="1"/>
    <xf numFmtId="0" fontId="3" fillId="0" borderId="0" xfId="0" applyFont="1" applyFill="1" applyBorder="1"/>
    <xf numFmtId="0" fontId="3" fillId="0" borderId="0" xfId="0" applyFont="1" applyFill="1" applyBorder="1" applyAlignment="1" applyProtection="1">
      <alignment horizontal="left" vertical="top"/>
    </xf>
    <xf numFmtId="0" fontId="9" fillId="0" borderId="10" xfId="0" applyFont="1" applyFill="1" applyBorder="1" applyAlignment="1" applyProtection="1">
      <alignment horizontal="right" vertical="top" wrapText="1"/>
    </xf>
    <xf numFmtId="0" fontId="9" fillId="0" borderId="16" xfId="0" applyFont="1" applyFill="1" applyBorder="1" applyAlignment="1" applyProtection="1">
      <alignment horizontal="right" vertical="top" wrapText="1"/>
    </xf>
    <xf numFmtId="0" fontId="3" fillId="0" borderId="0" xfId="0" applyFont="1" applyFill="1" applyBorder="1" applyAlignment="1" applyProtection="1"/>
    <xf numFmtId="0" fontId="9" fillId="0" borderId="14" xfId="0" applyFont="1" applyFill="1" applyBorder="1" applyAlignment="1" applyProtection="1">
      <alignment horizontal="right" vertical="top" wrapText="1"/>
    </xf>
    <xf numFmtId="165" fontId="5" fillId="0" borderId="16" xfId="0" applyNumberFormat="1" applyFont="1" applyFill="1" applyBorder="1" applyAlignment="1" applyProtection="1">
      <alignment horizontal="left" vertical="top" wrapText="1"/>
    </xf>
    <xf numFmtId="0" fontId="3" fillId="0" borderId="16" xfId="0" applyFont="1" applyFill="1" applyBorder="1" applyAlignment="1" applyProtection="1">
      <alignment horizontal="left" vertical="top" wrapText="1"/>
    </xf>
    <xf numFmtId="0" fontId="3" fillId="0" borderId="19" xfId="0" applyFont="1" applyFill="1" applyBorder="1" applyAlignment="1" applyProtection="1"/>
    <xf numFmtId="165" fontId="5" fillId="0" borderId="9" xfId="0" applyNumberFormat="1" applyFont="1" applyFill="1" applyBorder="1" applyAlignment="1" applyProtection="1">
      <alignment horizontal="left" vertical="top" wrapText="1"/>
    </xf>
    <xf numFmtId="165" fontId="5" fillId="0" borderId="13" xfId="0" applyNumberFormat="1" applyFont="1" applyFill="1" applyBorder="1" applyAlignment="1" applyProtection="1">
      <alignment horizontal="left" vertical="top" wrapText="1"/>
    </xf>
    <xf numFmtId="165" fontId="5" fillId="0" borderId="18" xfId="0" applyNumberFormat="1" applyFont="1" applyFill="1" applyBorder="1" applyAlignment="1" applyProtection="1">
      <alignment horizontal="left" vertical="top" wrapText="1"/>
    </xf>
    <xf numFmtId="0" fontId="3" fillId="0" borderId="6" xfId="0" applyFont="1" applyFill="1" applyBorder="1" applyAlignment="1" applyProtection="1"/>
    <xf numFmtId="0" fontId="0" fillId="0" borderId="0" xfId="0" applyFill="1"/>
    <xf numFmtId="2" fontId="3" fillId="0" borderId="16" xfId="0" applyNumberFormat="1" applyFont="1" applyFill="1" applyBorder="1" applyProtection="1">
      <protection locked="0"/>
    </xf>
    <xf numFmtId="0" fontId="3" fillId="0" borderId="16" xfId="0" applyFont="1" applyFill="1" applyBorder="1"/>
    <xf numFmtId="0" fontId="4" fillId="0" borderId="18" xfId="0" applyFont="1" applyFill="1" applyBorder="1"/>
    <xf numFmtId="0" fontId="4" fillId="0" borderId="6" xfId="0" applyFont="1" applyFill="1" applyBorder="1" applyAlignment="1">
      <alignment wrapText="1"/>
    </xf>
    <xf numFmtId="0" fontId="3" fillId="0" borderId="6" xfId="0" applyFont="1" applyFill="1" applyBorder="1"/>
    <xf numFmtId="0" fontId="4" fillId="0" borderId="16" xfId="0" applyFont="1" applyFill="1" applyBorder="1" applyAlignment="1">
      <alignment horizontal="left"/>
    </xf>
    <xf numFmtId="0" fontId="3" fillId="0" borderId="14" xfId="0" applyFont="1" applyFill="1" applyBorder="1"/>
    <xf numFmtId="0" fontId="3" fillId="0" borderId="13" xfId="0" applyFont="1" applyFill="1" applyBorder="1"/>
    <xf numFmtId="0" fontId="3" fillId="0" borderId="21" xfId="0" applyFont="1" applyFill="1" applyBorder="1"/>
    <xf numFmtId="0" fontId="4" fillId="0" borderId="10" xfId="0" applyFont="1" applyFill="1" applyBorder="1"/>
    <xf numFmtId="0" fontId="4" fillId="0" borderId="6" xfId="0" applyFont="1" applyFill="1" applyBorder="1" applyAlignment="1">
      <alignment horizontal="center" wrapText="1"/>
    </xf>
    <xf numFmtId="0" fontId="4" fillId="0" borderId="6" xfId="0" applyFont="1" applyFill="1" applyBorder="1"/>
    <xf numFmtId="0" fontId="4" fillId="0" borderId="16" xfId="0" applyFont="1" applyFill="1" applyBorder="1"/>
    <xf numFmtId="0" fontId="3" fillId="0" borderId="0" xfId="0" applyFont="1" applyFill="1"/>
    <xf numFmtId="0" fontId="3" fillId="0" borderId="22" xfId="0" applyFont="1" applyFill="1" applyBorder="1"/>
    <xf numFmtId="0" fontId="0" fillId="0" borderId="14" xfId="0" applyBorder="1"/>
    <xf numFmtId="0" fontId="4" fillId="0" borderId="6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wrapText="1"/>
    </xf>
    <xf numFmtId="0" fontId="4" fillId="0" borderId="5" xfId="0" applyFont="1" applyFill="1" applyBorder="1" applyAlignment="1">
      <alignment horizontal="center" wrapText="1"/>
    </xf>
    <xf numFmtId="2" fontId="3" fillId="3" borderId="3" xfId="0" applyNumberFormat="1" applyFont="1" applyFill="1" applyBorder="1" applyAlignment="1">
      <alignment horizontal="center"/>
    </xf>
    <xf numFmtId="2" fontId="3" fillId="3" borderId="11" xfId="0" applyNumberFormat="1" applyFont="1" applyFill="1" applyBorder="1" applyAlignment="1">
      <alignment horizontal="center"/>
    </xf>
    <xf numFmtId="2" fontId="3" fillId="3" borderId="16" xfId="0" applyNumberFormat="1" applyFont="1" applyFill="1" applyBorder="1" applyAlignment="1">
      <alignment horizontal="center"/>
    </xf>
    <xf numFmtId="0" fontId="3" fillId="0" borderId="10" xfId="0" applyFont="1" applyFill="1" applyBorder="1"/>
    <xf numFmtId="0" fontId="0" fillId="0" borderId="0" xfId="0" applyBorder="1"/>
    <xf numFmtId="0" fontId="0" fillId="0" borderId="16" xfId="0" applyBorder="1"/>
    <xf numFmtId="0" fontId="3" fillId="0" borderId="23" xfId="0" applyFont="1" applyFill="1" applyBorder="1"/>
    <xf numFmtId="2" fontId="4" fillId="0" borderId="21" xfId="0" applyNumberFormat="1" applyFont="1" applyFill="1" applyBorder="1"/>
    <xf numFmtId="2" fontId="4" fillId="0" borderId="6" xfId="0" applyNumberFormat="1" applyFont="1" applyFill="1" applyBorder="1"/>
    <xf numFmtId="0" fontId="0" fillId="5" borderId="0" xfId="0" applyFill="1"/>
    <xf numFmtId="2" fontId="3" fillId="0" borderId="0" xfId="0" applyNumberFormat="1" applyFont="1" applyFill="1" applyBorder="1"/>
    <xf numFmtId="0" fontId="3" fillId="0" borderId="0" xfId="0" applyFont="1" applyFill="1" applyBorder="1" applyAlignment="1">
      <alignment wrapText="1"/>
    </xf>
    <xf numFmtId="0" fontId="4" fillId="0" borderId="13" xfId="0" applyFont="1" applyFill="1" applyBorder="1" applyAlignment="1">
      <alignment wrapText="1"/>
    </xf>
    <xf numFmtId="0" fontId="4" fillId="0" borderId="23" xfId="0" applyFont="1" applyFill="1" applyBorder="1" applyAlignment="1">
      <alignment wrapText="1"/>
    </xf>
    <xf numFmtId="0" fontId="4" fillId="0" borderId="14" xfId="0" applyFont="1" applyFill="1" applyBorder="1" applyAlignment="1">
      <alignment wrapText="1"/>
    </xf>
    <xf numFmtId="165" fontId="8" fillId="0" borderId="0" xfId="0" applyNumberFormat="1" applyFont="1" applyFill="1" applyBorder="1" applyProtection="1"/>
    <xf numFmtId="0" fontId="0" fillId="0" borderId="13" xfId="0" applyFont="1" applyFill="1" applyBorder="1"/>
    <xf numFmtId="165" fontId="5" fillId="0" borderId="8" xfId="0" applyNumberFormat="1" applyFont="1" applyFill="1" applyBorder="1" applyProtection="1"/>
    <xf numFmtId="0" fontId="3" fillId="0" borderId="14" xfId="0" applyFont="1" applyFill="1" applyBorder="1" applyProtection="1"/>
    <xf numFmtId="0" fontId="13" fillId="0" borderId="0" xfId="0" applyFont="1"/>
    <xf numFmtId="0" fontId="3" fillId="0" borderId="22" xfId="0" applyFont="1" applyFill="1" applyBorder="1" applyAlignment="1" applyProtection="1"/>
    <xf numFmtId="0" fontId="3" fillId="0" borderId="23" xfId="0" applyFont="1" applyFill="1" applyBorder="1" applyAlignment="1" applyProtection="1"/>
    <xf numFmtId="165" fontId="5" fillId="0" borderId="10" xfId="0" applyNumberFormat="1" applyFont="1" applyFill="1" applyBorder="1" applyAlignment="1" applyProtection="1">
      <alignment horizontal="left" vertical="top" wrapText="1"/>
    </xf>
    <xf numFmtId="165" fontId="5" fillId="0" borderId="14" xfId="0" applyNumberFormat="1" applyFont="1" applyFill="1" applyBorder="1" applyAlignment="1" applyProtection="1">
      <alignment horizontal="left" vertical="top" wrapText="1"/>
    </xf>
    <xf numFmtId="0" fontId="3" fillId="0" borderId="24" xfId="0" applyFont="1" applyFill="1" applyBorder="1" applyAlignment="1" applyProtection="1"/>
    <xf numFmtId="2" fontId="3" fillId="0" borderId="5" xfId="0" applyNumberFormat="1" applyFont="1" applyFill="1" applyBorder="1" applyProtection="1"/>
    <xf numFmtId="0" fontId="0" fillId="3" borderId="0" xfId="0" applyFill="1"/>
    <xf numFmtId="0" fontId="11" fillId="0" borderId="5" xfId="0" applyFont="1" applyBorder="1"/>
    <xf numFmtId="0" fontId="3" fillId="0" borderId="6" xfId="0" applyFont="1" applyFill="1" applyBorder="1" applyAlignment="1" applyProtection="1">
      <alignment horizontal="left" vertical="top" wrapText="1"/>
    </xf>
    <xf numFmtId="0" fontId="11" fillId="0" borderId="6" xfId="0" applyFont="1" applyBorder="1"/>
    <xf numFmtId="0" fontId="3" fillId="0" borderId="21" xfId="0" applyFont="1" applyFill="1" applyBorder="1" applyAlignment="1" applyProtection="1"/>
    <xf numFmtId="2" fontId="0" fillId="0" borderId="0" xfId="0" applyNumberFormat="1" applyFont="1"/>
    <xf numFmtId="0" fontId="4" fillId="0" borderId="5" xfId="0" applyFont="1" applyFill="1" applyBorder="1" applyProtection="1"/>
    <xf numFmtId="1" fontId="3" fillId="0" borderId="21" xfId="0" applyNumberFormat="1" applyFont="1" applyFill="1" applyBorder="1" applyProtection="1"/>
    <xf numFmtId="0" fontId="3" fillId="0" borderId="18" xfId="0" applyFont="1" applyFill="1" applyBorder="1" applyAlignment="1" applyProtection="1">
      <alignment horizontal="left" vertical="top"/>
    </xf>
    <xf numFmtId="165" fontId="8" fillId="0" borderId="16" xfId="0" applyNumberFormat="1" applyFont="1" applyFill="1" applyBorder="1" applyAlignment="1" applyProtection="1"/>
    <xf numFmtId="165" fontId="8" fillId="0" borderId="16" xfId="0" applyNumberFormat="1" applyFont="1" applyFill="1" applyBorder="1" applyAlignment="1" applyProtection="1">
      <alignment horizontal="left" vertical="top" wrapText="1"/>
    </xf>
    <xf numFmtId="0" fontId="4" fillId="0" borderId="16" xfId="0" applyFont="1" applyFill="1" applyBorder="1" applyProtection="1"/>
    <xf numFmtId="165" fontId="8" fillId="0" borderId="8" xfId="0" applyNumberFormat="1" applyFont="1" applyFill="1" applyBorder="1" applyAlignment="1" applyProtection="1"/>
    <xf numFmtId="0" fontId="0" fillId="0" borderId="0" xfId="0" applyFill="1" applyBorder="1"/>
    <xf numFmtId="1" fontId="4" fillId="0" borderId="8" xfId="0" applyNumberFormat="1" applyFont="1" applyFill="1" applyBorder="1" applyProtection="1"/>
    <xf numFmtId="1" fontId="4" fillId="0" borderId="11" xfId="0" applyNumberFormat="1" applyFont="1" applyFill="1" applyBorder="1" applyProtection="1"/>
    <xf numFmtId="0" fontId="0" fillId="0" borderId="22" xfId="0" applyFont="1" applyFill="1" applyBorder="1"/>
    <xf numFmtId="0" fontId="11" fillId="0" borderId="0" xfId="0" applyFont="1" applyFill="1"/>
    <xf numFmtId="0" fontId="0" fillId="0" borderId="10" xfId="0" applyBorder="1"/>
    <xf numFmtId="2" fontId="0" fillId="0" borderId="0" xfId="0" applyNumberFormat="1"/>
    <xf numFmtId="0" fontId="0" fillId="0" borderId="3" xfId="0" applyBorder="1"/>
    <xf numFmtId="0" fontId="0" fillId="0" borderId="11" xfId="0" applyBorder="1"/>
    <xf numFmtId="2" fontId="11" fillId="0" borderId="8" xfId="0" applyNumberFormat="1" applyFont="1" applyBorder="1"/>
    <xf numFmtId="2" fontId="11" fillId="0" borderId="3" xfId="0" applyNumberFormat="1" applyFont="1" applyBorder="1"/>
    <xf numFmtId="2" fontId="4" fillId="0" borderId="8" xfId="0" applyNumberFormat="1" applyFont="1" applyFill="1" applyBorder="1" applyAlignment="1" applyProtection="1">
      <alignment horizontal="right"/>
    </xf>
    <xf numFmtId="2" fontId="4" fillId="0" borderId="3" xfId="0" applyNumberFormat="1" applyFont="1" applyFill="1" applyBorder="1" applyAlignment="1" applyProtection="1">
      <alignment horizontal="right"/>
    </xf>
    <xf numFmtId="2" fontId="4" fillId="0" borderId="5" xfId="0" applyNumberFormat="1" applyFont="1" applyFill="1" applyBorder="1" applyAlignment="1" applyProtection="1">
      <alignment horizontal="right"/>
    </xf>
    <xf numFmtId="0" fontId="3" fillId="0" borderId="10" xfId="0" applyFont="1" applyFill="1" applyBorder="1" applyAlignment="1" applyProtection="1">
      <alignment horizontal="left" vertical="top"/>
    </xf>
    <xf numFmtId="0" fontId="3" fillId="0" borderId="24" xfId="0" applyFont="1" applyFill="1" applyBorder="1" applyAlignment="1" applyProtection="1">
      <alignment horizontal="left" vertical="top"/>
    </xf>
    <xf numFmtId="0" fontId="3" fillId="0" borderId="23" xfId="0" applyFont="1" applyFill="1" applyBorder="1" applyAlignment="1" applyProtection="1">
      <alignment horizontal="left" vertical="top"/>
    </xf>
    <xf numFmtId="165" fontId="5" fillId="2" borderId="10" xfId="0" applyNumberFormat="1" applyFont="1" applyFill="1" applyBorder="1" applyAlignment="1" applyProtection="1">
      <alignment horizontal="left" vertical="top" wrapText="1"/>
    </xf>
    <xf numFmtId="165" fontId="5" fillId="2" borderId="14" xfId="0" applyNumberFormat="1" applyFont="1" applyFill="1" applyBorder="1" applyAlignment="1" applyProtection="1">
      <alignment horizontal="left" vertical="top" wrapText="1"/>
    </xf>
    <xf numFmtId="0" fontId="3" fillId="2" borderId="24" xfId="0" applyFont="1" applyFill="1" applyBorder="1" applyAlignment="1" applyProtection="1"/>
    <xf numFmtId="0" fontId="3" fillId="2" borderId="23" xfId="0" applyFont="1" applyFill="1" applyBorder="1" applyAlignment="1" applyProtection="1"/>
    <xf numFmtId="1" fontId="4" fillId="0" borderId="0" xfId="0" applyNumberFormat="1" applyFont="1" applyFill="1" applyBorder="1" applyProtection="1"/>
    <xf numFmtId="165" fontId="5" fillId="0" borderId="14" xfId="0" applyNumberFormat="1" applyFont="1" applyFill="1" applyBorder="1" applyAlignment="1" applyProtection="1">
      <alignment horizontal="right" vertical="top" wrapText="1"/>
    </xf>
    <xf numFmtId="165" fontId="5" fillId="0" borderId="18" xfId="0" applyNumberFormat="1" applyFont="1" applyFill="1" applyBorder="1" applyAlignment="1" applyProtection="1">
      <alignment horizontal="right" vertical="top" wrapText="1"/>
    </xf>
    <xf numFmtId="165" fontId="8" fillId="2" borderId="14" xfId="0" applyNumberFormat="1" applyFont="1" applyFill="1" applyBorder="1" applyAlignment="1" applyProtection="1">
      <alignment horizontal="right" vertical="top" wrapText="1"/>
    </xf>
    <xf numFmtId="165" fontId="8" fillId="2" borderId="14" xfId="0" applyNumberFormat="1" applyFont="1" applyFill="1" applyBorder="1" applyAlignment="1" applyProtection="1">
      <alignment horizontal="left" vertical="top" wrapText="1"/>
    </xf>
    <xf numFmtId="0" fontId="4" fillId="2" borderId="10" xfId="0" applyFont="1" applyFill="1" applyBorder="1" applyAlignment="1" applyProtection="1">
      <alignment horizontal="left" vertical="top" wrapText="1"/>
    </xf>
    <xf numFmtId="0" fontId="3" fillId="0" borderId="14" xfId="0" applyFont="1" applyFill="1" applyBorder="1" applyAlignment="1" applyProtection="1">
      <alignment horizontal="left" vertical="top" wrapText="1"/>
    </xf>
    <xf numFmtId="0" fontId="9" fillId="0" borderId="18" xfId="0" applyFont="1" applyFill="1" applyBorder="1" applyAlignment="1" applyProtection="1">
      <alignment horizontal="right" vertical="top" wrapText="1"/>
    </xf>
    <xf numFmtId="0" fontId="3" fillId="0" borderId="22" xfId="0" applyFont="1" applyFill="1" applyBorder="1" applyAlignment="1" applyProtection="1">
      <alignment horizontal="left" vertical="top"/>
    </xf>
    <xf numFmtId="0" fontId="2" fillId="0" borderId="0" xfId="0" applyFont="1" applyBorder="1"/>
    <xf numFmtId="0" fontId="3" fillId="0" borderId="5" xfId="0" applyFont="1" applyFill="1" applyBorder="1" applyAlignment="1">
      <alignment horizontal="right"/>
    </xf>
    <xf numFmtId="2" fontId="3" fillId="0" borderId="5" xfId="0" applyNumberFormat="1" applyFont="1" applyFill="1" applyBorder="1"/>
    <xf numFmtId="2" fontId="3" fillId="3" borderId="0" xfId="0" applyNumberFormat="1" applyFont="1" applyFill="1" applyBorder="1" applyAlignment="1">
      <alignment horizontal="center"/>
    </xf>
    <xf numFmtId="2" fontId="3" fillId="0" borderId="9" xfId="0" applyNumberFormat="1" applyFont="1" applyFill="1" applyBorder="1" applyAlignment="1">
      <alignment horizontal="left"/>
    </xf>
    <xf numFmtId="2" fontId="3" fillId="0" borderId="0" xfId="0" applyNumberFormat="1" applyFont="1" applyFill="1" applyBorder="1" applyAlignment="1">
      <alignment horizontal="left"/>
    </xf>
    <xf numFmtId="0" fontId="4" fillId="0" borderId="18" xfId="0" applyFont="1" applyFill="1" applyBorder="1" applyAlignment="1">
      <alignment horizontal="center" vertical="center" wrapText="1"/>
    </xf>
    <xf numFmtId="0" fontId="3" fillId="0" borderId="2" xfId="0" applyFont="1" applyFill="1" applyBorder="1"/>
    <xf numFmtId="0" fontId="3" fillId="0" borderId="29" xfId="0" applyFont="1" applyFill="1" applyBorder="1" applyAlignment="1">
      <alignment horizontal="center"/>
    </xf>
    <xf numFmtId="0" fontId="3" fillId="0" borderId="20" xfId="0" applyFont="1" applyFill="1" applyBorder="1"/>
    <xf numFmtId="1" fontId="3" fillId="0" borderId="2" xfId="0" applyNumberFormat="1" applyFont="1" applyFill="1" applyBorder="1" applyAlignment="1">
      <alignment horizontal="center"/>
    </xf>
    <xf numFmtId="0" fontId="3" fillId="0" borderId="29" xfId="0" applyFont="1" applyFill="1" applyBorder="1"/>
    <xf numFmtId="2" fontId="3" fillId="0" borderId="26" xfId="0" applyNumberFormat="1" applyFont="1" applyFill="1" applyBorder="1" applyAlignment="1">
      <alignment horizontal="left"/>
    </xf>
    <xf numFmtId="2" fontId="3" fillId="0" borderId="2" xfId="0" applyNumberFormat="1" applyFont="1" applyFill="1" applyBorder="1" applyAlignment="1">
      <alignment horizontal="left"/>
    </xf>
    <xf numFmtId="2" fontId="3" fillId="0" borderId="20" xfId="0" applyNumberFormat="1" applyFont="1" applyFill="1" applyBorder="1" applyAlignment="1">
      <alignment horizontal="left"/>
    </xf>
    <xf numFmtId="0" fontId="4" fillId="0" borderId="20" xfId="0" applyFont="1" applyFill="1" applyBorder="1" applyAlignment="1">
      <alignment wrapText="1"/>
    </xf>
    <xf numFmtId="0" fontId="4" fillId="0" borderId="20" xfId="0" applyFont="1" applyFill="1" applyBorder="1" applyAlignment="1">
      <alignment horizontal="center" wrapText="1"/>
    </xf>
    <xf numFmtId="1" fontId="4" fillId="0" borderId="29" xfId="0" applyNumberFormat="1" applyFont="1" applyFill="1" applyBorder="1" applyAlignment="1">
      <alignment horizontal="center"/>
    </xf>
    <xf numFmtId="0" fontId="3" fillId="0" borderId="18" xfId="0" applyFont="1" applyFill="1" applyBorder="1"/>
    <xf numFmtId="0" fontId="3" fillId="0" borderId="21" xfId="0" applyFont="1" applyFill="1" applyBorder="1" applyAlignment="1">
      <alignment horizontal="left"/>
    </xf>
    <xf numFmtId="0" fontId="11" fillId="0" borderId="9" xfId="0" applyFont="1" applyFill="1" applyBorder="1"/>
    <xf numFmtId="1" fontId="3" fillId="0" borderId="0" xfId="0" applyNumberFormat="1" applyFont="1" applyFill="1" applyBorder="1"/>
    <xf numFmtId="0" fontId="3" fillId="0" borderId="5" xfId="0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/>
    </xf>
    <xf numFmtId="0" fontId="11" fillId="0" borderId="6" xfId="0" applyFont="1" applyFill="1" applyBorder="1"/>
    <xf numFmtId="1" fontId="3" fillId="0" borderId="11" xfId="0" applyNumberFormat="1" applyFont="1" applyFill="1" applyBorder="1" applyProtection="1"/>
    <xf numFmtId="164" fontId="3" fillId="0" borderId="5" xfId="0" applyNumberFormat="1" applyFont="1" applyFill="1" applyBorder="1" applyProtection="1"/>
    <xf numFmtId="1" fontId="3" fillId="0" borderId="5" xfId="0" applyNumberFormat="1" applyFont="1" applyFill="1" applyBorder="1" applyProtection="1"/>
    <xf numFmtId="164" fontId="3" fillId="0" borderId="31" xfId="0" applyNumberFormat="1" applyFont="1" applyFill="1" applyBorder="1" applyProtection="1"/>
    <xf numFmtId="0" fontId="3" fillId="0" borderId="27" xfId="0" applyFont="1" applyFill="1" applyBorder="1" applyAlignment="1" applyProtection="1"/>
    <xf numFmtId="0" fontId="0" fillId="0" borderId="9" xfId="0" applyBorder="1"/>
    <xf numFmtId="0" fontId="3" fillId="0" borderId="28" xfId="0" applyFont="1" applyFill="1" applyBorder="1" applyAlignment="1" applyProtection="1">
      <alignment horizontal="left" vertical="top"/>
    </xf>
    <xf numFmtId="0" fontId="3" fillId="0" borderId="28" xfId="0" applyFont="1" applyFill="1" applyBorder="1" applyAlignment="1" applyProtection="1"/>
    <xf numFmtId="0" fontId="4" fillId="0" borderId="0" xfId="0" applyFont="1" applyFill="1" applyBorder="1" applyAlignment="1" applyProtection="1">
      <alignment horizontal="right" vertical="top" wrapText="1"/>
    </xf>
    <xf numFmtId="1" fontId="3" fillId="0" borderId="24" xfId="0" applyNumberFormat="1" applyFont="1" applyFill="1" applyBorder="1" applyProtection="1"/>
    <xf numFmtId="165" fontId="8" fillId="0" borderId="10" xfId="0" applyNumberFormat="1" applyFont="1" applyFill="1" applyBorder="1" applyProtection="1"/>
    <xf numFmtId="1" fontId="3" fillId="0" borderId="8" xfId="0" applyNumberFormat="1" applyFont="1" applyFill="1" applyBorder="1" applyProtection="1"/>
    <xf numFmtId="0" fontId="11" fillId="0" borderId="13" xfId="0" applyFont="1" applyBorder="1"/>
    <xf numFmtId="1" fontId="3" fillId="0" borderId="3" xfId="0" applyNumberFormat="1" applyFont="1" applyFill="1" applyBorder="1" applyProtection="1"/>
    <xf numFmtId="0" fontId="3" fillId="0" borderId="23" xfId="0" applyFont="1" applyFill="1" applyBorder="1" applyAlignment="1">
      <alignment horizontal="center" wrapText="1"/>
    </xf>
    <xf numFmtId="0" fontId="11" fillId="0" borderId="13" xfId="0" applyFont="1" applyFill="1" applyBorder="1"/>
    <xf numFmtId="0" fontId="11" fillId="0" borderId="23" xfId="0" applyFont="1" applyFill="1" applyBorder="1"/>
    <xf numFmtId="0" fontId="3" fillId="0" borderId="9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center" wrapText="1"/>
    </xf>
    <xf numFmtId="0" fontId="3" fillId="0" borderId="13" xfId="0" applyFont="1" applyFill="1" applyBorder="1" applyAlignment="1">
      <alignment horizontal="center" wrapText="1"/>
    </xf>
    <xf numFmtId="0" fontId="11" fillId="0" borderId="14" xfId="0" applyFont="1" applyFill="1" applyBorder="1"/>
    <xf numFmtId="0" fontId="0" fillId="0" borderId="21" xfId="0" applyBorder="1"/>
    <xf numFmtId="165" fontId="8" fillId="0" borderId="10" xfId="0" applyNumberFormat="1" applyFont="1" applyFill="1" applyBorder="1" applyAlignment="1" applyProtection="1">
      <alignment horizontal="left" vertical="top" wrapText="1"/>
    </xf>
    <xf numFmtId="164" fontId="3" fillId="0" borderId="18" xfId="0" applyNumberFormat="1" applyFont="1" applyFill="1" applyBorder="1" applyProtection="1"/>
    <xf numFmtId="165" fontId="5" fillId="0" borderId="0" xfId="0" applyNumberFormat="1" applyFont="1" applyFill="1" applyBorder="1" applyAlignment="1" applyProtection="1">
      <alignment horizontal="left" vertical="top" wrapText="1"/>
    </xf>
    <xf numFmtId="0" fontId="4" fillId="0" borderId="10" xfId="0" applyFont="1" applyFill="1" applyBorder="1" applyProtection="1"/>
    <xf numFmtId="0" fontId="4" fillId="0" borderId="13" xfId="0" applyFont="1" applyFill="1" applyBorder="1" applyAlignment="1" applyProtection="1"/>
    <xf numFmtId="0" fontId="3" fillId="0" borderId="16" xfId="0" applyFont="1" applyFill="1" applyBorder="1" applyAlignment="1" applyProtection="1">
      <alignment horizontal="right" vertical="top" wrapText="1"/>
    </xf>
    <xf numFmtId="0" fontId="3" fillId="0" borderId="14" xfId="0" applyFont="1" applyFill="1" applyBorder="1" applyAlignment="1" applyProtection="1">
      <alignment horizontal="right" vertical="top" wrapText="1"/>
    </xf>
    <xf numFmtId="0" fontId="4" fillId="0" borderId="19" xfId="0" applyFont="1" applyFill="1" applyBorder="1" applyAlignment="1" applyProtection="1"/>
    <xf numFmtId="0" fontId="10" fillId="0" borderId="18" xfId="0" applyFont="1" applyFill="1" applyBorder="1"/>
    <xf numFmtId="0" fontId="4" fillId="2" borderId="8" xfId="0" applyFont="1" applyFill="1" applyBorder="1" applyProtection="1"/>
    <xf numFmtId="165" fontId="5" fillId="2" borderId="11" xfId="0" applyNumberFormat="1" applyFont="1" applyFill="1" applyBorder="1" applyAlignment="1" applyProtection="1">
      <alignment horizontal="left" vertical="top" wrapText="1"/>
    </xf>
    <xf numFmtId="0" fontId="0" fillId="9" borderId="0" xfId="0" applyFill="1"/>
    <xf numFmtId="0" fontId="4" fillId="2" borderId="10" xfId="0" applyFont="1" applyFill="1" applyBorder="1" applyAlignment="1" applyProtection="1">
      <alignment horizontal="right" vertical="top" wrapText="1"/>
    </xf>
    <xf numFmtId="0" fontId="4" fillId="2" borderId="14" xfId="0" applyFont="1" applyFill="1" applyBorder="1" applyAlignment="1" applyProtection="1">
      <alignment horizontal="right" vertical="top" wrapText="1"/>
    </xf>
    <xf numFmtId="165" fontId="4" fillId="2" borderId="5" xfId="0" applyNumberFormat="1" applyFont="1" applyFill="1" applyBorder="1" applyProtection="1"/>
    <xf numFmtId="0" fontId="4" fillId="2" borderId="16" xfId="0" applyFont="1" applyFill="1" applyBorder="1" applyAlignment="1" applyProtection="1">
      <alignment horizontal="right" vertical="top" wrapText="1"/>
    </xf>
    <xf numFmtId="165" fontId="4" fillId="2" borderId="8" xfId="0" applyNumberFormat="1" applyFont="1" applyFill="1" applyBorder="1" applyProtection="1"/>
    <xf numFmtId="165" fontId="8" fillId="2" borderId="8" xfId="0" applyNumberFormat="1" applyFont="1" applyFill="1" applyBorder="1" applyAlignment="1" applyProtection="1">
      <alignment horizontal="left" vertical="top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16" xfId="0" applyFont="1" applyFill="1" applyBorder="1" applyAlignment="1">
      <alignment horizontal="center" wrapText="1"/>
    </xf>
    <xf numFmtId="2" fontId="11" fillId="0" borderId="16" xfId="0" applyNumberFormat="1" applyFont="1" applyFill="1" applyBorder="1" applyAlignment="1">
      <alignment horizontal="center"/>
    </xf>
    <xf numFmtId="2" fontId="11" fillId="0" borderId="0" xfId="0" applyNumberFormat="1" applyFont="1" applyFill="1" applyBorder="1" applyAlignment="1">
      <alignment horizontal="center"/>
    </xf>
    <xf numFmtId="0" fontId="3" fillId="0" borderId="22" xfId="0" applyFont="1" applyFill="1" applyBorder="1" applyAlignment="1">
      <alignment horizontal="center" wrapText="1"/>
    </xf>
    <xf numFmtId="2" fontId="11" fillId="0" borderId="22" xfId="0" applyNumberFormat="1" applyFont="1" applyFill="1" applyBorder="1" applyAlignment="1">
      <alignment horizontal="center"/>
    </xf>
    <xf numFmtId="0" fontId="0" fillId="0" borderId="34" xfId="0" applyBorder="1"/>
    <xf numFmtId="0" fontId="19" fillId="0" borderId="13" xfId="0" applyFont="1" applyFill="1" applyBorder="1" applyAlignment="1">
      <alignment horizontal="center" vertical="center" wrapText="1"/>
    </xf>
    <xf numFmtId="0" fontId="19" fillId="0" borderId="23" xfId="0" applyFont="1" applyFill="1" applyBorder="1" applyAlignment="1">
      <alignment horizontal="center" vertical="center" wrapText="1"/>
    </xf>
    <xf numFmtId="0" fontId="11" fillId="0" borderId="10" xfId="0" applyFont="1" applyFill="1" applyBorder="1"/>
    <xf numFmtId="0" fontId="11" fillId="0" borderId="16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 wrapText="1"/>
    </xf>
    <xf numFmtId="0" fontId="11" fillId="0" borderId="14" xfId="0" applyFont="1" applyFill="1" applyBorder="1" applyAlignment="1">
      <alignment horizontal="center"/>
    </xf>
    <xf numFmtId="2" fontId="11" fillId="0" borderId="13" xfId="0" applyNumberFormat="1" applyFont="1" applyFill="1" applyBorder="1" applyAlignment="1">
      <alignment horizontal="center"/>
    </xf>
    <xf numFmtId="2" fontId="11" fillId="0" borderId="14" xfId="0" applyNumberFormat="1" applyFont="1" applyFill="1" applyBorder="1" applyAlignment="1">
      <alignment horizontal="center"/>
    </xf>
    <xf numFmtId="2" fontId="11" fillId="0" borderId="23" xfId="0" applyNumberFormat="1" applyFont="1" applyFill="1" applyBorder="1" applyAlignment="1">
      <alignment horizontal="center"/>
    </xf>
    <xf numFmtId="0" fontId="11" fillId="0" borderId="16" xfId="0" applyFont="1" applyFill="1" applyBorder="1"/>
    <xf numFmtId="0" fontId="4" fillId="0" borderId="5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2" fontId="11" fillId="0" borderId="9" xfId="0" applyNumberFormat="1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0" fontId="0" fillId="0" borderId="10" xfId="0" applyFill="1" applyBorder="1"/>
    <xf numFmtId="0" fontId="11" fillId="0" borderId="24" xfId="0" applyFont="1" applyBorder="1"/>
    <xf numFmtId="0" fontId="11" fillId="0" borderId="16" xfId="0" applyFont="1" applyFill="1" applyBorder="1" applyAlignment="1">
      <alignment horizontal="left"/>
    </xf>
    <xf numFmtId="0" fontId="3" fillId="0" borderId="16" xfId="0" applyFont="1" applyFill="1" applyBorder="1" applyAlignment="1">
      <alignment horizontal="left"/>
    </xf>
    <xf numFmtId="0" fontId="3" fillId="0" borderId="14" xfId="0" applyFont="1" applyFill="1" applyBorder="1" applyAlignment="1">
      <alignment horizontal="left"/>
    </xf>
    <xf numFmtId="0" fontId="11" fillId="0" borderId="9" xfId="0" applyFont="1" applyFill="1" applyBorder="1" applyAlignment="1">
      <alignment vertical="center"/>
    </xf>
    <xf numFmtId="0" fontId="11" fillId="0" borderId="10" xfId="0" applyFont="1" applyFill="1" applyBorder="1" applyAlignment="1">
      <alignment vertical="center"/>
    </xf>
    <xf numFmtId="0" fontId="0" fillId="0" borderId="24" xfId="0" applyBorder="1"/>
    <xf numFmtId="0" fontId="14" fillId="0" borderId="8" xfId="0" applyFont="1" applyFill="1" applyBorder="1"/>
    <xf numFmtId="0" fontId="11" fillId="0" borderId="0" xfId="0" applyFont="1" applyFill="1" applyBorder="1" applyAlignment="1">
      <alignment horizontal="center"/>
    </xf>
    <xf numFmtId="0" fontId="11" fillId="0" borderId="13" xfId="0" applyFont="1" applyFill="1" applyBorder="1" applyAlignment="1">
      <alignment horizontal="center"/>
    </xf>
    <xf numFmtId="0" fontId="10" fillId="0" borderId="8" xfId="0" applyFont="1" applyFill="1" applyBorder="1" applyAlignment="1">
      <alignment vertical="center"/>
    </xf>
    <xf numFmtId="0" fontId="10" fillId="0" borderId="5" xfId="0" applyFont="1" applyFill="1" applyBorder="1" applyAlignment="1">
      <alignment vertical="center"/>
    </xf>
    <xf numFmtId="0" fontId="1" fillId="0" borderId="35" xfId="0" applyFont="1" applyBorder="1"/>
    <xf numFmtId="0" fontId="4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3" fillId="0" borderId="9" xfId="0" applyFont="1" applyFill="1" applyBorder="1" applyAlignment="1">
      <alignment horizontal="center"/>
    </xf>
    <xf numFmtId="1" fontId="18" fillId="0" borderId="3" xfId="0" applyNumberFormat="1" applyFont="1" applyFill="1" applyBorder="1" applyAlignment="1">
      <alignment horizontal="right" vertical="center"/>
    </xf>
    <xf numFmtId="1" fontId="18" fillId="0" borderId="3" xfId="0" applyNumberFormat="1" applyFont="1" applyFill="1" applyBorder="1"/>
    <xf numFmtId="1" fontId="18" fillId="0" borderId="22" xfId="0" applyNumberFormat="1" applyFont="1" applyFill="1" applyBorder="1" applyAlignment="1">
      <alignment horizontal="right" vertical="center"/>
    </xf>
    <xf numFmtId="0" fontId="18" fillId="0" borderId="18" xfId="0" applyFont="1" applyFill="1" applyBorder="1" applyAlignment="1">
      <alignment horizontal="center" vertical="center" wrapText="1"/>
    </xf>
    <xf numFmtId="0" fontId="18" fillId="0" borderId="21" xfId="0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left" vertical="center"/>
    </xf>
    <xf numFmtId="0" fontId="18" fillId="0" borderId="24" xfId="0" applyFont="1" applyFill="1" applyBorder="1" applyAlignment="1">
      <alignment horizontal="center" vertical="center"/>
    </xf>
    <xf numFmtId="0" fontId="18" fillId="0" borderId="16" xfId="0" applyFont="1" applyFill="1" applyBorder="1" applyAlignment="1">
      <alignment horizontal="left" vertical="center"/>
    </xf>
    <xf numFmtId="0" fontId="18" fillId="0" borderId="22" xfId="0" applyFont="1" applyFill="1" applyBorder="1" applyAlignment="1">
      <alignment horizontal="center" vertical="center"/>
    </xf>
    <xf numFmtId="0" fontId="18" fillId="0" borderId="14" xfId="0" applyFont="1" applyFill="1" applyBorder="1" applyAlignment="1">
      <alignment horizontal="left" vertical="center"/>
    </xf>
    <xf numFmtId="0" fontId="18" fillId="0" borderId="23" xfId="0" applyFont="1" applyFill="1" applyBorder="1" applyAlignment="1">
      <alignment horizontal="center" vertical="center"/>
    </xf>
    <xf numFmtId="0" fontId="18" fillId="0" borderId="10" xfId="0" applyFont="1" applyFill="1" applyBorder="1"/>
    <xf numFmtId="0" fontId="18" fillId="0" borderId="16" xfId="0" applyFont="1" applyFill="1" applyBorder="1"/>
    <xf numFmtId="0" fontId="18" fillId="0" borderId="14" xfId="0" applyFont="1" applyFill="1" applyBorder="1"/>
    <xf numFmtId="1" fontId="18" fillId="0" borderId="8" xfId="0" applyNumberFormat="1" applyFont="1" applyFill="1" applyBorder="1"/>
    <xf numFmtId="1" fontId="18" fillId="0" borderId="11" xfId="0" applyNumberFormat="1" applyFont="1" applyFill="1" applyBorder="1"/>
    <xf numFmtId="0" fontId="18" fillId="0" borderId="11" xfId="0" applyFont="1" applyFill="1" applyBorder="1"/>
    <xf numFmtId="0" fontId="18" fillId="0" borderId="13" xfId="0" applyFont="1" applyFill="1" applyBorder="1"/>
    <xf numFmtId="0" fontId="18" fillId="0" borderId="3" xfId="0" applyFont="1" applyFill="1" applyBorder="1"/>
    <xf numFmtId="0" fontId="18" fillId="0" borderId="8" xfId="0" applyFont="1" applyFill="1" applyBorder="1"/>
    <xf numFmtId="0" fontId="18" fillId="0" borderId="9" xfId="0" applyFont="1" applyFill="1" applyBorder="1"/>
    <xf numFmtId="0" fontId="22" fillId="0" borderId="0" xfId="0" applyFont="1" applyFill="1" applyBorder="1"/>
    <xf numFmtId="0" fontId="22" fillId="0" borderId="0" xfId="0" applyFont="1" applyFill="1"/>
    <xf numFmtId="0" fontId="6" fillId="0" borderId="0" xfId="0" applyFont="1" applyFill="1" applyBorder="1" applyAlignment="1">
      <alignment vertical="center"/>
    </xf>
    <xf numFmtId="0" fontId="18" fillId="0" borderId="0" xfId="0" applyFont="1" applyBorder="1"/>
    <xf numFmtId="0" fontId="18" fillId="0" borderId="3" xfId="0" applyFont="1" applyBorder="1"/>
    <xf numFmtId="0" fontId="18" fillId="0" borderId="11" xfId="0" applyFont="1" applyBorder="1"/>
    <xf numFmtId="0" fontId="18" fillId="0" borderId="13" xfId="0" applyFont="1" applyBorder="1"/>
    <xf numFmtId="9" fontId="18" fillId="0" borderId="5" xfId="0" applyNumberFormat="1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18" fillId="0" borderId="8" xfId="0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10" fontId="0" fillId="0" borderId="0" xfId="0" applyNumberFormat="1"/>
    <xf numFmtId="0" fontId="10" fillId="0" borderId="21" xfId="0" applyFont="1" applyFill="1" applyBorder="1" applyAlignment="1">
      <alignment vertical="center"/>
    </xf>
    <xf numFmtId="0" fontId="4" fillId="0" borderId="18" xfId="0" applyFont="1" applyFill="1" applyBorder="1" applyAlignment="1">
      <alignment vertical="center"/>
    </xf>
    <xf numFmtId="0" fontId="4" fillId="0" borderId="21" xfId="0" applyFont="1" applyFill="1" applyBorder="1" applyAlignment="1">
      <alignment vertical="center"/>
    </xf>
    <xf numFmtId="1" fontId="6" fillId="0" borderId="8" xfId="0" applyNumberFormat="1" applyFont="1" applyFill="1" applyBorder="1" applyAlignment="1">
      <alignment horizontal="right" vertical="center"/>
    </xf>
    <xf numFmtId="0" fontId="0" fillId="0" borderId="0" xfId="0" applyNumberFormat="1"/>
    <xf numFmtId="0" fontId="18" fillId="0" borderId="21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11" fillId="0" borderId="21" xfId="0" applyFont="1" applyBorder="1"/>
    <xf numFmtId="9" fontId="3" fillId="0" borderId="5" xfId="0" applyNumberFormat="1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left" vertical="center"/>
    </xf>
    <xf numFmtId="1" fontId="3" fillId="0" borderId="0" xfId="0" applyNumberFormat="1" applyFont="1" applyFill="1" applyBorder="1" applyAlignment="1">
      <alignment horizontal="right" vertical="center"/>
    </xf>
    <xf numFmtId="0" fontId="3" fillId="0" borderId="24" xfId="0" applyFont="1" applyFill="1" applyBorder="1" applyAlignment="1">
      <alignment horizontal="center" vertical="center"/>
    </xf>
    <xf numFmtId="1" fontId="3" fillId="0" borderId="3" xfId="0" applyNumberFormat="1" applyFont="1" applyFill="1" applyBorder="1" applyAlignment="1">
      <alignment horizontal="right" vertical="center"/>
    </xf>
    <xf numFmtId="0" fontId="3" fillId="0" borderId="16" xfId="0" applyFont="1" applyFill="1" applyBorder="1" applyAlignment="1">
      <alignment horizontal="left" vertical="center"/>
    </xf>
    <xf numFmtId="0" fontId="3" fillId="0" borderId="22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left" vertical="center"/>
    </xf>
    <xf numFmtId="0" fontId="3" fillId="0" borderId="23" xfId="0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right" vertical="center"/>
    </xf>
    <xf numFmtId="1" fontId="4" fillId="0" borderId="8" xfId="0" applyNumberFormat="1" applyFont="1" applyFill="1" applyBorder="1" applyAlignment="1">
      <alignment horizontal="right" vertical="center"/>
    </xf>
    <xf numFmtId="1" fontId="3" fillId="0" borderId="13" xfId="0" applyNumberFormat="1" applyFont="1" applyFill="1" applyBorder="1" applyAlignment="1">
      <alignment horizontal="right" vertical="center"/>
    </xf>
    <xf numFmtId="1" fontId="3" fillId="0" borderId="9" xfId="0" applyNumberFormat="1" applyFont="1" applyFill="1" applyBorder="1"/>
    <xf numFmtId="1" fontId="3" fillId="0" borderId="8" xfId="0" applyNumberFormat="1" applyFont="1" applyFill="1" applyBorder="1"/>
    <xf numFmtId="0" fontId="3" fillId="0" borderId="13" xfId="0" applyFont="1" applyFill="1" applyBorder="1" applyAlignment="1">
      <alignment horizontal="center"/>
    </xf>
    <xf numFmtId="1" fontId="3" fillId="0" borderId="13" xfId="0" applyNumberFormat="1" applyFont="1" applyFill="1" applyBorder="1"/>
    <xf numFmtId="1" fontId="3" fillId="0" borderId="11" xfId="0" applyNumberFormat="1" applyFont="1" applyFill="1" applyBorder="1"/>
    <xf numFmtId="2" fontId="11" fillId="0" borderId="11" xfId="0" applyNumberFormat="1" applyFont="1" applyBorder="1"/>
    <xf numFmtId="1" fontId="4" fillId="0" borderId="11" xfId="0" applyNumberFormat="1" applyFont="1" applyFill="1" applyBorder="1" applyAlignment="1">
      <alignment horizontal="right" vertical="center"/>
    </xf>
    <xf numFmtId="1" fontId="18" fillId="0" borderId="3" xfId="0" applyNumberFormat="1" applyFont="1" applyBorder="1"/>
    <xf numFmtId="1" fontId="18" fillId="0" borderId="11" xfId="0" applyNumberFormat="1" applyFont="1" applyBorder="1"/>
    <xf numFmtId="0" fontId="11" fillId="0" borderId="0" xfId="0" applyFont="1" applyAlignment="1">
      <alignment horizontal="center" vertical="center"/>
    </xf>
    <xf numFmtId="0" fontId="11" fillId="0" borderId="11" xfId="0" applyFont="1" applyBorder="1"/>
    <xf numFmtId="0" fontId="11" fillId="0" borderId="8" xfId="0" applyFont="1" applyBorder="1"/>
    <xf numFmtId="0" fontId="11" fillId="0" borderId="3" xfId="0" applyFont="1" applyBorder="1"/>
    <xf numFmtId="0" fontId="4" fillId="0" borderId="25" xfId="0" applyFont="1" applyBorder="1"/>
    <xf numFmtId="0" fontId="11" fillId="0" borderId="16" xfId="0" applyFont="1" applyBorder="1"/>
    <xf numFmtId="0" fontId="11" fillId="0" borderId="0" xfId="0" applyFont="1" applyBorder="1"/>
    <xf numFmtId="0" fontId="4" fillId="2" borderId="18" xfId="0" applyFont="1" applyFill="1" applyBorder="1" applyAlignment="1" applyProtection="1">
      <alignment horizontal="right" vertical="top" wrapText="1"/>
    </xf>
    <xf numFmtId="165" fontId="8" fillId="2" borderId="10" xfId="0" applyNumberFormat="1" applyFont="1" applyFill="1" applyBorder="1" applyAlignment="1" applyProtection="1">
      <alignment horizontal="left" vertical="top" wrapText="1"/>
    </xf>
    <xf numFmtId="2" fontId="3" fillId="0" borderId="8" xfId="0" applyNumberFormat="1" applyFont="1" applyFill="1" applyBorder="1" applyAlignment="1" applyProtection="1">
      <alignment horizontal="right"/>
    </xf>
    <xf numFmtId="2" fontId="3" fillId="0" borderId="3" xfId="0" applyNumberFormat="1" applyFont="1" applyFill="1" applyBorder="1" applyAlignment="1" applyProtection="1">
      <alignment horizontal="right"/>
    </xf>
    <xf numFmtId="0" fontId="3" fillId="2" borderId="16" xfId="0" applyFont="1" applyFill="1" applyBorder="1" applyAlignment="1" applyProtection="1">
      <alignment horizontal="left" vertical="top" wrapText="1"/>
    </xf>
    <xf numFmtId="0" fontId="3" fillId="2" borderId="10" xfId="0" applyFont="1" applyFill="1" applyBorder="1" applyAlignment="1" applyProtection="1">
      <alignment horizontal="left" vertical="top" wrapText="1"/>
    </xf>
    <xf numFmtId="0" fontId="4" fillId="0" borderId="9" xfId="0" applyFont="1" applyFill="1" applyBorder="1" applyAlignment="1" applyProtection="1">
      <alignment horizontal="right" vertical="top" wrapText="1"/>
    </xf>
    <xf numFmtId="0" fontId="4" fillId="0" borderId="13" xfId="0" applyFont="1" applyFill="1" applyBorder="1" applyAlignment="1" applyProtection="1">
      <alignment horizontal="left" vertical="top" wrapText="1"/>
    </xf>
    <xf numFmtId="0" fontId="4" fillId="0" borderId="13" xfId="0" applyFont="1" applyFill="1" applyBorder="1" applyAlignment="1" applyProtection="1">
      <alignment horizontal="right" vertical="top" wrapText="1"/>
    </xf>
    <xf numFmtId="165" fontId="5" fillId="2" borderId="10" xfId="0" applyNumberFormat="1" applyFont="1" applyFill="1" applyBorder="1" applyAlignment="1" applyProtection="1">
      <alignment horizontal="left" vertical="center" wrapText="1"/>
    </xf>
    <xf numFmtId="165" fontId="5" fillId="2" borderId="16" xfId="0" applyNumberFormat="1" applyFont="1" applyFill="1" applyBorder="1" applyAlignment="1" applyProtection="1">
      <alignment horizontal="left" vertical="center" wrapText="1"/>
    </xf>
    <xf numFmtId="165" fontId="5" fillId="2" borderId="18" xfId="0" applyNumberFormat="1" applyFont="1" applyFill="1" applyBorder="1" applyAlignment="1" applyProtection="1">
      <alignment horizontal="left" vertical="center" wrapText="1"/>
    </xf>
    <xf numFmtId="165" fontId="5" fillId="2" borderId="0" xfId="0" applyNumberFormat="1" applyFont="1" applyFill="1" applyBorder="1" applyAlignment="1" applyProtection="1">
      <alignment horizontal="left" vertical="center" wrapText="1"/>
    </xf>
    <xf numFmtId="165" fontId="5" fillId="2" borderId="14" xfId="0" applyNumberFormat="1" applyFont="1" applyFill="1" applyBorder="1" applyAlignment="1" applyProtection="1">
      <alignment horizontal="left" vertical="center" wrapText="1"/>
    </xf>
    <xf numFmtId="2" fontId="3" fillId="2" borderId="3" xfId="0" applyNumberFormat="1" applyFont="1" applyFill="1" applyBorder="1" applyAlignment="1" applyProtection="1">
      <alignment horizontal="center" vertical="center"/>
    </xf>
    <xf numFmtId="0" fontId="3" fillId="2" borderId="24" xfId="0" applyFont="1" applyFill="1" applyBorder="1" applyAlignment="1" applyProtection="1">
      <alignment horizontal="center" vertical="center"/>
    </xf>
    <xf numFmtId="0" fontId="3" fillId="2" borderId="23" xfId="0" applyFont="1" applyFill="1" applyBorder="1" applyAlignment="1" applyProtection="1">
      <alignment horizontal="center" vertical="center"/>
    </xf>
    <xf numFmtId="0" fontId="3" fillId="2" borderId="22" xfId="0" applyFont="1" applyFill="1" applyBorder="1" applyAlignment="1" applyProtection="1">
      <alignment horizontal="center" vertical="center"/>
    </xf>
    <xf numFmtId="0" fontId="4" fillId="2" borderId="8" xfId="0" applyFont="1" applyFill="1" applyBorder="1" applyAlignment="1" applyProtection="1">
      <alignment horizontal="left" vertical="center"/>
    </xf>
    <xf numFmtId="0" fontId="4" fillId="2" borderId="3" xfId="0" applyFont="1" applyFill="1" applyBorder="1" applyAlignment="1" applyProtection="1">
      <alignment horizontal="left" vertical="center"/>
    </xf>
    <xf numFmtId="0" fontId="4" fillId="2" borderId="5" xfId="0" applyFont="1" applyFill="1" applyBorder="1" applyAlignment="1" applyProtection="1">
      <alignment horizontal="left" vertical="center"/>
    </xf>
    <xf numFmtId="0" fontId="4" fillId="2" borderId="10" xfId="0" applyFont="1" applyFill="1" applyBorder="1" applyAlignment="1" applyProtection="1">
      <alignment horizontal="left" vertical="center"/>
    </xf>
    <xf numFmtId="0" fontId="4" fillId="2" borderId="16" xfId="0" applyFont="1" applyFill="1" applyBorder="1" applyAlignment="1" applyProtection="1">
      <alignment horizontal="left" vertical="center"/>
    </xf>
    <xf numFmtId="165" fontId="8" fillId="2" borderId="14" xfId="0" applyNumberFormat="1" applyFont="1" applyFill="1" applyBorder="1" applyAlignment="1" applyProtection="1">
      <alignment horizontal="left" vertical="center" wrapText="1"/>
    </xf>
    <xf numFmtId="0" fontId="3" fillId="2" borderId="10" xfId="0" applyFont="1" applyFill="1" applyBorder="1" applyAlignment="1" applyProtection="1">
      <alignment horizontal="left" vertical="center"/>
    </xf>
    <xf numFmtId="0" fontId="3" fillId="2" borderId="16" xfId="0" applyFont="1" applyFill="1" applyBorder="1" applyAlignment="1" applyProtection="1">
      <alignment horizontal="left" vertical="center"/>
    </xf>
    <xf numFmtId="0" fontId="4" fillId="2" borderId="14" xfId="0" applyFont="1" applyFill="1" applyBorder="1" applyAlignment="1" applyProtection="1">
      <alignment horizontal="left" vertical="center"/>
    </xf>
    <xf numFmtId="0" fontId="3" fillId="2" borderId="14" xfId="0" applyFont="1" applyFill="1" applyBorder="1" applyAlignment="1" applyProtection="1">
      <alignment horizontal="left" vertical="center"/>
    </xf>
    <xf numFmtId="0" fontId="4" fillId="2" borderId="23" xfId="0" applyFont="1" applyFill="1" applyBorder="1" applyAlignment="1" applyProtection="1">
      <alignment horizontal="center" vertical="center"/>
    </xf>
    <xf numFmtId="165" fontId="5" fillId="8" borderId="8" xfId="0" applyNumberFormat="1" applyFont="1" applyFill="1" applyBorder="1" applyAlignment="1" applyProtection="1">
      <alignment horizontal="center" vertical="center" wrapText="1"/>
    </xf>
    <xf numFmtId="165" fontId="5" fillId="8" borderId="11" xfId="0" applyNumberFormat="1" applyFont="1" applyFill="1" applyBorder="1" applyAlignment="1" applyProtection="1">
      <alignment horizontal="center" vertical="center" wrapText="1"/>
    </xf>
    <xf numFmtId="165" fontId="5" fillId="8" borderId="3" xfId="0" applyNumberFormat="1" applyFont="1" applyFill="1" applyBorder="1" applyAlignment="1" applyProtection="1">
      <alignment horizontal="center" vertical="center" wrapText="1"/>
    </xf>
    <xf numFmtId="165" fontId="5" fillId="0" borderId="3" xfId="0" applyNumberFormat="1" applyFont="1" applyFill="1" applyBorder="1" applyAlignment="1" applyProtection="1">
      <alignment horizontal="center" vertical="center" wrapText="1"/>
    </xf>
    <xf numFmtId="165" fontId="5" fillId="0" borderId="11" xfId="0" applyNumberFormat="1" applyFont="1" applyFill="1" applyBorder="1" applyAlignment="1" applyProtection="1">
      <alignment horizontal="center" vertical="center" wrapText="1"/>
    </xf>
    <xf numFmtId="165" fontId="5" fillId="8" borderId="24" xfId="0" applyNumberFormat="1" applyFont="1" applyFill="1" applyBorder="1" applyAlignment="1" applyProtection="1">
      <alignment horizontal="center" vertical="center" wrapText="1"/>
    </xf>
    <xf numFmtId="165" fontId="5" fillId="8" borderId="22" xfId="0" applyNumberFormat="1" applyFont="1" applyFill="1" applyBorder="1" applyAlignment="1" applyProtection="1">
      <alignment horizontal="center" vertical="center" wrapText="1"/>
    </xf>
    <xf numFmtId="165" fontId="5" fillId="0" borderId="22" xfId="0" applyNumberFormat="1" applyFont="1" applyFill="1" applyBorder="1" applyAlignment="1" applyProtection="1">
      <alignment horizontal="center" vertical="center" wrapText="1"/>
    </xf>
    <xf numFmtId="165" fontId="8" fillId="8" borderId="23" xfId="0" applyNumberFormat="1" applyFont="1" applyFill="1" applyBorder="1" applyAlignment="1" applyProtection="1">
      <alignment horizontal="center" vertical="center" wrapText="1"/>
    </xf>
    <xf numFmtId="2" fontId="3" fillId="8" borderId="8" xfId="0" applyNumberFormat="1" applyFont="1" applyFill="1" applyBorder="1" applyAlignment="1" applyProtection="1">
      <alignment horizontal="center" vertical="center"/>
    </xf>
    <xf numFmtId="2" fontId="3" fillId="8" borderId="3" xfId="0" applyNumberFormat="1" applyFont="1" applyFill="1" applyBorder="1" applyAlignment="1" applyProtection="1">
      <alignment horizontal="center" vertical="center"/>
    </xf>
    <xf numFmtId="2" fontId="3" fillId="0" borderId="3" xfId="0" applyNumberFormat="1" applyFont="1" applyFill="1" applyBorder="1" applyAlignment="1" applyProtection="1">
      <alignment horizontal="center" vertical="center"/>
    </xf>
    <xf numFmtId="2" fontId="4" fillId="8" borderId="11" xfId="0" applyNumberFormat="1" applyFont="1" applyFill="1" applyBorder="1" applyAlignment="1" applyProtection="1">
      <alignment horizontal="center" vertical="center"/>
    </xf>
    <xf numFmtId="165" fontId="5" fillId="8" borderId="23" xfId="0" applyNumberFormat="1" applyFont="1" applyFill="1" applyBorder="1" applyAlignment="1" applyProtection="1">
      <alignment horizontal="center" vertical="center" wrapText="1"/>
    </xf>
    <xf numFmtId="165" fontId="8" fillId="8" borderId="11" xfId="0" applyNumberFormat="1" applyFont="1" applyFill="1" applyBorder="1" applyAlignment="1" applyProtection="1">
      <alignment horizontal="center" vertical="center" wrapText="1"/>
    </xf>
    <xf numFmtId="165" fontId="8" fillId="8" borderId="3" xfId="0" applyNumberFormat="1" applyFont="1" applyFill="1" applyBorder="1" applyAlignment="1" applyProtection="1">
      <alignment horizontal="center" vertical="center" wrapText="1"/>
    </xf>
    <xf numFmtId="0" fontId="4" fillId="2" borderId="22" xfId="0" applyFont="1" applyFill="1" applyBorder="1" applyAlignment="1" applyProtection="1"/>
    <xf numFmtId="0" fontId="4" fillId="2" borderId="23" xfId="0" applyFont="1" applyFill="1" applyBorder="1" applyAlignment="1" applyProtection="1"/>
    <xf numFmtId="0" fontId="14" fillId="0" borderId="33" xfId="0" applyFont="1" applyBorder="1"/>
    <xf numFmtId="0" fontId="14" fillId="0" borderId="35" xfId="0" applyFont="1" applyBorder="1"/>
    <xf numFmtId="9" fontId="11" fillId="0" borderId="0" xfId="0" applyNumberFormat="1" applyFont="1"/>
    <xf numFmtId="0" fontId="4" fillId="2" borderId="18" xfId="0" applyFont="1" applyFill="1" applyBorder="1" applyAlignment="1" applyProtection="1">
      <alignment horizontal="right" vertical="center" wrapText="1"/>
    </xf>
    <xf numFmtId="0" fontId="3" fillId="2" borderId="21" xfId="0" applyFont="1" applyFill="1" applyBorder="1" applyAlignment="1" applyProtection="1">
      <alignment vertical="center"/>
    </xf>
    <xf numFmtId="165" fontId="8" fillId="2" borderId="18" xfId="0" applyNumberFormat="1" applyFont="1" applyFill="1" applyBorder="1" applyAlignment="1" applyProtection="1">
      <alignment horizontal="right" vertical="center" wrapText="1"/>
    </xf>
    <xf numFmtId="0" fontId="3" fillId="0" borderId="0" xfId="0" applyFont="1" applyFill="1" applyBorder="1" applyAlignment="1" applyProtection="1">
      <alignment horizontal="center" vertical="center"/>
    </xf>
    <xf numFmtId="0" fontId="11" fillId="0" borderId="5" xfId="0" applyFont="1" applyBorder="1" applyAlignment="1">
      <alignment horizontal="center" vertical="top" wrapText="1"/>
    </xf>
    <xf numFmtId="0" fontId="11" fillId="0" borderId="5" xfId="0" applyFont="1" applyBorder="1" applyAlignment="1">
      <alignment vertical="top" wrapText="1"/>
    </xf>
    <xf numFmtId="9" fontId="11" fillId="0" borderId="5" xfId="0" applyNumberFormat="1" applyFont="1" applyBorder="1"/>
    <xf numFmtId="0" fontId="11" fillId="11" borderId="8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2" fontId="3" fillId="0" borderId="13" xfId="0" applyNumberFormat="1" applyFont="1" applyFill="1" applyBorder="1" applyAlignment="1">
      <alignment horizontal="left"/>
    </xf>
    <xf numFmtId="0" fontId="3" fillId="0" borderId="6" xfId="0" applyFont="1" applyFill="1" applyBorder="1" applyAlignment="1">
      <alignment horizontal="center"/>
    </xf>
    <xf numFmtId="0" fontId="0" fillId="0" borderId="0" xfId="0" applyProtection="1"/>
    <xf numFmtId="0" fontId="11" fillId="0" borderId="0" xfId="0" applyFont="1" applyProtection="1"/>
    <xf numFmtId="0" fontId="14" fillId="0" borderId="0" xfId="0" applyFont="1" applyProtection="1"/>
    <xf numFmtId="0" fontId="11" fillId="0" borderId="16" xfId="0" applyFont="1" applyBorder="1" applyAlignment="1" applyProtection="1">
      <alignment horizontal="left" vertical="center"/>
    </xf>
    <xf numFmtId="0" fontId="11" fillId="0" borderId="16" xfId="0" applyFont="1" applyBorder="1" applyProtection="1"/>
    <xf numFmtId="0" fontId="11" fillId="0" borderId="0" xfId="0" applyFont="1" applyAlignment="1" applyProtection="1">
      <alignment horizontal="left" vertical="center"/>
    </xf>
    <xf numFmtId="0" fontId="11" fillId="0" borderId="3" xfId="0" applyFont="1" applyBorder="1" applyAlignment="1" applyProtection="1">
      <alignment horizontal="left" vertical="center"/>
    </xf>
    <xf numFmtId="0" fontId="3" fillId="0" borderId="16" xfId="1" applyFont="1" applyBorder="1" applyProtection="1"/>
    <xf numFmtId="0" fontId="0" fillId="0" borderId="16" xfId="0" applyBorder="1" applyProtection="1"/>
    <xf numFmtId="0" fontId="0" fillId="0" borderId="13" xfId="0" applyBorder="1" applyProtection="1"/>
    <xf numFmtId="0" fontId="14" fillId="0" borderId="13" xfId="0" applyFont="1" applyBorder="1" applyProtection="1"/>
    <xf numFmtId="0" fontId="14" fillId="0" borderId="0" xfId="0" applyFont="1" applyBorder="1" applyAlignment="1" applyProtection="1">
      <alignment horizontal="left" vertical="center"/>
    </xf>
    <xf numFmtId="1" fontId="3" fillId="11" borderId="5" xfId="0" applyNumberFormat="1" applyFont="1" applyFill="1" applyBorder="1" applyAlignment="1" applyProtection="1">
      <alignment vertical="center"/>
      <protection locked="0"/>
    </xf>
    <xf numFmtId="0" fontId="3" fillId="0" borderId="5" xfId="0" applyFont="1" applyFill="1" applyBorder="1" applyAlignment="1" applyProtection="1">
      <alignment vertical="center"/>
    </xf>
    <xf numFmtId="0" fontId="3" fillId="0" borderId="5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vertical="center"/>
    </xf>
    <xf numFmtId="0" fontId="11" fillId="0" borderId="0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vertical="center"/>
    </xf>
    <xf numFmtId="0" fontId="3" fillId="0" borderId="6" xfId="0" applyFont="1" applyFill="1" applyBorder="1" applyAlignment="1" applyProtection="1">
      <alignment vertical="center"/>
    </xf>
    <xf numFmtId="0" fontId="4" fillId="0" borderId="6" xfId="0" applyFont="1" applyFill="1" applyBorder="1" applyAlignment="1" applyProtection="1">
      <alignment vertical="center"/>
    </xf>
    <xf numFmtId="0" fontId="11" fillId="0" borderId="0" xfId="0" applyFont="1" applyFill="1" applyAlignment="1" applyProtection="1">
      <alignment vertical="center"/>
    </xf>
    <xf numFmtId="0" fontId="3" fillId="0" borderId="16" xfId="0" applyFont="1" applyFill="1" applyBorder="1" applyAlignment="1" applyProtection="1">
      <alignment vertical="center"/>
    </xf>
    <xf numFmtId="164" fontId="3" fillId="11" borderId="5" xfId="0" applyNumberFormat="1" applyFont="1" applyFill="1" applyBorder="1" applyAlignment="1" applyProtection="1">
      <alignment vertical="center"/>
      <protection locked="0"/>
    </xf>
    <xf numFmtId="0" fontId="3" fillId="0" borderId="16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 vertical="center"/>
    </xf>
    <xf numFmtId="2" fontId="3" fillId="11" borderId="5" xfId="0" applyNumberFormat="1" applyFont="1" applyFill="1" applyBorder="1" applyAlignment="1" applyProtection="1">
      <alignment vertical="center"/>
      <protection locked="0"/>
    </xf>
    <xf numFmtId="0" fontId="3" fillId="0" borderId="5" xfId="0" applyFont="1" applyFill="1" applyBorder="1" applyAlignment="1" applyProtection="1">
      <alignment horizontal="left" vertical="center"/>
    </xf>
    <xf numFmtId="0" fontId="3" fillId="0" borderId="18" xfId="0" applyFont="1" applyFill="1" applyBorder="1" applyAlignment="1" applyProtection="1">
      <alignment vertical="center"/>
    </xf>
    <xf numFmtId="2" fontId="3" fillId="0" borderId="0" xfId="0" applyNumberFormat="1" applyFont="1" applyFill="1" applyBorder="1" applyAlignment="1" applyProtection="1">
      <alignment vertical="center"/>
    </xf>
    <xf numFmtId="0" fontId="3" fillId="0" borderId="11" xfId="0" applyFont="1" applyFill="1" applyBorder="1" applyAlignment="1" applyProtection="1">
      <alignment horizontal="right" vertical="center"/>
    </xf>
    <xf numFmtId="0" fontId="0" fillId="0" borderId="0" xfId="0" applyAlignment="1" applyProtection="1">
      <alignment vertical="center"/>
    </xf>
    <xf numFmtId="0" fontId="23" fillId="0" borderId="0" xfId="0" applyFont="1" applyFill="1" applyBorder="1" applyAlignment="1" applyProtection="1">
      <alignment vertical="center"/>
    </xf>
    <xf numFmtId="167" fontId="3" fillId="11" borderId="3" xfId="0" applyNumberFormat="1" applyFont="1" applyFill="1" applyBorder="1" applyAlignment="1" applyProtection="1">
      <alignment vertical="center"/>
      <protection locked="0"/>
    </xf>
    <xf numFmtId="0" fontId="3" fillId="0" borderId="3" xfId="0" applyFont="1" applyFill="1" applyBorder="1" applyAlignment="1" applyProtection="1">
      <alignment horizontal="right" vertical="center"/>
    </xf>
    <xf numFmtId="2" fontId="23" fillId="0" borderId="0" xfId="0" applyNumberFormat="1" applyFont="1" applyFill="1" applyBorder="1" applyAlignment="1" applyProtection="1">
      <alignment vertical="center"/>
    </xf>
    <xf numFmtId="167" fontId="3" fillId="11" borderId="8" xfId="0" applyNumberFormat="1" applyFont="1" applyFill="1" applyBorder="1" applyAlignment="1" applyProtection="1">
      <alignment vertical="center"/>
      <protection locked="0"/>
    </xf>
    <xf numFmtId="0" fontId="3" fillId="0" borderId="8" xfId="0" applyFont="1" applyFill="1" applyBorder="1" applyAlignment="1" applyProtection="1">
      <alignment horizontal="right" vertical="center"/>
    </xf>
    <xf numFmtId="0" fontId="3" fillId="0" borderId="5" xfId="0" applyFont="1" applyFill="1" applyBorder="1" applyAlignment="1" applyProtection="1">
      <alignment horizontal="right" vertical="center"/>
    </xf>
    <xf numFmtId="0" fontId="3" fillId="0" borderId="21" xfId="0" applyFont="1" applyFill="1" applyBorder="1" applyAlignment="1" applyProtection="1">
      <alignment horizontal="left" vertical="center"/>
    </xf>
    <xf numFmtId="165" fontId="3" fillId="0" borderId="5" xfId="0" applyNumberFormat="1" applyFont="1" applyFill="1" applyBorder="1" applyAlignment="1" applyProtection="1">
      <alignment horizontal="left" vertical="center" wrapText="1"/>
    </xf>
    <xf numFmtId="0" fontId="3" fillId="0" borderId="23" xfId="0" applyFont="1" applyFill="1" applyBorder="1" applyAlignment="1" applyProtection="1">
      <alignment vertical="center"/>
    </xf>
    <xf numFmtId="0" fontId="3" fillId="0" borderId="13" xfId="0" applyFont="1" applyFill="1" applyBorder="1" applyAlignment="1" applyProtection="1">
      <alignment vertical="center"/>
    </xf>
    <xf numFmtId="0" fontId="0" fillId="0" borderId="9" xfId="0" applyBorder="1" applyProtection="1"/>
    <xf numFmtId="0" fontId="3" fillId="0" borderId="9" xfId="0" applyFont="1" applyFill="1" applyBorder="1" applyAlignment="1" applyProtection="1">
      <alignment vertical="center"/>
    </xf>
    <xf numFmtId="0" fontId="3" fillId="0" borderId="10" xfId="0" applyFont="1" applyFill="1" applyBorder="1" applyAlignment="1" applyProtection="1">
      <alignment vertical="center"/>
    </xf>
    <xf numFmtId="164" fontId="3" fillId="11" borderId="18" xfId="0" applyNumberFormat="1" applyFont="1" applyFill="1" applyBorder="1" applyAlignment="1" applyProtection="1">
      <alignment vertical="center"/>
      <protection locked="0"/>
    </xf>
    <xf numFmtId="0" fontId="3" fillId="0" borderId="18" xfId="0" applyFont="1" applyFill="1" applyBorder="1" applyAlignment="1" applyProtection="1">
      <alignment horizontal="left" vertical="center"/>
    </xf>
    <xf numFmtId="164" fontId="3" fillId="0" borderId="0" xfId="0" applyNumberFormat="1" applyFont="1" applyFill="1" applyBorder="1" applyAlignment="1" applyProtection="1">
      <alignment vertical="center"/>
    </xf>
    <xf numFmtId="0" fontId="4" fillId="0" borderId="25" xfId="0" applyFont="1" applyBorder="1" applyAlignment="1" applyProtection="1">
      <alignment vertical="center"/>
    </xf>
    <xf numFmtId="0" fontId="11" fillId="0" borderId="0" xfId="0" applyFont="1" applyFill="1" applyBorder="1" applyProtection="1"/>
    <xf numFmtId="0" fontId="11" fillId="0" borderId="16" xfId="0" applyFont="1" applyFill="1" applyBorder="1" applyProtection="1"/>
    <xf numFmtId="0" fontId="11" fillId="0" borderId="3" xfId="0" applyFont="1" applyBorder="1" applyProtection="1"/>
    <xf numFmtId="0" fontId="4" fillId="0" borderId="25" xfId="0" applyFont="1" applyBorder="1" applyProtection="1"/>
    <xf numFmtId="0" fontId="2" fillId="0" borderId="0" xfId="0" applyFont="1" applyBorder="1" applyProtection="1"/>
    <xf numFmtId="0" fontId="3" fillId="0" borderId="0" xfId="0" applyFont="1" applyFill="1" applyBorder="1" applyAlignment="1" applyProtection="1">
      <alignment wrapText="1"/>
    </xf>
    <xf numFmtId="2" fontId="3" fillId="0" borderId="0" xfId="0" applyNumberFormat="1" applyFont="1" applyFill="1" applyBorder="1" applyProtection="1"/>
    <xf numFmtId="0" fontId="3" fillId="0" borderId="5" xfId="0" applyFont="1" applyFill="1" applyBorder="1" applyAlignment="1" applyProtection="1">
      <alignment horizontal="right"/>
    </xf>
    <xf numFmtId="0" fontId="0" fillId="0" borderId="0" xfId="0" applyFont="1" applyFill="1" applyBorder="1" applyProtection="1"/>
    <xf numFmtId="0" fontId="0" fillId="0" borderId="13" xfId="0" applyFont="1" applyFill="1" applyBorder="1" applyProtection="1"/>
    <xf numFmtId="0" fontId="3" fillId="0" borderId="13" xfId="0" applyFont="1" applyFill="1" applyBorder="1" applyProtection="1"/>
    <xf numFmtId="0" fontId="3" fillId="0" borderId="29" xfId="0" applyFont="1" applyFill="1" applyBorder="1" applyProtection="1"/>
    <xf numFmtId="0" fontId="4" fillId="0" borderId="6" xfId="0" applyFont="1" applyFill="1" applyBorder="1" applyProtection="1"/>
    <xf numFmtId="0" fontId="3" fillId="0" borderId="6" xfId="0" applyFont="1" applyFill="1" applyBorder="1" applyProtection="1"/>
    <xf numFmtId="0" fontId="4" fillId="0" borderId="18" xfId="0" applyFont="1" applyFill="1" applyBorder="1" applyProtection="1"/>
    <xf numFmtId="0" fontId="3" fillId="0" borderId="21" xfId="0" applyFont="1" applyFill="1" applyBorder="1" applyProtection="1"/>
    <xf numFmtId="0" fontId="0" fillId="0" borderId="10" xfId="0" applyBorder="1" applyProtection="1"/>
    <xf numFmtId="0" fontId="3" fillId="0" borderId="0" xfId="0" applyFont="1" applyFill="1" applyBorder="1" applyProtection="1"/>
    <xf numFmtId="0" fontId="3" fillId="0" borderId="2" xfId="0" applyFont="1" applyFill="1" applyBorder="1" applyProtection="1"/>
    <xf numFmtId="2" fontId="3" fillId="0" borderId="26" xfId="0" applyNumberFormat="1" applyFont="1" applyFill="1" applyBorder="1" applyAlignment="1" applyProtection="1">
      <alignment horizontal="left"/>
    </xf>
    <xf numFmtId="2" fontId="3" fillId="0" borderId="9" xfId="0" applyNumberFormat="1" applyFont="1" applyFill="1" applyBorder="1" applyAlignment="1" applyProtection="1">
      <alignment horizontal="left"/>
    </xf>
    <xf numFmtId="0" fontId="4" fillId="0" borderId="16" xfId="0" applyFont="1" applyFill="1" applyBorder="1" applyAlignment="1" applyProtection="1">
      <alignment horizontal="left"/>
    </xf>
    <xf numFmtId="2" fontId="3" fillId="0" borderId="2" xfId="0" applyNumberFormat="1" applyFont="1" applyFill="1" applyBorder="1" applyAlignment="1" applyProtection="1">
      <alignment horizontal="left"/>
    </xf>
    <xf numFmtId="2" fontId="3" fillId="0" borderId="0" xfId="0" applyNumberFormat="1" applyFont="1" applyFill="1" applyBorder="1" applyAlignment="1" applyProtection="1">
      <alignment horizontal="left"/>
    </xf>
    <xf numFmtId="0" fontId="0" fillId="0" borderId="0" xfId="0" applyFont="1" applyFill="1" applyProtection="1"/>
    <xf numFmtId="0" fontId="3" fillId="0" borderId="20" xfId="0" applyFont="1" applyFill="1" applyBorder="1" applyProtection="1"/>
    <xf numFmtId="2" fontId="3" fillId="0" borderId="20" xfId="0" applyNumberFormat="1" applyFont="1" applyFill="1" applyBorder="1" applyAlignment="1" applyProtection="1">
      <alignment horizontal="left"/>
    </xf>
    <xf numFmtId="2" fontId="3" fillId="0" borderId="13" xfId="0" applyNumberFormat="1" applyFont="1" applyFill="1" applyBorder="1" applyAlignment="1" applyProtection="1">
      <alignment horizontal="left"/>
    </xf>
    <xf numFmtId="0" fontId="0" fillId="0" borderId="14" xfId="0" applyBorder="1" applyProtection="1"/>
    <xf numFmtId="0" fontId="4" fillId="0" borderId="5" xfId="0" applyFont="1" applyFill="1" applyBorder="1" applyAlignment="1" applyProtection="1">
      <alignment horizontal="center" wrapText="1"/>
    </xf>
    <xf numFmtId="0" fontId="4" fillId="0" borderId="18" xfId="0" applyFont="1" applyFill="1" applyBorder="1" applyAlignment="1" applyProtection="1">
      <alignment horizontal="center" vertical="center" wrapText="1"/>
    </xf>
    <xf numFmtId="0" fontId="4" fillId="0" borderId="20" xfId="0" applyFont="1" applyFill="1" applyBorder="1" applyAlignment="1" applyProtection="1">
      <alignment horizontal="center" wrapText="1"/>
    </xf>
    <xf numFmtId="0" fontId="4" fillId="0" borderId="13" xfId="0" applyFont="1" applyFill="1" applyBorder="1" applyAlignment="1" applyProtection="1">
      <alignment wrapText="1"/>
    </xf>
    <xf numFmtId="0" fontId="4" fillId="0" borderId="23" xfId="0" applyFont="1" applyFill="1" applyBorder="1" applyAlignment="1" applyProtection="1">
      <alignment wrapText="1"/>
    </xf>
    <xf numFmtId="0" fontId="4" fillId="0" borderId="20" xfId="0" applyFont="1" applyFill="1" applyBorder="1" applyAlignment="1" applyProtection="1">
      <alignment wrapText="1"/>
    </xf>
    <xf numFmtId="0" fontId="4" fillId="0" borderId="14" xfId="0" applyFont="1" applyFill="1" applyBorder="1" applyAlignment="1" applyProtection="1">
      <alignment wrapText="1"/>
    </xf>
    <xf numFmtId="0" fontId="4" fillId="0" borderId="6" xfId="0" applyFont="1" applyFill="1" applyBorder="1" applyAlignment="1" applyProtection="1">
      <alignment horizont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wrapText="1"/>
    </xf>
    <xf numFmtId="0" fontId="4" fillId="0" borderId="21" xfId="0" applyFont="1" applyFill="1" applyBorder="1" applyAlignment="1" applyProtection="1">
      <alignment wrapText="1"/>
    </xf>
    <xf numFmtId="2" fontId="3" fillId="3" borderId="3" xfId="0" applyNumberFormat="1" applyFont="1" applyFill="1" applyBorder="1" applyAlignment="1" applyProtection="1">
      <alignment horizontal="center"/>
    </xf>
    <xf numFmtId="2" fontId="3" fillId="3" borderId="16" xfId="0" applyNumberFormat="1" applyFont="1" applyFill="1" applyBorder="1" applyAlignment="1" applyProtection="1">
      <alignment horizontal="center"/>
    </xf>
    <xf numFmtId="1" fontId="3" fillId="0" borderId="2" xfId="0" applyNumberFormat="1" applyFont="1" applyFill="1" applyBorder="1" applyAlignment="1" applyProtection="1">
      <alignment horizontal="center"/>
    </xf>
    <xf numFmtId="0" fontId="3" fillId="0" borderId="22" xfId="0" applyFont="1" applyFill="1" applyBorder="1" applyProtection="1"/>
    <xf numFmtId="0" fontId="3" fillId="0" borderId="0" xfId="0" applyFont="1" applyFill="1" applyProtection="1"/>
    <xf numFmtId="0" fontId="3" fillId="3" borderId="0" xfId="0" applyFont="1" applyFill="1" applyBorder="1" applyProtection="1"/>
    <xf numFmtId="2" fontId="3" fillId="0" borderId="22" xfId="0" applyNumberFormat="1" applyFont="1" applyFill="1" applyBorder="1" applyProtection="1"/>
    <xf numFmtId="1" fontId="3" fillId="3" borderId="0" xfId="0" applyNumberFormat="1" applyFont="1" applyFill="1" applyBorder="1" applyProtection="1"/>
    <xf numFmtId="0" fontId="0" fillId="0" borderId="0" xfId="0" applyBorder="1" applyProtection="1"/>
    <xf numFmtId="2" fontId="3" fillId="3" borderId="0" xfId="0" applyNumberFormat="1" applyFont="1" applyFill="1" applyBorder="1" applyAlignment="1" applyProtection="1">
      <alignment horizontal="center"/>
    </xf>
    <xf numFmtId="2" fontId="3" fillId="3" borderId="11" xfId="0" applyNumberFormat="1" applyFont="1" applyFill="1" applyBorder="1" applyAlignment="1" applyProtection="1">
      <alignment horizontal="center"/>
    </xf>
    <xf numFmtId="0" fontId="3" fillId="0" borderId="6" xfId="0" applyFont="1" applyFill="1" applyBorder="1" applyAlignment="1" applyProtection="1">
      <alignment horizontal="center"/>
    </xf>
    <xf numFmtId="0" fontId="3" fillId="0" borderId="29" xfId="0" applyFont="1" applyFill="1" applyBorder="1" applyAlignment="1" applyProtection="1">
      <alignment horizontal="center"/>
    </xf>
    <xf numFmtId="0" fontId="4" fillId="0" borderId="21" xfId="0" applyFont="1" applyFill="1" applyBorder="1" applyProtection="1"/>
    <xf numFmtId="2" fontId="4" fillId="0" borderId="6" xfId="0" applyNumberFormat="1" applyFont="1" applyFill="1" applyBorder="1" applyProtection="1"/>
    <xf numFmtId="1" fontId="4" fillId="0" borderId="29" xfId="0" applyNumberFormat="1" applyFont="1" applyFill="1" applyBorder="1" applyAlignment="1" applyProtection="1">
      <alignment horizontal="center"/>
    </xf>
    <xf numFmtId="2" fontId="4" fillId="0" borderId="21" xfId="0" applyNumberFormat="1" applyFont="1" applyFill="1" applyBorder="1" applyProtection="1"/>
    <xf numFmtId="0" fontId="4" fillId="0" borderId="14" xfId="0" applyFont="1" applyFill="1" applyBorder="1" applyProtection="1"/>
    <xf numFmtId="0" fontId="3" fillId="0" borderId="9" xfId="0" applyFont="1" applyFill="1" applyBorder="1" applyProtection="1"/>
    <xf numFmtId="0" fontId="3" fillId="0" borderId="24" xfId="0" applyFont="1" applyFill="1" applyBorder="1" applyProtection="1"/>
    <xf numFmtId="2" fontId="3" fillId="3" borderId="14" xfId="0" applyNumberFormat="1" applyFont="1" applyFill="1" applyBorder="1" applyAlignment="1" applyProtection="1">
      <alignment horizontal="center"/>
    </xf>
    <xf numFmtId="1" fontId="3" fillId="0" borderId="20" xfId="0" applyNumberFormat="1" applyFont="1" applyFill="1" applyBorder="1" applyAlignment="1" applyProtection="1">
      <alignment horizontal="center"/>
    </xf>
    <xf numFmtId="0" fontId="3" fillId="0" borderId="23" xfId="0" applyFont="1" applyFill="1" applyBorder="1" applyProtection="1"/>
    <xf numFmtId="2" fontId="4" fillId="0" borderId="18" xfId="0" applyNumberFormat="1" applyFont="1" applyFill="1" applyBorder="1" applyProtection="1"/>
    <xf numFmtId="2" fontId="3" fillId="0" borderId="6" xfId="0" applyNumberFormat="1" applyFont="1" applyFill="1" applyBorder="1" applyAlignment="1" applyProtection="1">
      <alignment horizontal="center"/>
    </xf>
    <xf numFmtId="0" fontId="3" fillId="0" borderId="10" xfId="0" applyFont="1" applyFill="1" applyBorder="1" applyProtection="1"/>
    <xf numFmtId="2" fontId="3" fillId="0" borderId="2" xfId="0" applyNumberFormat="1" applyFont="1" applyFill="1" applyBorder="1" applyAlignment="1" applyProtection="1">
      <alignment horizontal="center"/>
    </xf>
    <xf numFmtId="2" fontId="3" fillId="0" borderId="20" xfId="0" applyNumberFormat="1" applyFont="1" applyFill="1" applyBorder="1" applyAlignment="1" applyProtection="1">
      <alignment horizontal="center"/>
    </xf>
    <xf numFmtId="2" fontId="3" fillId="0" borderId="29" xfId="0" applyNumberFormat="1" applyFont="1" applyFill="1" applyBorder="1" applyAlignment="1" applyProtection="1">
      <alignment horizontal="center"/>
    </xf>
    <xf numFmtId="2" fontId="3" fillId="0" borderId="9" xfId="0" applyNumberFormat="1" applyFont="1" applyFill="1" applyBorder="1" applyAlignment="1" applyProtection="1">
      <alignment horizontal="center"/>
    </xf>
    <xf numFmtId="2" fontId="3" fillId="0" borderId="0" xfId="0" applyNumberFormat="1" applyFont="1" applyFill="1" applyBorder="1" applyAlignment="1" applyProtection="1">
      <alignment horizontal="center"/>
    </xf>
    <xf numFmtId="0" fontId="3" fillId="3" borderId="3" xfId="0" applyFont="1" applyFill="1" applyBorder="1" applyAlignment="1" applyProtection="1">
      <alignment horizontal="center"/>
    </xf>
    <xf numFmtId="0" fontId="3" fillId="3" borderId="16" xfId="0" applyFont="1" applyFill="1" applyBorder="1" applyAlignment="1" applyProtection="1">
      <alignment horizontal="center"/>
    </xf>
    <xf numFmtId="0" fontId="3" fillId="0" borderId="2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0" fillId="0" borderId="22" xfId="0" applyFill="1" applyBorder="1" applyProtection="1"/>
    <xf numFmtId="0" fontId="0" fillId="0" borderId="0" xfId="0" applyFill="1" applyProtection="1"/>
    <xf numFmtId="1" fontId="0" fillId="0" borderId="2" xfId="0" applyNumberFormat="1" applyFill="1" applyBorder="1" applyAlignment="1" applyProtection="1">
      <alignment horizontal="center"/>
    </xf>
    <xf numFmtId="0" fontId="0" fillId="0" borderId="16" xfId="0" applyFill="1" applyBorder="1" applyProtection="1"/>
    <xf numFmtId="2" fontId="3" fillId="3" borderId="10" xfId="0" applyNumberFormat="1" applyFont="1" applyFill="1" applyBorder="1" applyAlignment="1" applyProtection="1">
      <alignment horizontal="center"/>
    </xf>
    <xf numFmtId="1" fontId="3" fillId="6" borderId="0" xfId="0" applyNumberFormat="1" applyFont="1" applyFill="1" applyBorder="1" applyProtection="1"/>
    <xf numFmtId="1" fontId="3" fillId="6" borderId="9" xfId="0" applyNumberFormat="1" applyFont="1" applyFill="1" applyBorder="1" applyProtection="1"/>
    <xf numFmtId="2" fontId="3" fillId="3" borderId="22" xfId="0" applyNumberFormat="1" applyFont="1" applyFill="1" applyBorder="1" applyAlignment="1" applyProtection="1">
      <alignment horizontal="center"/>
    </xf>
    <xf numFmtId="0" fontId="3" fillId="3" borderId="13" xfId="0" applyFont="1" applyFill="1" applyBorder="1" applyProtection="1"/>
    <xf numFmtId="2" fontId="3" fillId="5" borderId="3" xfId="0" applyNumberFormat="1" applyFont="1" applyFill="1" applyBorder="1" applyAlignment="1" applyProtection="1">
      <alignment horizontal="center"/>
    </xf>
    <xf numFmtId="2" fontId="3" fillId="5" borderId="16" xfId="0" applyNumberFormat="1" applyFont="1" applyFill="1" applyBorder="1" applyAlignment="1" applyProtection="1">
      <alignment horizontal="center"/>
    </xf>
    <xf numFmtId="0" fontId="3" fillId="0" borderId="9" xfId="0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/>
    </xf>
    <xf numFmtId="0" fontId="4" fillId="0" borderId="0" xfId="0" applyFont="1" applyFill="1" applyBorder="1" applyProtection="1"/>
    <xf numFmtId="0" fontId="4" fillId="0" borderId="22" xfId="0" applyFont="1" applyFill="1" applyBorder="1" applyProtection="1"/>
    <xf numFmtId="0" fontId="4" fillId="0" borderId="24" xfId="0" applyFont="1" applyFill="1" applyBorder="1" applyProtection="1"/>
    <xf numFmtId="1" fontId="4" fillId="0" borderId="2" xfId="0" applyNumberFormat="1" applyFont="1" applyFill="1" applyBorder="1" applyAlignment="1" applyProtection="1">
      <alignment horizontal="center"/>
    </xf>
    <xf numFmtId="0" fontId="4" fillId="0" borderId="23" xfId="0" applyFont="1" applyFill="1" applyBorder="1" applyProtection="1"/>
    <xf numFmtId="164" fontId="3" fillId="6" borderId="13" xfId="0" applyNumberFormat="1" applyFont="1" applyFill="1" applyBorder="1" applyProtection="1"/>
    <xf numFmtId="0" fontId="1" fillId="0" borderId="0" xfId="0" applyFont="1" applyProtection="1"/>
    <xf numFmtId="166" fontId="5" fillId="0" borderId="0" xfId="0" applyNumberFormat="1" applyFont="1" applyFill="1" applyBorder="1" applyAlignment="1" applyProtection="1">
      <alignment horizontal="center"/>
    </xf>
    <xf numFmtId="0" fontId="3" fillId="0" borderId="5" xfId="0" applyFont="1" applyFill="1" applyBorder="1" applyAlignment="1" applyProtection="1">
      <alignment horizontal="center"/>
    </xf>
    <xf numFmtId="0" fontId="3" fillId="0" borderId="21" xfId="0" applyFont="1" applyFill="1" applyBorder="1" applyAlignment="1" applyProtection="1">
      <alignment horizontal="center"/>
    </xf>
    <xf numFmtId="165" fontId="3" fillId="0" borderId="3" xfId="0" applyNumberFormat="1" applyFont="1" applyFill="1" applyBorder="1" applyProtection="1"/>
    <xf numFmtId="0" fontId="13" fillId="0" borderId="0" xfId="0" applyFont="1" applyProtection="1"/>
    <xf numFmtId="0" fontId="11" fillId="0" borderId="18" xfId="0" applyFont="1" applyBorder="1" applyProtection="1"/>
    <xf numFmtId="0" fontId="11" fillId="0" borderId="6" xfId="0" applyFont="1" applyBorder="1" applyProtection="1"/>
    <xf numFmtId="165" fontId="14" fillId="0" borderId="5" xfId="0" applyNumberFormat="1" applyFont="1" applyBorder="1" applyProtection="1"/>
    <xf numFmtId="165" fontId="14" fillId="0" borderId="21" xfId="0" applyNumberFormat="1" applyFont="1" applyBorder="1" applyProtection="1"/>
    <xf numFmtId="0" fontId="14" fillId="0" borderId="5" xfId="0" applyFont="1" applyBorder="1" applyProtection="1"/>
    <xf numFmtId="0" fontId="0" fillId="6" borderId="0" xfId="0" applyFill="1"/>
    <xf numFmtId="0" fontId="0" fillId="0" borderId="0" xfId="0" applyFont="1" applyProtection="1"/>
    <xf numFmtId="0" fontId="4" fillId="0" borderId="10" xfId="0" applyFont="1" applyFill="1" applyBorder="1" applyAlignment="1" applyProtection="1">
      <alignment horizontal="center"/>
    </xf>
    <xf numFmtId="0" fontId="4" fillId="0" borderId="5" xfId="0" applyFont="1" applyFill="1" applyBorder="1" applyAlignment="1" applyProtection="1">
      <alignment horizontal="center"/>
    </xf>
    <xf numFmtId="0" fontId="4" fillId="0" borderId="18" xfId="0" applyFont="1" applyFill="1" applyBorder="1" applyAlignment="1" applyProtection="1">
      <alignment horizontal="center"/>
    </xf>
    <xf numFmtId="164" fontId="3" fillId="6" borderId="10" xfId="0" applyNumberFormat="1" applyFont="1" applyFill="1" applyBorder="1" applyProtection="1"/>
    <xf numFmtId="164" fontId="3" fillId="6" borderId="8" xfId="0" applyNumberFormat="1" applyFont="1" applyFill="1" applyBorder="1" applyProtection="1"/>
    <xf numFmtId="164" fontId="3" fillId="6" borderId="16" xfId="0" applyNumberFormat="1" applyFont="1" applyFill="1" applyBorder="1" applyProtection="1"/>
    <xf numFmtId="2" fontId="3" fillId="6" borderId="16" xfId="0" applyNumberFormat="1" applyFont="1" applyFill="1" applyBorder="1" applyProtection="1"/>
    <xf numFmtId="2" fontId="3" fillId="6" borderId="8" xfId="0" applyNumberFormat="1" applyFont="1" applyFill="1" applyBorder="1" applyProtection="1"/>
    <xf numFmtId="2" fontId="3" fillId="0" borderId="3" xfId="0" applyNumberFormat="1" applyFont="1" applyFill="1" applyBorder="1" applyProtection="1"/>
    <xf numFmtId="2" fontId="3" fillId="0" borderId="10" xfId="0" applyNumberFormat="1" applyFont="1" applyFill="1" applyBorder="1" applyProtection="1"/>
    <xf numFmtId="2" fontId="3" fillId="0" borderId="8" xfId="0" applyNumberFormat="1" applyFont="1" applyFill="1" applyBorder="1" applyProtection="1"/>
    <xf numFmtId="2" fontId="3" fillId="0" borderId="14" xfId="0" applyNumberFormat="1" applyFont="1" applyFill="1" applyBorder="1" applyProtection="1"/>
    <xf numFmtId="2" fontId="3" fillId="0" borderId="11" xfId="0" applyNumberFormat="1" applyFont="1" applyFill="1" applyBorder="1" applyProtection="1"/>
    <xf numFmtId="2" fontId="4" fillId="0" borderId="10" xfId="0" applyNumberFormat="1" applyFont="1" applyFill="1" applyBorder="1" applyProtection="1"/>
    <xf numFmtId="2" fontId="4" fillId="0" borderId="8" xfId="0" applyNumberFormat="1" applyFont="1" applyFill="1" applyBorder="1" applyProtection="1"/>
    <xf numFmtId="2" fontId="4" fillId="0" borderId="14" xfId="0" applyNumberFormat="1" applyFont="1" applyFill="1" applyBorder="1" applyProtection="1"/>
    <xf numFmtId="2" fontId="4" fillId="0" borderId="11" xfId="0" applyNumberFormat="1" applyFont="1" applyFill="1" applyBorder="1" applyProtection="1"/>
    <xf numFmtId="0" fontId="4" fillId="2" borderId="14" xfId="0" applyFont="1" applyFill="1" applyBorder="1" applyAlignment="1" applyProtection="1">
      <alignment horizontal="right"/>
    </xf>
    <xf numFmtId="2" fontId="3" fillId="6" borderId="11" xfId="0" applyNumberFormat="1" applyFont="1" applyFill="1" applyBorder="1" applyProtection="1"/>
    <xf numFmtId="2" fontId="3" fillId="6" borderId="3" xfId="0" applyNumberFormat="1" applyFont="1" applyFill="1" applyBorder="1" applyProtection="1"/>
    <xf numFmtId="1" fontId="3" fillId="0" borderId="23" xfId="0" applyNumberFormat="1" applyFont="1" applyFill="1" applyBorder="1" applyProtection="1"/>
    <xf numFmtId="2" fontId="3" fillId="0" borderId="24" xfId="0" applyNumberFormat="1" applyFont="1" applyFill="1" applyBorder="1" applyProtection="1"/>
    <xf numFmtId="2" fontId="3" fillId="0" borderId="24" xfId="0" applyNumberFormat="1" applyFont="1" applyFill="1" applyBorder="1" applyAlignment="1" applyProtection="1">
      <alignment horizontal="right"/>
    </xf>
    <xf numFmtId="2" fontId="3" fillId="0" borderId="22" xfId="0" applyNumberFormat="1" applyFont="1" applyFill="1" applyBorder="1" applyAlignment="1" applyProtection="1">
      <alignment horizontal="right"/>
    </xf>
    <xf numFmtId="2" fontId="4" fillId="0" borderId="24" xfId="0" applyNumberFormat="1" applyFont="1" applyFill="1" applyBorder="1" applyAlignment="1" applyProtection="1">
      <alignment horizontal="right"/>
    </xf>
    <xf numFmtId="2" fontId="4" fillId="0" borderId="22" xfId="0" applyNumberFormat="1" applyFont="1" applyFill="1" applyBorder="1" applyAlignment="1" applyProtection="1">
      <alignment horizontal="right"/>
    </xf>
    <xf numFmtId="2" fontId="4" fillId="0" borderId="21" xfId="0" applyNumberFormat="1" applyFont="1" applyFill="1" applyBorder="1" applyAlignment="1" applyProtection="1">
      <alignment horizontal="right"/>
    </xf>
    <xf numFmtId="165" fontId="3" fillId="9" borderId="8" xfId="0" applyNumberFormat="1" applyFont="1" applyFill="1" applyBorder="1" applyProtection="1"/>
    <xf numFmtId="165" fontId="3" fillId="9" borderId="3" xfId="0" applyNumberFormat="1" applyFont="1" applyFill="1" applyBorder="1" applyProtection="1"/>
    <xf numFmtId="165" fontId="3" fillId="9" borderId="11" xfId="0" applyNumberFormat="1" applyFont="1" applyFill="1" applyBorder="1" applyProtection="1"/>
    <xf numFmtId="165" fontId="3" fillId="0" borderId="11" xfId="0" applyNumberFormat="1" applyFont="1" applyFill="1" applyBorder="1" applyProtection="1"/>
    <xf numFmtId="0" fontId="11" fillId="0" borderId="14" xfId="0" applyFont="1" applyBorder="1" applyProtection="1"/>
    <xf numFmtId="165" fontId="3" fillId="0" borderId="5" xfId="0" applyNumberFormat="1" applyFont="1" applyFill="1" applyBorder="1" applyProtection="1"/>
    <xf numFmtId="165" fontId="3" fillId="6" borderId="11" xfId="0" applyNumberFormat="1" applyFont="1" applyFill="1" applyBorder="1" applyProtection="1"/>
    <xf numFmtId="2" fontId="11" fillId="0" borderId="8" xfId="0" applyNumberFormat="1" applyFont="1" applyBorder="1" applyProtection="1"/>
    <xf numFmtId="2" fontId="11" fillId="0" borderId="3" xfId="0" applyNumberFormat="1" applyFont="1" applyBorder="1" applyProtection="1"/>
    <xf numFmtId="0" fontId="11" fillId="0" borderId="11" xfId="0" applyFont="1" applyBorder="1" applyProtection="1"/>
    <xf numFmtId="2" fontId="11" fillId="0" borderId="5" xfId="0" applyNumberFormat="1" applyFont="1" applyBorder="1" applyProtection="1"/>
    <xf numFmtId="2" fontId="11" fillId="6" borderId="5" xfId="0" applyNumberFormat="1" applyFont="1" applyFill="1" applyBorder="1" applyProtection="1"/>
    <xf numFmtId="0" fontId="11" fillId="0" borderId="5" xfId="0" applyFont="1" applyBorder="1" applyProtection="1"/>
    <xf numFmtId="1" fontId="3" fillId="0" borderId="22" xfId="0" applyNumberFormat="1" applyFont="1" applyFill="1" applyBorder="1" applyProtection="1"/>
    <xf numFmtId="0" fontId="11" fillId="0" borderId="0" xfId="0" applyFont="1" applyBorder="1" applyProtection="1"/>
    <xf numFmtId="2" fontId="11" fillId="0" borderId="11" xfId="0" applyNumberFormat="1" applyFont="1" applyBorder="1" applyProtection="1"/>
    <xf numFmtId="2" fontId="14" fillId="0" borderId="3" xfId="0" applyNumberFormat="1" applyFont="1" applyBorder="1" applyProtection="1"/>
    <xf numFmtId="2" fontId="14" fillId="0" borderId="11" xfId="0" applyNumberFormat="1" applyFont="1" applyBorder="1" applyProtection="1"/>
    <xf numFmtId="1" fontId="4" fillId="0" borderId="24" xfId="0" applyNumberFormat="1" applyFont="1" applyFill="1" applyBorder="1" applyProtection="1"/>
    <xf numFmtId="1" fontId="4" fillId="0" borderId="23" xfId="0" applyNumberFormat="1" applyFont="1" applyFill="1" applyBorder="1" applyProtection="1"/>
    <xf numFmtId="0" fontId="11" fillId="6" borderId="0" xfId="0" applyFont="1" applyFill="1" applyProtection="1"/>
    <xf numFmtId="0" fontId="11" fillId="7" borderId="0" xfId="0" applyFont="1" applyFill="1" applyProtection="1"/>
    <xf numFmtId="0" fontId="0" fillId="0" borderId="0" xfId="0" applyFont="1" applyBorder="1"/>
    <xf numFmtId="0" fontId="4" fillId="2" borderId="6" xfId="0" applyFont="1" applyFill="1" applyBorder="1" applyProtection="1"/>
    <xf numFmtId="0" fontId="3" fillId="2" borderId="6" xfId="0" applyFont="1" applyFill="1" applyBorder="1" applyAlignment="1" applyProtection="1">
      <alignment horizontal="left" vertical="top"/>
    </xf>
    <xf numFmtId="164" fontId="3" fillId="2" borderId="6" xfId="0" applyNumberFormat="1" applyFont="1" applyFill="1" applyBorder="1" applyProtection="1"/>
    <xf numFmtId="164" fontId="3" fillId="2" borderId="13" xfId="0" applyNumberFormat="1" applyFont="1" applyFill="1" applyBorder="1" applyProtection="1"/>
    <xf numFmtId="164" fontId="3" fillId="0" borderId="0" xfId="0" applyNumberFormat="1" applyFont="1" applyFill="1" applyBorder="1" applyProtection="1"/>
    <xf numFmtId="164" fontId="3" fillId="6" borderId="11" xfId="0" applyNumberFormat="1" applyFont="1" applyFill="1" applyBorder="1" applyProtection="1"/>
    <xf numFmtId="0" fontId="11" fillId="0" borderId="0" xfId="0" applyFont="1" applyBorder="1" applyAlignment="1" applyProtection="1">
      <alignment horizontal="left" vertical="center"/>
    </xf>
    <xf numFmtId="0" fontId="11" fillId="0" borderId="16" xfId="0" applyFont="1" applyBorder="1" applyAlignment="1">
      <alignment horizontal="left"/>
    </xf>
    <xf numFmtId="164" fontId="3" fillId="11" borderId="3" xfId="0" applyNumberFormat="1" applyFont="1" applyFill="1" applyBorder="1" applyProtection="1">
      <protection locked="0"/>
    </xf>
    <xf numFmtId="1" fontId="3" fillId="11" borderId="3" xfId="0" applyNumberFormat="1" applyFont="1" applyFill="1" applyBorder="1" applyAlignment="1" applyProtection="1">
      <alignment horizontal="right"/>
      <protection locked="0"/>
    </xf>
    <xf numFmtId="167" fontId="3" fillId="11" borderId="5" xfId="0" applyNumberFormat="1" applyFont="1" applyFill="1" applyBorder="1" applyAlignment="1" applyProtection="1">
      <alignment horizontal="center"/>
      <protection locked="0"/>
    </xf>
    <xf numFmtId="167" fontId="3" fillId="11" borderId="11" xfId="0" applyNumberFormat="1" applyFont="1" applyFill="1" applyBorder="1" applyAlignment="1" applyProtection="1">
      <alignment horizontal="center"/>
      <protection locked="0"/>
    </xf>
    <xf numFmtId="1" fontId="3" fillId="11" borderId="11" xfId="0" applyNumberFormat="1" applyFont="1" applyFill="1" applyBorder="1" applyAlignment="1" applyProtection="1">
      <alignment horizontal="center"/>
      <protection locked="0"/>
    </xf>
    <xf numFmtId="0" fontId="3" fillId="11" borderId="11" xfId="0" applyFont="1" applyFill="1" applyBorder="1" applyAlignment="1" applyProtection="1">
      <alignment horizontal="center"/>
      <protection locked="0"/>
    </xf>
    <xf numFmtId="0" fontId="3" fillId="0" borderId="30" xfId="0" applyFont="1" applyFill="1" applyBorder="1" applyAlignment="1" applyProtection="1"/>
    <xf numFmtId="0" fontId="3" fillId="0" borderId="7" xfId="0" applyFont="1" applyFill="1" applyBorder="1" applyAlignment="1" applyProtection="1"/>
    <xf numFmtId="0" fontId="9" fillId="0" borderId="30" xfId="0" applyFont="1" applyFill="1" applyBorder="1" applyAlignment="1" applyProtection="1"/>
    <xf numFmtId="0" fontId="9" fillId="0" borderId="7" xfId="0" applyFont="1" applyFill="1" applyBorder="1" applyAlignment="1" applyProtection="1"/>
    <xf numFmtId="0" fontId="0" fillId="0" borderId="29" xfId="0" applyFont="1" applyFill="1" applyBorder="1" applyProtection="1"/>
    <xf numFmtId="0" fontId="0" fillId="0" borderId="9" xfId="0" applyFont="1" applyFill="1" applyBorder="1" applyProtection="1"/>
    <xf numFmtId="0" fontId="0" fillId="0" borderId="18" xfId="0" applyFont="1" applyFill="1" applyBorder="1" applyProtection="1"/>
    <xf numFmtId="0" fontId="0" fillId="0" borderId="6" xfId="0" applyFont="1" applyFill="1" applyBorder="1" applyProtection="1"/>
    <xf numFmtId="0" fontId="0" fillId="0" borderId="28" xfId="0" applyFont="1" applyFill="1" applyBorder="1" applyProtection="1"/>
    <xf numFmtId="0" fontId="3" fillId="0" borderId="1" xfId="0" applyFont="1" applyFill="1" applyBorder="1" applyAlignment="1" applyProtection="1">
      <alignment horizontal="center"/>
    </xf>
    <xf numFmtId="0" fontId="3" fillId="0" borderId="26" xfId="0" applyFont="1" applyFill="1" applyBorder="1" applyAlignment="1" applyProtection="1">
      <alignment horizontal="center"/>
    </xf>
    <xf numFmtId="0" fontId="3" fillId="0" borderId="20" xfId="0" applyFont="1" applyFill="1" applyBorder="1" applyAlignment="1" applyProtection="1">
      <alignment horizontal="center"/>
    </xf>
    <xf numFmtId="164" fontId="3" fillId="7" borderId="29" xfId="0" applyNumberFormat="1" applyFont="1" applyFill="1" applyBorder="1" applyProtection="1"/>
    <xf numFmtId="164" fontId="3" fillId="7" borderId="1" xfId="0" applyNumberFormat="1" applyFont="1" applyFill="1" applyBorder="1" applyProtection="1"/>
    <xf numFmtId="164" fontId="3" fillId="7" borderId="30" xfId="0" applyNumberFormat="1" applyFont="1" applyFill="1" applyBorder="1" applyProtection="1"/>
    <xf numFmtId="164" fontId="3" fillId="0" borderId="1" xfId="0" applyNumberFormat="1" applyFont="1" applyFill="1" applyBorder="1" applyProtection="1"/>
    <xf numFmtId="1" fontId="3" fillId="0" borderId="0" xfId="0" applyNumberFormat="1" applyFont="1" applyFill="1" applyBorder="1" applyProtection="1"/>
    <xf numFmtId="2" fontId="3" fillId="0" borderId="9" xfId="0" applyNumberFormat="1" applyFont="1" applyFill="1" applyBorder="1" applyProtection="1"/>
    <xf numFmtId="2" fontId="3" fillId="0" borderId="17" xfId="0" applyNumberFormat="1" applyFont="1" applyFill="1" applyBorder="1" applyProtection="1"/>
    <xf numFmtId="164" fontId="3" fillId="0" borderId="7" xfId="0" applyNumberFormat="1" applyFont="1" applyFill="1" applyBorder="1" applyProtection="1"/>
    <xf numFmtId="2" fontId="3" fillId="7" borderId="30" xfId="0" applyNumberFormat="1" applyFont="1" applyFill="1" applyBorder="1" applyProtection="1"/>
    <xf numFmtId="0" fontId="0" fillId="0" borderId="5" xfId="0" applyFont="1" applyFill="1" applyBorder="1" applyProtection="1"/>
    <xf numFmtId="2" fontId="3" fillId="7" borderId="7" xfId="0" applyNumberFormat="1" applyFont="1" applyFill="1" applyBorder="1" applyProtection="1"/>
    <xf numFmtId="0" fontId="0" fillId="0" borderId="8" xfId="0" applyFont="1" applyFill="1" applyBorder="1" applyProtection="1"/>
    <xf numFmtId="0" fontId="0" fillId="0" borderId="27" xfId="0" applyFont="1" applyFill="1" applyBorder="1" applyProtection="1"/>
    <xf numFmtId="0" fontId="0" fillId="0" borderId="1" xfId="0" applyBorder="1" applyProtection="1"/>
    <xf numFmtId="0" fontId="0" fillId="0" borderId="24" xfId="0" applyBorder="1" applyProtection="1"/>
    <xf numFmtId="2" fontId="11" fillId="0" borderId="27" xfId="0" applyNumberFormat="1" applyFont="1" applyBorder="1" applyProtection="1"/>
    <xf numFmtId="0" fontId="0" fillId="0" borderId="7" xfId="0" applyBorder="1" applyProtection="1"/>
    <xf numFmtId="0" fontId="11" fillId="0" borderId="27" xfId="0" applyFont="1" applyBorder="1" applyProtection="1"/>
    <xf numFmtId="2" fontId="11" fillId="0" borderId="23" xfId="0" applyNumberFormat="1" applyFont="1" applyBorder="1" applyProtection="1"/>
    <xf numFmtId="2" fontId="11" fillId="0" borderId="17" xfId="0" applyNumberFormat="1" applyFont="1" applyBorder="1" applyProtection="1"/>
    <xf numFmtId="0" fontId="11" fillId="0" borderId="23" xfId="0" applyFont="1" applyBorder="1" applyProtection="1"/>
    <xf numFmtId="2" fontId="3" fillId="0" borderId="7" xfId="0" applyNumberFormat="1" applyFont="1" applyFill="1" applyBorder="1" applyProtection="1"/>
    <xf numFmtId="2" fontId="3" fillId="7" borderId="32" xfId="0" applyNumberFormat="1" applyFont="1" applyFill="1" applyBorder="1" applyProtection="1"/>
    <xf numFmtId="2" fontId="3" fillId="7" borderId="15" xfId="0" applyNumberFormat="1" applyFont="1" applyFill="1" applyBorder="1" applyProtection="1"/>
    <xf numFmtId="2" fontId="3" fillId="7" borderId="12" xfId="0" applyNumberFormat="1" applyFont="1" applyFill="1" applyBorder="1" applyProtection="1"/>
    <xf numFmtId="0" fontId="11" fillId="0" borderId="7" xfId="0" applyFont="1" applyBorder="1" applyProtection="1"/>
    <xf numFmtId="0" fontId="14" fillId="0" borderId="24" xfId="0" applyFont="1" applyBorder="1" applyProtection="1"/>
    <xf numFmtId="2" fontId="14" fillId="0" borderId="27" xfId="0" applyNumberFormat="1" applyFont="1" applyBorder="1" applyProtection="1"/>
    <xf numFmtId="0" fontId="6" fillId="0" borderId="14" xfId="0" applyFont="1" applyFill="1" applyBorder="1" applyProtection="1"/>
    <xf numFmtId="2" fontId="14" fillId="0" borderId="23" xfId="0" applyNumberFormat="1" applyFont="1" applyBorder="1" applyProtection="1"/>
    <xf numFmtId="2" fontId="14" fillId="0" borderId="19" xfId="0" applyNumberFormat="1" applyFont="1" applyBorder="1" applyProtection="1"/>
    <xf numFmtId="0" fontId="0" fillId="0" borderId="16" xfId="0" applyFont="1" applyFill="1" applyBorder="1" applyProtection="1"/>
    <xf numFmtId="0" fontId="0" fillId="0" borderId="30" xfId="0" applyFont="1" applyFill="1" applyBorder="1" applyProtection="1"/>
    <xf numFmtId="2" fontId="3" fillId="7" borderId="1" xfId="0" applyNumberFormat="1" applyFont="1" applyFill="1" applyBorder="1" applyProtection="1"/>
    <xf numFmtId="2" fontId="3" fillId="7" borderId="17" xfId="0" applyNumberFormat="1" applyFont="1" applyFill="1" applyBorder="1" applyProtection="1"/>
    <xf numFmtId="2" fontId="3" fillId="7" borderId="26" xfId="0" applyNumberFormat="1" applyFont="1" applyFill="1" applyBorder="1" applyProtection="1"/>
    <xf numFmtId="167" fontId="3" fillId="0" borderId="3" xfId="0" applyNumberFormat="1" applyFont="1" applyFill="1" applyBorder="1" applyProtection="1"/>
    <xf numFmtId="167" fontId="3" fillId="0" borderId="4" xfId="0" applyNumberFormat="1" applyFont="1" applyFill="1" applyBorder="1" applyProtection="1"/>
    <xf numFmtId="2" fontId="3" fillId="7" borderId="2" xfId="0" applyNumberFormat="1" applyFont="1" applyFill="1" applyBorder="1" applyProtection="1"/>
    <xf numFmtId="0" fontId="11" fillId="0" borderId="9" xfId="0" applyFont="1" applyBorder="1" applyProtection="1"/>
    <xf numFmtId="0" fontId="0" fillId="0" borderId="3" xfId="0" applyBorder="1" applyProtection="1"/>
    <xf numFmtId="0" fontId="11" fillId="0" borderId="15" xfId="0" applyFont="1" applyBorder="1" applyProtection="1"/>
    <xf numFmtId="0" fontId="11" fillId="0" borderId="13" xfId="0" applyFont="1" applyBorder="1" applyProtection="1"/>
    <xf numFmtId="2" fontId="11" fillId="7" borderId="19" xfId="0" applyNumberFormat="1" applyFont="1" applyFill="1" applyBorder="1" applyProtection="1"/>
    <xf numFmtId="2" fontId="3" fillId="7" borderId="4" xfId="0" applyNumberFormat="1" applyFont="1" applyFill="1" applyBorder="1" applyProtection="1"/>
    <xf numFmtId="2" fontId="3" fillId="7" borderId="20" xfId="0" applyNumberFormat="1" applyFont="1" applyFill="1" applyBorder="1" applyProtection="1"/>
    <xf numFmtId="2" fontId="4" fillId="0" borderId="7" xfId="0" applyNumberFormat="1" applyFont="1" applyFill="1" applyBorder="1" applyProtection="1"/>
    <xf numFmtId="1" fontId="3" fillId="0" borderId="9" xfId="0" applyNumberFormat="1" applyFont="1" applyFill="1" applyBorder="1" applyProtection="1"/>
    <xf numFmtId="2" fontId="4" fillId="0" borderId="24" xfId="0" applyNumberFormat="1" applyFont="1" applyFill="1" applyBorder="1" applyProtection="1"/>
    <xf numFmtId="2" fontId="3" fillId="0" borderId="27" xfId="0" applyNumberFormat="1" applyFont="1" applyFill="1" applyBorder="1" applyProtection="1"/>
    <xf numFmtId="2" fontId="4" fillId="0" borderId="9" xfId="0" applyNumberFormat="1" applyFont="1" applyFill="1" applyBorder="1" applyProtection="1"/>
    <xf numFmtId="2" fontId="4" fillId="0" borderId="15" xfId="0" applyNumberFormat="1" applyFont="1" applyFill="1" applyBorder="1" applyProtection="1"/>
    <xf numFmtId="1" fontId="3" fillId="0" borderId="13" xfId="0" applyNumberFormat="1" applyFont="1" applyFill="1" applyBorder="1" applyProtection="1"/>
    <xf numFmtId="2" fontId="4" fillId="0" borderId="23" xfId="0" applyNumberFormat="1" applyFont="1" applyFill="1" applyBorder="1" applyProtection="1"/>
    <xf numFmtId="2" fontId="4" fillId="0" borderId="19" xfId="0" applyNumberFormat="1" applyFont="1" applyFill="1" applyBorder="1" applyProtection="1"/>
    <xf numFmtId="2" fontId="4" fillId="0" borderId="13" xfId="0" applyNumberFormat="1" applyFont="1" applyFill="1" applyBorder="1" applyProtection="1"/>
    <xf numFmtId="2" fontId="4" fillId="0" borderId="17" xfId="0" applyNumberFormat="1" applyFont="1" applyFill="1" applyBorder="1" applyProtection="1"/>
    <xf numFmtId="2" fontId="4" fillId="0" borderId="0" xfId="0" applyNumberFormat="1" applyFont="1" applyFill="1" applyBorder="1" applyProtection="1"/>
    <xf numFmtId="2" fontId="3" fillId="0" borderId="1" xfId="0" applyNumberFormat="1" applyFont="1" applyFill="1" applyBorder="1" applyProtection="1"/>
    <xf numFmtId="2" fontId="3" fillId="0" borderId="4" xfId="0" applyNumberFormat="1" applyFont="1" applyFill="1" applyBorder="1" applyProtection="1"/>
    <xf numFmtId="1" fontId="16" fillId="0" borderId="8" xfId="0" applyNumberFormat="1" applyFont="1" applyFill="1" applyBorder="1" applyProtection="1"/>
    <xf numFmtId="2" fontId="3" fillId="0" borderId="32" xfId="0" applyNumberFormat="1" applyFont="1" applyFill="1" applyBorder="1" applyProtection="1"/>
    <xf numFmtId="2" fontId="3" fillId="0" borderId="2" xfId="0" applyNumberFormat="1" applyFont="1" applyFill="1" applyBorder="1" applyProtection="1"/>
    <xf numFmtId="1" fontId="16" fillId="0" borderId="3" xfId="0" applyNumberFormat="1" applyFont="1" applyFill="1" applyBorder="1" applyProtection="1"/>
    <xf numFmtId="2" fontId="3" fillId="6" borderId="2" xfId="0" applyNumberFormat="1" applyFont="1" applyFill="1" applyBorder="1" applyProtection="1"/>
    <xf numFmtId="2" fontId="3" fillId="0" borderId="15" xfId="0" applyNumberFormat="1" applyFont="1" applyFill="1" applyBorder="1" applyProtection="1"/>
    <xf numFmtId="2" fontId="3" fillId="0" borderId="12" xfId="0" applyNumberFormat="1" applyFont="1" applyFill="1" applyBorder="1" applyProtection="1"/>
    <xf numFmtId="2" fontId="4" fillId="0" borderId="2" xfId="0" applyNumberFormat="1" applyFont="1" applyFill="1" applyBorder="1" applyProtection="1"/>
    <xf numFmtId="2" fontId="4" fillId="0" borderId="3" xfId="0" applyNumberFormat="1" applyFont="1" applyFill="1" applyBorder="1" applyProtection="1"/>
    <xf numFmtId="2" fontId="4" fillId="0" borderId="4" xfId="0" applyNumberFormat="1" applyFont="1" applyFill="1" applyBorder="1" applyProtection="1"/>
    <xf numFmtId="2" fontId="4" fillId="0" borderId="26" xfId="0" applyNumberFormat="1" applyFont="1" applyFill="1" applyBorder="1" applyProtection="1"/>
    <xf numFmtId="2" fontId="4" fillId="0" borderId="20" xfId="0" applyNumberFormat="1" applyFont="1" applyFill="1" applyBorder="1" applyProtection="1"/>
    <xf numFmtId="2" fontId="4" fillId="0" borderId="12" xfId="0" applyNumberFormat="1" applyFont="1" applyFill="1" applyBorder="1" applyProtection="1"/>
    <xf numFmtId="1" fontId="4" fillId="0" borderId="9" xfId="0" applyNumberFormat="1" applyFont="1" applyFill="1" applyBorder="1" applyProtection="1"/>
    <xf numFmtId="1" fontId="4" fillId="0" borderId="13" xfId="0" applyNumberFormat="1" applyFont="1" applyFill="1" applyBorder="1" applyProtection="1"/>
    <xf numFmtId="0" fontId="11" fillId="0" borderId="0" xfId="0" applyFont="1" applyFill="1" applyProtection="1"/>
    <xf numFmtId="0" fontId="14" fillId="0" borderId="13" xfId="0" applyFont="1" applyBorder="1" applyAlignment="1" applyProtection="1">
      <alignment horizontal="left" vertical="center"/>
    </xf>
    <xf numFmtId="0" fontId="14" fillId="0" borderId="6" xfId="0" applyFont="1" applyBorder="1" applyAlignment="1" applyProtection="1">
      <alignment horizontal="left" vertical="center"/>
    </xf>
    <xf numFmtId="0" fontId="14" fillId="0" borderId="18" xfId="0" applyFont="1" applyBorder="1" applyProtection="1"/>
    <xf numFmtId="0" fontId="0" fillId="0" borderId="6" xfId="0" applyBorder="1" applyProtection="1"/>
    <xf numFmtId="0" fontId="0" fillId="0" borderId="21" xfId="0" applyBorder="1" applyProtection="1"/>
    <xf numFmtId="0" fontId="11" fillId="0" borderId="18" xfId="0" applyFont="1" applyBorder="1" applyAlignment="1" applyProtection="1">
      <alignment horizontal="center" vertical="center"/>
    </xf>
    <xf numFmtId="0" fontId="11" fillId="0" borderId="0" xfId="0" applyFont="1" applyAlignment="1" applyProtection="1">
      <alignment horizontal="center" vertical="center"/>
    </xf>
    <xf numFmtId="0" fontId="4" fillId="0" borderId="3" xfId="0" applyFont="1" applyFill="1" applyBorder="1" applyAlignment="1" applyProtection="1">
      <alignment horizontal="center" vertical="center"/>
    </xf>
    <xf numFmtId="0" fontId="11" fillId="0" borderId="10" xfId="0" applyFont="1" applyFill="1" applyBorder="1" applyProtection="1"/>
    <xf numFmtId="0" fontId="4" fillId="0" borderId="14" xfId="0" applyFont="1" applyFill="1" applyBorder="1" applyAlignment="1" applyProtection="1"/>
    <xf numFmtId="0" fontId="4" fillId="0" borderId="23" xfId="0" applyFont="1" applyFill="1" applyBorder="1" applyAlignment="1" applyProtection="1"/>
    <xf numFmtId="0" fontId="10" fillId="0" borderId="14" xfId="0" applyFont="1" applyFill="1" applyBorder="1" applyAlignment="1" applyProtection="1"/>
    <xf numFmtId="0" fontId="11" fillId="0" borderId="14" xfId="0" applyFont="1" applyFill="1" applyBorder="1" applyProtection="1"/>
    <xf numFmtId="2" fontId="3" fillId="2" borderId="24" xfId="0" applyNumberFormat="1" applyFont="1" applyFill="1" applyBorder="1" applyProtection="1"/>
    <xf numFmtId="2" fontId="3" fillId="10" borderId="8" xfId="0" applyNumberFormat="1" applyFont="1" applyFill="1" applyBorder="1" applyProtection="1"/>
    <xf numFmtId="2" fontId="3" fillId="2" borderId="8" xfId="0" applyNumberFormat="1" applyFont="1" applyFill="1" applyBorder="1" applyProtection="1"/>
    <xf numFmtId="0" fontId="11" fillId="2" borderId="11" xfId="0" applyFont="1" applyFill="1" applyBorder="1" applyAlignment="1" applyProtection="1">
      <alignment horizontal="left" vertical="center"/>
    </xf>
    <xf numFmtId="2" fontId="4" fillId="2" borderId="11" xfId="0" applyNumberFormat="1" applyFont="1" applyFill="1" applyBorder="1" applyAlignment="1" applyProtection="1">
      <alignment horizontal="center" vertical="center"/>
    </xf>
    <xf numFmtId="0" fontId="4" fillId="2" borderId="11" xfId="0" applyFont="1" applyFill="1" applyBorder="1" applyProtection="1"/>
    <xf numFmtId="2" fontId="4" fillId="10" borderId="22" xfId="0" applyNumberFormat="1" applyFont="1" applyFill="1" applyBorder="1" applyProtection="1"/>
    <xf numFmtId="2" fontId="4" fillId="8" borderId="8" xfId="0" applyNumberFormat="1" applyFont="1" applyFill="1" applyBorder="1" applyAlignment="1" applyProtection="1">
      <alignment horizontal="center" vertical="center"/>
    </xf>
    <xf numFmtId="0" fontId="3" fillId="2" borderId="6" xfId="0" applyFont="1" applyFill="1" applyBorder="1" applyProtection="1"/>
    <xf numFmtId="165" fontId="3" fillId="10" borderId="21" xfId="0" applyNumberFormat="1" applyFont="1" applyFill="1" applyBorder="1" applyAlignment="1" applyProtection="1">
      <alignment horizontal="right"/>
    </xf>
    <xf numFmtId="2" fontId="3" fillId="10" borderId="5" xfId="0" applyNumberFormat="1" applyFont="1" applyFill="1" applyBorder="1" applyProtection="1"/>
    <xf numFmtId="2" fontId="3" fillId="10" borderId="21" xfId="0" applyNumberFormat="1" applyFont="1" applyFill="1" applyBorder="1" applyProtection="1"/>
    <xf numFmtId="165" fontId="4" fillId="10" borderId="21" xfId="0" applyNumberFormat="1" applyFont="1" applyFill="1" applyBorder="1" applyAlignment="1" applyProtection="1">
      <alignment horizontal="right"/>
    </xf>
    <xf numFmtId="2" fontId="4" fillId="10" borderId="5" xfId="0" applyNumberFormat="1" applyFont="1" applyFill="1" applyBorder="1" applyProtection="1"/>
    <xf numFmtId="2" fontId="4" fillId="10" borderId="21" xfId="0" applyNumberFormat="1" applyFont="1" applyFill="1" applyBorder="1" applyProtection="1"/>
    <xf numFmtId="2" fontId="3" fillId="8" borderId="11" xfId="0" applyNumberFormat="1" applyFont="1" applyFill="1" applyBorder="1" applyAlignment="1" applyProtection="1">
      <alignment horizontal="center" vertical="center"/>
    </xf>
    <xf numFmtId="2" fontId="3" fillId="2" borderId="11" xfId="0" applyNumberFormat="1" applyFont="1" applyFill="1" applyBorder="1" applyAlignment="1" applyProtection="1">
      <alignment horizontal="center" vertical="center"/>
    </xf>
    <xf numFmtId="0" fontId="11" fillId="2" borderId="18" xfId="0" applyFont="1" applyFill="1" applyBorder="1" applyProtection="1"/>
    <xf numFmtId="0" fontId="11" fillId="2" borderId="6" xfId="0" applyFont="1" applyFill="1" applyBorder="1" applyProtection="1"/>
    <xf numFmtId="0" fontId="11" fillId="2" borderId="21" xfId="0" applyFont="1" applyFill="1" applyBorder="1" applyProtection="1"/>
    <xf numFmtId="2" fontId="4" fillId="10" borderId="11" xfId="0" applyNumberFormat="1" applyFont="1" applyFill="1" applyBorder="1" applyProtection="1"/>
    <xf numFmtId="0" fontId="11" fillId="2" borderId="10" xfId="0" applyFont="1" applyFill="1" applyBorder="1" applyProtection="1"/>
    <xf numFmtId="0" fontId="11" fillId="2" borderId="0" xfId="0" applyFont="1" applyFill="1" applyProtection="1"/>
    <xf numFmtId="0" fontId="11" fillId="2" borderId="24" xfId="0" applyFont="1" applyFill="1" applyBorder="1" applyProtection="1"/>
    <xf numFmtId="0" fontId="11" fillId="2" borderId="18" xfId="0" applyFont="1" applyFill="1" applyBorder="1" applyAlignment="1" applyProtection="1">
      <alignment horizontal="left" vertical="center"/>
    </xf>
    <xf numFmtId="0" fontId="11" fillId="2" borderId="6" xfId="0" applyFont="1" applyFill="1" applyBorder="1" applyAlignment="1" applyProtection="1">
      <alignment horizontal="left" vertical="center"/>
    </xf>
    <xf numFmtId="0" fontId="11" fillId="2" borderId="6" xfId="0" applyFont="1" applyFill="1" applyBorder="1" applyAlignment="1" applyProtection="1">
      <alignment horizontal="center" vertical="center"/>
    </xf>
    <xf numFmtId="0" fontId="11" fillId="2" borderId="21" xfId="0" applyFont="1" applyFill="1" applyBorder="1" applyAlignment="1" applyProtection="1">
      <alignment horizontal="center" vertical="center"/>
    </xf>
    <xf numFmtId="0" fontId="11" fillId="2" borderId="14" xfId="0" applyFont="1" applyFill="1" applyBorder="1" applyAlignment="1" applyProtection="1">
      <alignment horizontal="left" vertical="center"/>
    </xf>
    <xf numFmtId="0" fontId="11" fillId="2" borderId="0" xfId="0" applyFont="1" applyFill="1" applyBorder="1" applyProtection="1"/>
    <xf numFmtId="0" fontId="11" fillId="2" borderId="22" xfId="0" applyFont="1" applyFill="1" applyBorder="1" applyProtection="1"/>
    <xf numFmtId="2" fontId="4" fillId="2" borderId="11" xfId="0" applyNumberFormat="1" applyFont="1" applyFill="1" applyBorder="1" applyProtection="1"/>
    <xf numFmtId="2" fontId="3" fillId="2" borderId="8" xfId="0" applyNumberFormat="1" applyFont="1" applyFill="1" applyBorder="1" applyAlignment="1" applyProtection="1">
      <alignment horizontal="center" vertical="center"/>
    </xf>
    <xf numFmtId="0" fontId="0" fillId="8" borderId="0" xfId="0" applyFill="1" applyProtection="1"/>
    <xf numFmtId="0" fontId="0" fillId="10" borderId="0" xfId="0" applyFill="1" applyProtection="1"/>
    <xf numFmtId="0" fontId="3" fillId="0" borderId="5" xfId="0" applyFont="1" applyFill="1" applyBorder="1" applyProtection="1"/>
    <xf numFmtId="0" fontId="3" fillId="0" borderId="18" xfId="0" applyFont="1" applyFill="1" applyBorder="1" applyAlignment="1" applyProtection="1">
      <alignment horizontal="left"/>
    </xf>
    <xf numFmtId="0" fontId="3" fillId="0" borderId="11" xfId="0" applyFont="1" applyFill="1" applyBorder="1" applyAlignment="1" applyProtection="1">
      <alignment horizontal="center"/>
    </xf>
    <xf numFmtId="0" fontId="11" fillId="0" borderId="8" xfId="0" applyFont="1" applyBorder="1" applyProtection="1"/>
    <xf numFmtId="0" fontId="0" fillId="0" borderId="5" xfId="0" applyBorder="1" applyProtection="1"/>
    <xf numFmtId="0" fontId="11" fillId="0" borderId="23" xfId="0" applyFont="1" applyFill="1" applyBorder="1" applyAlignment="1">
      <alignment horizontal="center"/>
    </xf>
    <xf numFmtId="0" fontId="9" fillId="0" borderId="5" xfId="0" applyFont="1" applyFill="1" applyBorder="1" applyAlignment="1" applyProtection="1">
      <alignment horizontal="center"/>
    </xf>
    <xf numFmtId="1" fontId="3" fillId="0" borderId="18" xfId="0" applyNumberFormat="1" applyFont="1" applyFill="1" applyBorder="1" applyAlignment="1" applyProtection="1">
      <alignment horizontal="center"/>
    </xf>
    <xf numFmtId="0" fontId="11" fillId="0" borderId="8" xfId="0" applyFont="1" applyFill="1" applyBorder="1" applyAlignment="1">
      <alignment horizontal="right" vertical="center"/>
    </xf>
    <xf numFmtId="0" fontId="11" fillId="0" borderId="8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left" vertical="center"/>
    </xf>
    <xf numFmtId="0" fontId="11" fillId="0" borderId="8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right" vertical="center"/>
    </xf>
    <xf numFmtId="0" fontId="11" fillId="0" borderId="3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left" vertical="center"/>
    </xf>
    <xf numFmtId="0" fontId="11" fillId="0" borderId="3" xfId="0" applyFont="1" applyFill="1" applyBorder="1" applyAlignment="1">
      <alignment horizontal="left" vertical="center" wrapText="1"/>
    </xf>
    <xf numFmtId="0" fontId="11" fillId="0" borderId="11" xfId="0" applyFont="1" applyFill="1" applyBorder="1" applyAlignment="1">
      <alignment horizontal="right" vertical="center"/>
    </xf>
    <xf numFmtId="0" fontId="11" fillId="0" borderId="11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right" vertical="center"/>
    </xf>
    <xf numFmtId="0" fontId="3" fillId="0" borderId="3" xfId="0" applyFont="1" applyFill="1" applyBorder="1" applyAlignment="1">
      <alignment horizontal="right" vertical="center"/>
    </xf>
    <xf numFmtId="0" fontId="3" fillId="0" borderId="11" xfId="0" applyFont="1" applyFill="1" applyBorder="1" applyAlignment="1">
      <alignment horizontal="right" vertical="center"/>
    </xf>
    <xf numFmtId="2" fontId="11" fillId="4" borderId="8" xfId="0" applyNumberFormat="1" applyFont="1" applyFill="1" applyBorder="1" applyAlignment="1">
      <alignment horizontal="left" vertical="center"/>
    </xf>
    <xf numFmtId="2" fontId="11" fillId="4" borderId="3" xfId="0" applyNumberFormat="1" applyFont="1" applyFill="1" applyBorder="1" applyAlignment="1">
      <alignment horizontal="left" vertical="center"/>
    </xf>
    <xf numFmtId="2" fontId="11" fillId="4" borderId="11" xfId="0" applyNumberFormat="1" applyFont="1" applyFill="1" applyBorder="1" applyAlignment="1">
      <alignment horizontal="left" vertical="center"/>
    </xf>
    <xf numFmtId="0" fontId="11" fillId="0" borderId="8" xfId="0" applyFont="1" applyBorder="1" applyAlignment="1">
      <alignment horizontal="center" vertical="top" wrapText="1"/>
    </xf>
    <xf numFmtId="0" fontId="11" fillId="0" borderId="11" xfId="0" applyFont="1" applyBorder="1" applyAlignment="1">
      <alignment horizontal="center" vertical="top" wrapText="1"/>
    </xf>
    <xf numFmtId="9" fontId="11" fillId="4" borderId="5" xfId="2" applyFont="1" applyFill="1" applyBorder="1"/>
    <xf numFmtId="164" fontId="3" fillId="0" borderId="8" xfId="0" applyNumberFormat="1" applyFont="1" applyFill="1" applyBorder="1" applyAlignment="1" applyProtection="1">
      <alignment horizontal="center"/>
    </xf>
    <xf numFmtId="164" fontId="3" fillId="0" borderId="3" xfId="0" applyNumberFormat="1" applyFont="1" applyFill="1" applyBorder="1" applyAlignment="1" applyProtection="1">
      <alignment horizontal="center"/>
    </xf>
    <xf numFmtId="164" fontId="3" fillId="0" borderId="11" xfId="0" applyNumberFormat="1" applyFont="1" applyFill="1" applyBorder="1" applyAlignment="1" applyProtection="1">
      <alignment horizontal="center"/>
    </xf>
    <xf numFmtId="0" fontId="3" fillId="0" borderId="18" xfId="0" applyFont="1" applyFill="1" applyBorder="1" applyProtection="1"/>
    <xf numFmtId="9" fontId="0" fillId="0" borderId="0" xfId="0" applyNumberFormat="1"/>
    <xf numFmtId="0" fontId="3" fillId="0" borderId="9" xfId="0" applyFont="1" applyFill="1" applyBorder="1" applyAlignment="1"/>
    <xf numFmtId="0" fontId="11" fillId="0" borderId="0" xfId="0" applyFont="1" applyAlignment="1">
      <alignment horizontal="center"/>
    </xf>
    <xf numFmtId="2" fontId="11" fillId="0" borderId="0" xfId="0" applyNumberFormat="1" applyFont="1" applyAlignment="1">
      <alignment horizontal="center"/>
    </xf>
    <xf numFmtId="2" fontId="11" fillId="0" borderId="13" xfId="0" applyNumberFormat="1" applyFont="1" applyBorder="1" applyAlignment="1">
      <alignment horizontal="center"/>
    </xf>
    <xf numFmtId="2" fontId="11" fillId="0" borderId="0" xfId="0" applyNumberFormat="1" applyFont="1" applyFill="1" applyAlignment="1">
      <alignment horizontal="center"/>
    </xf>
    <xf numFmtId="0" fontId="4" fillId="0" borderId="18" xfId="0" applyNumberFormat="1" applyFont="1" applyFill="1" applyBorder="1" applyAlignment="1">
      <alignment horizontal="right" vertical="center"/>
    </xf>
    <xf numFmtId="2" fontId="3" fillId="0" borderId="3" xfId="0" applyNumberFormat="1" applyFont="1" applyFill="1" applyBorder="1" applyAlignment="1">
      <alignment horizontal="right" vertical="center"/>
    </xf>
    <xf numFmtId="2" fontId="4" fillId="0" borderId="8" xfId="0" applyNumberFormat="1" applyFont="1" applyFill="1" applyBorder="1" applyAlignment="1">
      <alignment horizontal="right" vertical="center"/>
    </xf>
    <xf numFmtId="2" fontId="4" fillId="0" borderId="11" xfId="0" applyNumberFormat="1" applyFont="1" applyFill="1" applyBorder="1" applyAlignment="1">
      <alignment horizontal="right" vertical="center"/>
    </xf>
    <xf numFmtId="2" fontId="3" fillId="0" borderId="8" xfId="0" applyNumberFormat="1" applyFont="1" applyFill="1" applyBorder="1"/>
    <xf numFmtId="2" fontId="3" fillId="0" borderId="11" xfId="0" applyNumberFormat="1" applyFont="1" applyFill="1" applyBorder="1"/>
    <xf numFmtId="9" fontId="10" fillId="0" borderId="0" xfId="2" applyFont="1" applyFill="1" applyBorder="1" applyAlignment="1">
      <alignment vertical="center"/>
    </xf>
    <xf numFmtId="9" fontId="11" fillId="0" borderId="5" xfId="2" applyFont="1" applyBorder="1"/>
    <xf numFmtId="9" fontId="3" fillId="11" borderId="5" xfId="2" applyFont="1" applyFill="1" applyBorder="1" applyAlignment="1" applyProtection="1">
      <alignment vertical="center"/>
      <protection locked="0"/>
    </xf>
    <xf numFmtId="9" fontId="3" fillId="11" borderId="21" xfId="2" applyFont="1" applyFill="1" applyBorder="1" applyProtection="1">
      <protection locked="0"/>
    </xf>
    <xf numFmtId="2" fontId="3" fillId="11" borderId="5" xfId="2" applyNumberFormat="1" applyFont="1" applyFill="1" applyBorder="1" applyAlignment="1" applyProtection="1">
      <alignment vertical="center"/>
      <protection locked="0"/>
    </xf>
    <xf numFmtId="0" fontId="3" fillId="2" borderId="21" xfId="0" applyFont="1" applyFill="1" applyBorder="1" applyAlignment="1" applyProtection="1"/>
    <xf numFmtId="0" fontId="4" fillId="0" borderId="18" xfId="0" applyFont="1" applyFill="1" applyBorder="1" applyAlignment="1">
      <alignment horizontal="right" vertical="center"/>
    </xf>
    <xf numFmtId="0" fontId="18" fillId="0" borderId="0" xfId="0" applyFont="1" applyFill="1" applyBorder="1"/>
    <xf numFmtId="0" fontId="25" fillId="0" borderId="11" xfId="0" applyFont="1" applyBorder="1"/>
    <xf numFmtId="0" fontId="26" fillId="0" borderId="0" xfId="0" applyFont="1" applyProtection="1"/>
    <xf numFmtId="0" fontId="3" fillId="0" borderId="5" xfId="0" applyFont="1" applyFill="1" applyBorder="1" applyAlignment="1" applyProtection="1">
      <alignment horizontal="left"/>
    </xf>
    <xf numFmtId="2" fontId="3" fillId="6" borderId="26" xfId="0" applyNumberFormat="1" applyFont="1" applyFill="1" applyBorder="1" applyProtection="1"/>
    <xf numFmtId="0" fontId="0" fillId="0" borderId="8" xfId="0" applyBorder="1"/>
    <xf numFmtId="0" fontId="0" fillId="0" borderId="32" xfId="0" applyBorder="1"/>
    <xf numFmtId="0" fontId="0" fillId="0" borderId="4" xfId="0" applyBorder="1"/>
    <xf numFmtId="2" fontId="3" fillId="0" borderId="20" xfId="0" applyNumberFormat="1" applyFont="1" applyFill="1" applyBorder="1" applyProtection="1"/>
    <xf numFmtId="1" fontId="11" fillId="4" borderId="5" xfId="0" applyNumberFormat="1" applyFont="1" applyFill="1" applyBorder="1"/>
    <xf numFmtId="0" fontId="14" fillId="6" borderId="5" xfId="0" applyFont="1" applyFill="1" applyBorder="1"/>
    <xf numFmtId="9" fontId="18" fillId="8" borderId="5" xfId="0" applyNumberFormat="1" applyFont="1" applyFill="1" applyBorder="1" applyAlignment="1">
      <alignment horizontal="center" vertical="center"/>
    </xf>
    <xf numFmtId="0" fontId="18" fillId="8" borderId="5" xfId="0" applyFont="1" applyFill="1" applyBorder="1" applyAlignment="1">
      <alignment horizontal="center" vertical="center"/>
    </xf>
    <xf numFmtId="0" fontId="18" fillId="7" borderId="5" xfId="0" applyFont="1" applyFill="1" applyBorder="1" applyAlignment="1">
      <alignment horizontal="center" vertical="center"/>
    </xf>
    <xf numFmtId="0" fontId="18" fillId="7" borderId="18" xfId="0" applyFont="1" applyFill="1" applyBorder="1" applyAlignment="1">
      <alignment horizontal="center" vertical="center"/>
    </xf>
    <xf numFmtId="0" fontId="21" fillId="7" borderId="5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left" vertical="center"/>
    </xf>
    <xf numFmtId="0" fontId="6" fillId="0" borderId="23" xfId="0" applyFont="1" applyFill="1" applyBorder="1" applyAlignment="1">
      <alignment horizontal="center" vertical="center"/>
    </xf>
    <xf numFmtId="1" fontId="6" fillId="0" borderId="11" xfId="0" applyNumberFormat="1" applyFont="1" applyFill="1" applyBorder="1" applyAlignment="1">
      <alignment horizontal="right" vertical="center"/>
    </xf>
    <xf numFmtId="0" fontId="6" fillId="0" borderId="10" xfId="0" applyFont="1" applyFill="1" applyBorder="1" applyAlignment="1">
      <alignment horizontal="left" vertical="center"/>
    </xf>
    <xf numFmtId="0" fontId="6" fillId="0" borderId="24" xfId="0" applyFont="1" applyFill="1" applyBorder="1" applyAlignment="1">
      <alignment horizontal="center" vertical="center"/>
    </xf>
    <xf numFmtId="0" fontId="18" fillId="0" borderId="18" xfId="0" applyFont="1" applyFill="1" applyBorder="1"/>
    <xf numFmtId="0" fontId="25" fillId="0" borderId="21" xfId="0" applyFont="1" applyBorder="1"/>
    <xf numFmtId="0" fontId="25" fillId="0" borderId="5" xfId="0" applyFont="1" applyBorder="1"/>
    <xf numFmtId="1" fontId="18" fillId="0" borderId="3" xfId="0" applyNumberFormat="1" applyFont="1" applyBorder="1" applyAlignment="1">
      <alignment horizontal="center"/>
    </xf>
    <xf numFmtId="1" fontId="18" fillId="0" borderId="11" xfId="0" applyNumberFormat="1" applyFont="1" applyBorder="1" applyAlignment="1">
      <alignment horizontal="center"/>
    </xf>
    <xf numFmtId="1" fontId="0" fillId="0" borderId="3" xfId="0" applyNumberFormat="1" applyBorder="1" applyAlignment="1">
      <alignment horizontal="center"/>
    </xf>
    <xf numFmtId="1" fontId="18" fillId="0" borderId="3" xfId="0" applyNumberFormat="1" applyFont="1" applyFill="1" applyBorder="1" applyAlignment="1">
      <alignment horizontal="center"/>
    </xf>
    <xf numFmtId="1" fontId="25" fillId="0" borderId="11" xfId="0" applyNumberFormat="1" applyFont="1" applyBorder="1" applyAlignment="1">
      <alignment horizontal="center"/>
    </xf>
    <xf numFmtId="0" fontId="3" fillId="0" borderId="6" xfId="0" applyFont="1" applyFill="1" applyBorder="1" applyAlignment="1" applyProtection="1">
      <alignment horizontal="center"/>
    </xf>
    <xf numFmtId="168" fontId="3" fillId="0" borderId="3" xfId="0" applyNumberFormat="1" applyFont="1" applyFill="1" applyBorder="1" applyProtection="1"/>
    <xf numFmtId="164" fontId="14" fillId="0" borderId="5" xfId="0" applyNumberFormat="1" applyFont="1" applyBorder="1" applyProtection="1"/>
    <xf numFmtId="164" fontId="4" fillId="0" borderId="18" xfId="0" applyNumberFormat="1" applyFont="1" applyFill="1" applyBorder="1" applyProtection="1"/>
    <xf numFmtId="0" fontId="23" fillId="3" borderId="0" xfId="0" applyFont="1" applyFill="1" applyBorder="1" applyProtection="1"/>
    <xf numFmtId="164" fontId="23" fillId="3" borderId="10" xfId="0" applyNumberFormat="1" applyFont="1" applyFill="1" applyBorder="1" applyProtection="1"/>
    <xf numFmtId="0" fontId="23" fillId="3" borderId="14" xfId="0" applyFont="1" applyFill="1" applyBorder="1" applyProtection="1"/>
    <xf numFmtId="164" fontId="23" fillId="3" borderId="0" xfId="0" applyNumberFormat="1" applyFont="1" applyFill="1" applyBorder="1" applyProtection="1"/>
    <xf numFmtId="0" fontId="23" fillId="0" borderId="0" xfId="0" applyFont="1" applyFill="1" applyBorder="1" applyProtection="1"/>
    <xf numFmtId="0" fontId="30" fillId="0" borderId="0" xfId="0" applyFont="1" applyFill="1" applyProtection="1"/>
    <xf numFmtId="164" fontId="3" fillId="11" borderId="5" xfId="0" applyNumberFormat="1" applyFont="1" applyFill="1" applyBorder="1" applyAlignment="1" applyProtection="1">
      <alignment horizontal="center"/>
      <protection locked="0"/>
    </xf>
    <xf numFmtId="0" fontId="3" fillId="0" borderId="13" xfId="0" applyFont="1" applyFill="1" applyBorder="1" applyAlignment="1" applyProtection="1">
      <alignment horizontal="right" vertical="center"/>
    </xf>
    <xf numFmtId="167" fontId="3" fillId="0" borderId="13" xfId="0" applyNumberFormat="1" applyFont="1" applyFill="1" applyBorder="1" applyAlignment="1" applyProtection="1">
      <alignment horizontal="right" vertical="center"/>
      <protection locked="0"/>
    </xf>
    <xf numFmtId="164" fontId="3" fillId="11" borderId="8" xfId="0" applyNumberFormat="1" applyFont="1" applyFill="1" applyBorder="1" applyProtection="1">
      <protection locked="0"/>
    </xf>
    <xf numFmtId="164" fontId="3" fillId="11" borderId="3" xfId="0" applyNumberFormat="1" applyFont="1" applyFill="1" applyBorder="1" applyAlignment="1" applyProtection="1">
      <alignment horizontal="right"/>
      <protection locked="0"/>
    </xf>
    <xf numFmtId="164" fontId="3" fillId="11" borderId="11" xfId="0" applyNumberFormat="1" applyFont="1" applyFill="1" applyBorder="1" applyProtection="1">
      <protection locked="0"/>
    </xf>
    <xf numFmtId="164" fontId="3" fillId="11" borderId="3" xfId="0" applyNumberFormat="1" applyFont="1" applyFill="1" applyBorder="1" applyAlignment="1" applyProtection="1">
      <protection locked="0"/>
    </xf>
    <xf numFmtId="164" fontId="4" fillId="0" borderId="6" xfId="0" applyNumberFormat="1" applyFont="1" applyFill="1" applyBorder="1"/>
    <xf numFmtId="1" fontId="4" fillId="0" borderId="6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Protection="1"/>
    <xf numFmtId="164" fontId="4" fillId="0" borderId="21" xfId="0" applyNumberFormat="1" applyFont="1" applyFill="1" applyBorder="1" applyProtection="1"/>
    <xf numFmtId="0" fontId="23" fillId="0" borderId="14" xfId="0" applyFont="1" applyFill="1" applyBorder="1" applyProtection="1"/>
    <xf numFmtId="2" fontId="3" fillId="0" borderId="23" xfId="0" applyNumberFormat="1" applyFont="1" applyFill="1" applyBorder="1" applyProtection="1"/>
    <xf numFmtId="0" fontId="11" fillId="11" borderId="3" xfId="0" applyFont="1" applyFill="1" applyBorder="1" applyAlignment="1" applyProtection="1">
      <alignment horizontal="right"/>
      <protection locked="0"/>
    </xf>
    <xf numFmtId="0" fontId="3" fillId="0" borderId="9" xfId="0" applyFont="1" applyFill="1" applyBorder="1" applyAlignment="1" applyProtection="1">
      <alignment horizontal="center"/>
    </xf>
    <xf numFmtId="0" fontId="3" fillId="0" borderId="6" xfId="0" applyFont="1" applyFill="1" applyBorder="1" applyAlignment="1" applyProtection="1">
      <alignment horizontal="center"/>
    </xf>
    <xf numFmtId="0" fontId="3" fillId="11" borderId="3" xfId="0" applyFont="1" applyFill="1" applyBorder="1" applyAlignment="1" applyProtection="1">
      <alignment horizontal="right"/>
      <protection locked="0"/>
    </xf>
    <xf numFmtId="164" fontId="4" fillId="0" borderId="24" xfId="0" applyNumberFormat="1" applyFont="1" applyFill="1" applyBorder="1" applyProtection="1"/>
    <xf numFmtId="0" fontId="23" fillId="0" borderId="0" xfId="0" applyFont="1" applyFill="1" applyProtection="1"/>
    <xf numFmtId="0" fontId="31" fillId="3" borderId="0" xfId="0" applyFont="1" applyFill="1" applyProtection="1"/>
    <xf numFmtId="164" fontId="4" fillId="0" borderId="0" xfId="0" applyNumberFormat="1" applyFont="1" applyFill="1" applyBorder="1" applyProtection="1"/>
    <xf numFmtId="1" fontId="4" fillId="0" borderId="0" xfId="0" applyNumberFormat="1" applyFont="1" applyFill="1" applyBorder="1" applyAlignment="1" applyProtection="1">
      <alignment horizontal="center"/>
    </xf>
    <xf numFmtId="164" fontId="4" fillId="0" borderId="6" xfId="0" applyNumberFormat="1" applyFont="1" applyFill="1" applyBorder="1" applyProtection="1"/>
    <xf numFmtId="1" fontId="4" fillId="0" borderId="6" xfId="0" applyNumberFormat="1" applyFont="1" applyFill="1" applyBorder="1" applyAlignment="1" applyProtection="1">
      <alignment horizontal="center"/>
    </xf>
    <xf numFmtId="0" fontId="30" fillId="0" borderId="0" xfId="0" applyFont="1" applyFill="1" applyBorder="1" applyProtection="1"/>
    <xf numFmtId="0" fontId="4" fillId="3" borderId="21" xfId="0" applyFont="1" applyFill="1" applyBorder="1" applyProtection="1"/>
    <xf numFmtId="164" fontId="4" fillId="10" borderId="21" xfId="0" applyNumberFormat="1" applyFont="1" applyFill="1" applyBorder="1" applyProtection="1"/>
    <xf numFmtId="0" fontId="4" fillId="10" borderId="21" xfId="0" applyFont="1" applyFill="1" applyBorder="1" applyProtection="1"/>
    <xf numFmtId="0" fontId="4" fillId="0" borderId="6" xfId="0" applyFont="1" applyFill="1" applyBorder="1" applyAlignment="1" applyProtection="1">
      <alignment horizontal="left" vertical="top" wrapText="1"/>
    </xf>
    <xf numFmtId="0" fontId="4" fillId="0" borderId="21" xfId="0" applyFont="1" applyFill="1" applyBorder="1" applyAlignment="1" applyProtection="1"/>
    <xf numFmtId="2" fontId="4" fillId="0" borderId="5" xfId="0" applyNumberFormat="1" applyFont="1" applyFill="1" applyBorder="1" applyProtection="1"/>
    <xf numFmtId="0" fontId="4" fillId="0" borderId="13" xfId="0" applyFont="1" applyFill="1" applyBorder="1" applyAlignment="1">
      <alignment horizontal="center" wrapText="1"/>
    </xf>
    <xf numFmtId="0" fontId="14" fillId="0" borderId="14" xfId="0" applyFont="1" applyBorder="1"/>
    <xf numFmtId="0" fontId="4" fillId="0" borderId="9" xfId="0" applyFont="1" applyFill="1" applyBorder="1" applyProtection="1"/>
    <xf numFmtId="164" fontId="4" fillId="12" borderId="21" xfId="0" applyNumberFormat="1" applyFont="1" applyFill="1" applyBorder="1" applyProtection="1"/>
    <xf numFmtId="2" fontId="3" fillId="0" borderId="21" xfId="0" applyNumberFormat="1" applyFont="1" applyFill="1" applyBorder="1" applyProtection="1"/>
    <xf numFmtId="164" fontId="4" fillId="10" borderId="6" xfId="0" applyNumberFormat="1" applyFont="1" applyFill="1" applyBorder="1" applyProtection="1"/>
    <xf numFmtId="2" fontId="3" fillId="0" borderId="3" xfId="0" applyNumberFormat="1" applyFont="1" applyFill="1" applyBorder="1" applyAlignment="1" applyProtection="1">
      <alignment horizontal="center"/>
    </xf>
    <xf numFmtId="2" fontId="3" fillId="0" borderId="10" xfId="0" applyNumberFormat="1" applyFont="1" applyFill="1" applyBorder="1" applyAlignment="1" applyProtection="1">
      <alignment horizontal="center"/>
    </xf>
    <xf numFmtId="2" fontId="3" fillId="0" borderId="16" xfId="0" applyNumberFormat="1" applyFont="1" applyFill="1" applyBorder="1" applyAlignment="1" applyProtection="1">
      <alignment horizontal="center"/>
    </xf>
    <xf numFmtId="2" fontId="3" fillId="0" borderId="11" xfId="0" applyNumberFormat="1" applyFont="1" applyFill="1" applyBorder="1" applyAlignment="1" applyProtection="1">
      <alignment horizontal="center"/>
    </xf>
    <xf numFmtId="0" fontId="31" fillId="0" borderId="0" xfId="0" applyFont="1" applyFill="1" applyBorder="1" applyProtection="1"/>
    <xf numFmtId="164" fontId="13" fillId="0" borderId="0" xfId="0" applyNumberFormat="1" applyFont="1" applyProtection="1"/>
    <xf numFmtId="0" fontId="31" fillId="3" borderId="0" xfId="0" applyFont="1" applyFill="1" applyBorder="1" applyProtection="1"/>
    <xf numFmtId="0" fontId="31" fillId="3" borderId="10" xfId="0" applyFont="1" applyFill="1" applyBorder="1" applyProtection="1"/>
    <xf numFmtId="1" fontId="31" fillId="0" borderId="0" xfId="0" applyNumberFormat="1" applyFont="1" applyFill="1" applyBorder="1"/>
    <xf numFmtId="0" fontId="31" fillId="0" borderId="0" xfId="0" applyFont="1" applyFill="1" applyBorder="1"/>
    <xf numFmtId="0" fontId="31" fillId="0" borderId="0" xfId="0" applyFont="1" applyFill="1"/>
    <xf numFmtId="0" fontId="31" fillId="0" borderId="0" xfId="0" applyFont="1" applyFill="1" applyProtection="1"/>
    <xf numFmtId="164" fontId="31" fillId="0" borderId="0" xfId="0" applyNumberFormat="1" applyFont="1" applyFill="1" applyBorder="1" applyProtection="1"/>
    <xf numFmtId="164" fontId="31" fillId="0" borderId="10" xfId="0" applyNumberFormat="1" applyFont="1" applyFill="1" applyBorder="1" applyProtection="1"/>
    <xf numFmtId="164" fontId="11" fillId="0" borderId="3" xfId="0" applyNumberFormat="1" applyFont="1" applyBorder="1" applyAlignment="1" applyProtection="1">
      <alignment horizontal="left" vertical="center"/>
    </xf>
    <xf numFmtId="2" fontId="3" fillId="11" borderId="21" xfId="0" applyNumberFormat="1" applyFont="1" applyFill="1" applyBorder="1" applyAlignment="1" applyProtection="1">
      <alignment vertical="center"/>
      <protection locked="0"/>
    </xf>
    <xf numFmtId="0" fontId="3" fillId="0" borderId="16" xfId="0" applyFont="1" applyBorder="1" applyProtection="1"/>
    <xf numFmtId="164" fontId="11" fillId="0" borderId="3" xfId="0" applyNumberFormat="1" applyFont="1" applyBorder="1" applyAlignment="1">
      <alignment horizontal="left"/>
    </xf>
    <xf numFmtId="0" fontId="31" fillId="0" borderId="0" xfId="0" applyFont="1" applyBorder="1" applyProtection="1"/>
    <xf numFmtId="0" fontId="11" fillId="0" borderId="0" xfId="0" applyFont="1" applyFill="1" applyBorder="1" applyAlignment="1">
      <alignment horizontal="left"/>
    </xf>
    <xf numFmtId="164" fontId="32" fillId="0" borderId="0" xfId="0" applyNumberFormat="1" applyFont="1"/>
    <xf numFmtId="0" fontId="29" fillId="0" borderId="0" xfId="0" applyFont="1" applyFill="1" applyBorder="1" applyAlignment="1" applyProtection="1">
      <alignment horizontal="center"/>
      <protection locked="0"/>
    </xf>
    <xf numFmtId="0" fontId="30" fillId="0" borderId="0" xfId="0" applyFont="1" applyFill="1" applyBorder="1" applyAlignment="1" applyProtection="1">
      <alignment horizontal="center"/>
      <protection locked="0"/>
    </xf>
    <xf numFmtId="1" fontId="30" fillId="0" borderId="0" xfId="0" applyNumberFormat="1" applyFont="1" applyFill="1" applyBorder="1" applyAlignment="1" applyProtection="1">
      <alignment horizontal="center"/>
      <protection locked="0"/>
    </xf>
    <xf numFmtId="0" fontId="9" fillId="0" borderId="5" xfId="0" applyFont="1" applyFill="1" applyBorder="1" applyAlignment="1" applyProtection="1">
      <alignment horizontal="center" vertical="center"/>
    </xf>
    <xf numFmtId="0" fontId="3" fillId="0" borderId="11" xfId="0" applyFont="1" applyFill="1" applyBorder="1" applyAlignment="1">
      <alignment horizontal="right"/>
    </xf>
    <xf numFmtId="1" fontId="3" fillId="11" borderId="8" xfId="0" applyNumberFormat="1" applyFont="1" applyFill="1" applyBorder="1" applyAlignment="1" applyProtection="1">
      <alignment vertical="center"/>
      <protection locked="0"/>
    </xf>
    <xf numFmtId="1" fontId="3" fillId="11" borderId="3" xfId="0" applyNumberFormat="1" applyFont="1" applyFill="1" applyBorder="1" applyAlignment="1" applyProtection="1">
      <alignment vertical="center"/>
      <protection locked="0"/>
    </xf>
    <xf numFmtId="1" fontId="3" fillId="11" borderId="11" xfId="0" applyNumberFormat="1" applyFont="1" applyFill="1" applyBorder="1" applyAlignment="1" applyProtection="1">
      <alignment vertical="center"/>
      <protection locked="0"/>
    </xf>
    <xf numFmtId="0" fontId="0" fillId="0" borderId="24" xfId="0" applyFill="1" applyBorder="1" applyProtection="1"/>
    <xf numFmtId="2" fontId="11" fillId="0" borderId="23" xfId="0" applyNumberFormat="1" applyFont="1" applyFill="1" applyBorder="1" applyProtection="1"/>
    <xf numFmtId="2" fontId="11" fillId="0" borderId="13" xfId="0" applyNumberFormat="1" applyFont="1" applyBorder="1" applyProtection="1"/>
    <xf numFmtId="0" fontId="11" fillId="0" borderId="8" xfId="0" applyFont="1" applyBorder="1" applyAlignment="1">
      <alignment horizontal="right"/>
    </xf>
    <xf numFmtId="0" fontId="11" fillId="0" borderId="3" xfId="0" applyFont="1" applyBorder="1" applyAlignment="1">
      <alignment horizontal="right"/>
    </xf>
    <xf numFmtId="2" fontId="3" fillId="0" borderId="0" xfId="0" applyNumberFormat="1" applyFont="1" applyFill="1" applyBorder="1" applyProtection="1">
      <protection locked="0"/>
    </xf>
    <xf numFmtId="165" fontId="3" fillId="0" borderId="16" xfId="0" applyNumberFormat="1" applyFont="1" applyFill="1" applyBorder="1" applyAlignment="1" applyProtection="1">
      <alignment horizontal="left" vertical="top" wrapText="1"/>
    </xf>
    <xf numFmtId="167" fontId="3" fillId="11" borderId="11" xfId="0" applyNumberFormat="1" applyFont="1" applyFill="1" applyBorder="1" applyAlignment="1" applyProtection="1">
      <alignment vertical="center"/>
      <protection locked="0"/>
    </xf>
    <xf numFmtId="1" fontId="11" fillId="11" borderId="8" xfId="0" applyNumberFormat="1" applyFont="1" applyFill="1" applyBorder="1"/>
    <xf numFmtId="1" fontId="11" fillId="11" borderId="3" xfId="0" applyNumberFormat="1" applyFont="1" applyFill="1" applyBorder="1"/>
    <xf numFmtId="1" fontId="11" fillId="11" borderId="11" xfId="0" applyNumberFormat="1" applyFont="1" applyFill="1" applyBorder="1"/>
    <xf numFmtId="0" fontId="11" fillId="0" borderId="1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24" xfId="0" applyFont="1" applyFill="1" applyBorder="1" applyAlignment="1">
      <alignment horizontal="center" vertical="center"/>
    </xf>
    <xf numFmtId="0" fontId="3" fillId="11" borderId="5" xfId="0" applyFont="1" applyFill="1" applyBorder="1" applyAlignment="1" applyProtection="1">
      <alignment horizontal="center"/>
      <protection locked="0"/>
    </xf>
    <xf numFmtId="164" fontId="3" fillId="11" borderId="18" xfId="0" applyNumberFormat="1" applyFont="1" applyFill="1" applyBorder="1" applyAlignment="1" applyProtection="1">
      <alignment horizontal="center"/>
      <protection locked="0"/>
    </xf>
    <xf numFmtId="0" fontId="11" fillId="0" borderId="10" xfId="0" applyFont="1" applyBorder="1" applyAlignment="1" applyProtection="1">
      <alignment horizontal="center"/>
    </xf>
    <xf numFmtId="0" fontId="11" fillId="0" borderId="16" xfId="0" applyFont="1" applyBorder="1" applyAlignment="1" applyProtection="1">
      <alignment horizontal="center"/>
    </xf>
    <xf numFmtId="0" fontId="11" fillId="0" borderId="14" xfId="0" applyFont="1" applyBorder="1" applyAlignment="1" applyProtection="1">
      <alignment horizontal="center"/>
    </xf>
    <xf numFmtId="0" fontId="3" fillId="0" borderId="0" xfId="0" applyFont="1" applyFill="1" applyBorder="1" applyAlignment="1">
      <alignment horizontal="left"/>
    </xf>
    <xf numFmtId="0" fontId="3" fillId="0" borderId="13" xfId="0" applyFont="1" applyFill="1" applyBorder="1" applyAlignment="1">
      <alignment horizontal="left"/>
    </xf>
    <xf numFmtId="0" fontId="0" fillId="0" borderId="13" xfId="0" applyBorder="1"/>
    <xf numFmtId="0" fontId="4" fillId="0" borderId="14" xfId="0" applyFont="1" applyFill="1" applyBorder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164" fontId="4" fillId="0" borderId="0" xfId="2" applyNumberFormat="1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2" fontId="4" fillId="0" borderId="0" xfId="2" applyNumberFormat="1" applyFont="1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64" fontId="11" fillId="0" borderId="0" xfId="0" applyNumberFormat="1" applyFont="1" applyAlignment="1">
      <alignment horizontal="center"/>
    </xf>
    <xf numFmtId="164" fontId="11" fillId="0" borderId="13" xfId="0" applyNumberFormat="1" applyFont="1" applyBorder="1" applyAlignment="1">
      <alignment horizontal="center"/>
    </xf>
    <xf numFmtId="0" fontId="14" fillId="0" borderId="0" xfId="0" applyFont="1" applyFill="1" applyAlignment="1">
      <alignment horizontal="left"/>
    </xf>
    <xf numFmtId="2" fontId="3" fillId="0" borderId="3" xfId="0" applyNumberFormat="1" applyFont="1" applyFill="1" applyBorder="1"/>
    <xf numFmtId="0" fontId="3" fillId="0" borderId="0" xfId="0" applyFont="1" applyBorder="1" applyProtection="1"/>
    <xf numFmtId="164" fontId="11" fillId="0" borderId="0" xfId="0" applyNumberFormat="1" applyFont="1" applyFill="1" applyBorder="1" applyAlignment="1">
      <alignment horizontal="left"/>
    </xf>
    <xf numFmtId="0" fontId="32" fillId="0" borderId="0" xfId="0" applyFont="1"/>
    <xf numFmtId="2" fontId="11" fillId="8" borderId="0" xfId="0" applyNumberFormat="1" applyFont="1" applyFill="1" applyBorder="1" applyAlignment="1">
      <alignment horizontal="center"/>
    </xf>
    <xf numFmtId="2" fontId="11" fillId="8" borderId="13" xfId="0" applyNumberFormat="1" applyFont="1" applyFill="1" applyBorder="1" applyAlignment="1">
      <alignment horizontal="center"/>
    </xf>
    <xf numFmtId="0" fontId="11" fillId="8" borderId="0" xfId="0" applyFont="1" applyFill="1" applyBorder="1" applyAlignment="1">
      <alignment horizontal="center"/>
    </xf>
    <xf numFmtId="0" fontId="11" fillId="8" borderId="13" xfId="0" applyFont="1" applyFill="1" applyBorder="1" applyAlignment="1">
      <alignment horizontal="center"/>
    </xf>
    <xf numFmtId="2" fontId="11" fillId="8" borderId="0" xfId="0" applyNumberFormat="1" applyFont="1" applyFill="1" applyAlignment="1">
      <alignment horizontal="center"/>
    </xf>
    <xf numFmtId="2" fontId="3" fillId="8" borderId="5" xfId="0" applyNumberFormat="1" applyFont="1" applyFill="1" applyBorder="1" applyAlignment="1" applyProtection="1">
      <alignment horizontal="center"/>
      <protection locked="0"/>
    </xf>
    <xf numFmtId="2" fontId="11" fillId="8" borderId="5" xfId="0" applyNumberFormat="1" applyFont="1" applyFill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5" xfId="0" applyFont="1" applyBorder="1" applyAlignment="1">
      <alignment horizontal="left"/>
    </xf>
    <xf numFmtId="10" fontId="0" fillId="11" borderId="5" xfId="0" applyNumberFormat="1" applyFill="1" applyBorder="1"/>
    <xf numFmtId="2" fontId="11" fillId="8" borderId="9" xfId="0" applyNumberFormat="1" applyFont="1" applyFill="1" applyBorder="1" applyAlignment="1">
      <alignment horizontal="center"/>
    </xf>
    <xf numFmtId="2" fontId="11" fillId="0" borderId="24" xfId="0" applyNumberFormat="1" applyFont="1" applyFill="1" applyBorder="1" applyAlignment="1">
      <alignment horizontal="center"/>
    </xf>
    <xf numFmtId="0" fontId="11" fillId="8" borderId="10" xfId="0" applyFont="1" applyFill="1" applyBorder="1"/>
    <xf numFmtId="0" fontId="11" fillId="8" borderId="9" xfId="0" applyFont="1" applyFill="1" applyBorder="1"/>
    <xf numFmtId="0" fontId="11" fillId="8" borderId="24" xfId="0" applyFont="1" applyFill="1" applyBorder="1"/>
    <xf numFmtId="0" fontId="3" fillId="8" borderId="16" xfId="0" applyFont="1" applyFill="1" applyBorder="1" applyAlignment="1" applyProtection="1">
      <alignment horizontal="center" wrapText="1"/>
    </xf>
    <xf numFmtId="0" fontId="3" fillId="8" borderId="0" xfId="0" applyFont="1" applyFill="1" applyBorder="1" applyAlignment="1" applyProtection="1">
      <alignment horizontal="center" wrapText="1"/>
    </xf>
    <xf numFmtId="0" fontId="11" fillId="8" borderId="0" xfId="0" applyFont="1" applyFill="1" applyBorder="1" applyAlignment="1">
      <alignment horizontal="center" wrapText="1"/>
    </xf>
    <xf numFmtId="0" fontId="11" fillId="8" borderId="22" xfId="0" applyFont="1" applyFill="1" applyBorder="1" applyAlignment="1">
      <alignment horizontal="center" wrapText="1"/>
    </xf>
    <xf numFmtId="0" fontId="3" fillId="8" borderId="14" xfId="0" applyFont="1" applyFill="1" applyBorder="1" applyAlignment="1" applyProtection="1">
      <alignment horizontal="center"/>
    </xf>
    <xf numFmtId="0" fontId="3" fillId="8" borderId="13" xfId="0" applyFont="1" applyFill="1" applyBorder="1" applyAlignment="1" applyProtection="1">
      <alignment horizontal="center"/>
    </xf>
    <xf numFmtId="0" fontId="3" fillId="8" borderId="13" xfId="0" applyFont="1" applyFill="1" applyBorder="1" applyAlignment="1" applyProtection="1"/>
    <xf numFmtId="0" fontId="11" fillId="8" borderId="23" xfId="0" applyFont="1" applyFill="1" applyBorder="1" applyAlignment="1">
      <alignment horizontal="center"/>
    </xf>
    <xf numFmtId="0" fontId="11" fillId="8" borderId="10" xfId="0" applyFont="1" applyFill="1" applyBorder="1" applyAlignment="1">
      <alignment horizontal="center"/>
    </xf>
    <xf numFmtId="2" fontId="11" fillId="8" borderId="24" xfId="0" applyNumberFormat="1" applyFont="1" applyFill="1" applyBorder="1" applyAlignment="1">
      <alignment horizontal="center"/>
    </xf>
    <xf numFmtId="0" fontId="11" fillId="8" borderId="16" xfId="0" applyFont="1" applyFill="1" applyBorder="1" applyAlignment="1">
      <alignment horizontal="center"/>
    </xf>
    <xf numFmtId="2" fontId="11" fillId="8" borderId="22" xfId="0" applyNumberFormat="1" applyFont="1" applyFill="1" applyBorder="1" applyAlignment="1">
      <alignment horizontal="center"/>
    </xf>
    <xf numFmtId="0" fontId="11" fillId="8" borderId="14" xfId="0" applyFont="1" applyFill="1" applyBorder="1" applyAlignment="1">
      <alignment horizontal="center"/>
    </xf>
    <xf numFmtId="2" fontId="11" fillId="8" borderId="23" xfId="0" applyNumberFormat="1" applyFont="1" applyFill="1" applyBorder="1" applyAlignment="1">
      <alignment horizontal="center"/>
    </xf>
    <xf numFmtId="2" fontId="11" fillId="8" borderId="16" xfId="0" applyNumberFormat="1" applyFont="1" applyFill="1" applyBorder="1" applyAlignment="1">
      <alignment horizontal="center"/>
    </xf>
    <xf numFmtId="2" fontId="11" fillId="8" borderId="14" xfId="0" applyNumberFormat="1" applyFont="1" applyFill="1" applyBorder="1" applyAlignment="1">
      <alignment horizontal="center"/>
    </xf>
    <xf numFmtId="0" fontId="3" fillId="8" borderId="0" xfId="0" applyFont="1" applyFill="1" applyBorder="1" applyAlignment="1" applyProtection="1">
      <alignment horizontal="left" wrapText="1"/>
    </xf>
    <xf numFmtId="165" fontId="5" fillId="8" borderId="0" xfId="0" applyNumberFormat="1" applyFont="1" applyFill="1" applyBorder="1" applyAlignment="1" applyProtection="1">
      <alignment horizontal="left" wrapText="1"/>
    </xf>
    <xf numFmtId="0" fontId="3" fillId="8" borderId="16" xfId="0" applyFont="1" applyFill="1" applyBorder="1" applyAlignment="1" applyProtection="1">
      <alignment horizontal="center"/>
    </xf>
    <xf numFmtId="0" fontId="3" fillId="8" borderId="0" xfId="0" applyFont="1" applyFill="1" applyBorder="1" applyAlignment="1" applyProtection="1">
      <alignment horizontal="center"/>
    </xf>
    <xf numFmtId="0" fontId="3" fillId="8" borderId="0" xfId="0" applyFont="1" applyFill="1" applyBorder="1" applyAlignment="1" applyProtection="1"/>
    <xf numFmtId="0" fontId="11" fillId="8" borderId="22" xfId="0" applyFont="1" applyFill="1" applyBorder="1" applyAlignment="1">
      <alignment horizontal="center"/>
    </xf>
    <xf numFmtId="0" fontId="3" fillId="8" borderId="10" xfId="0" applyFont="1" applyFill="1" applyBorder="1" applyAlignment="1" applyProtection="1">
      <alignment horizontal="center" wrapText="1"/>
    </xf>
    <xf numFmtId="0" fontId="3" fillId="8" borderId="9" xfId="0" applyFont="1" applyFill="1" applyBorder="1" applyAlignment="1" applyProtection="1">
      <alignment horizontal="center" wrapText="1"/>
    </xf>
    <xf numFmtId="0" fontId="11" fillId="8" borderId="9" xfId="0" applyFont="1" applyFill="1" applyBorder="1" applyAlignment="1">
      <alignment horizontal="center" wrapText="1"/>
    </xf>
    <xf numFmtId="0" fontId="3" fillId="8" borderId="9" xfId="0" applyFont="1" applyFill="1" applyBorder="1" applyAlignment="1" applyProtection="1">
      <alignment horizontal="left" wrapText="1"/>
    </xf>
    <xf numFmtId="165" fontId="5" fillId="8" borderId="9" xfId="0" applyNumberFormat="1" applyFont="1" applyFill="1" applyBorder="1" applyAlignment="1" applyProtection="1">
      <alignment horizontal="left" wrapText="1"/>
    </xf>
    <xf numFmtId="0" fontId="11" fillId="8" borderId="24" xfId="0" applyFont="1" applyFill="1" applyBorder="1" applyAlignment="1">
      <alignment horizontal="center" wrapText="1"/>
    </xf>
    <xf numFmtId="0" fontId="11" fillId="8" borderId="18" xfId="0" applyFont="1" applyFill="1" applyBorder="1"/>
    <xf numFmtId="0" fontId="11" fillId="8" borderId="6" xfId="0" applyFont="1" applyFill="1" applyBorder="1"/>
    <xf numFmtId="0" fontId="11" fillId="8" borderId="21" xfId="0" applyFont="1" applyFill="1" applyBorder="1"/>
    <xf numFmtId="2" fontId="11" fillId="8" borderId="10" xfId="0" applyNumberFormat="1" applyFont="1" applyFill="1" applyBorder="1" applyAlignment="1">
      <alignment horizontal="center"/>
    </xf>
    <xf numFmtId="2" fontId="3" fillId="8" borderId="1" xfId="0" applyNumberFormat="1" applyFont="1" applyFill="1" applyBorder="1" applyProtection="1"/>
    <xf numFmtId="164" fontId="3" fillId="8" borderId="5" xfId="0" applyNumberFormat="1" applyFont="1" applyFill="1" applyBorder="1" applyAlignment="1" applyProtection="1">
      <alignment horizontal="center"/>
      <protection locked="0"/>
    </xf>
    <xf numFmtId="0" fontId="0" fillId="8" borderId="0" xfId="0" applyFill="1"/>
    <xf numFmtId="0" fontId="3" fillId="8" borderId="18" xfId="0" applyFont="1" applyFill="1" applyBorder="1"/>
    <xf numFmtId="0" fontId="19" fillId="8" borderId="13" xfId="0" applyFont="1" applyFill="1" applyBorder="1" applyAlignment="1">
      <alignment horizontal="center" vertical="center" wrapText="1"/>
    </xf>
    <xf numFmtId="0" fontId="11" fillId="8" borderId="9" xfId="0" applyFont="1" applyFill="1" applyBorder="1" applyAlignment="1">
      <alignment horizontal="center"/>
    </xf>
    <xf numFmtId="1" fontId="3" fillId="8" borderId="5" xfId="0" applyNumberFormat="1" applyFont="1" applyFill="1" applyBorder="1" applyProtection="1"/>
    <xf numFmtId="164" fontId="3" fillId="8" borderId="5" xfId="0" applyNumberFormat="1" applyFont="1" applyFill="1" applyBorder="1" applyProtection="1"/>
    <xf numFmtId="1" fontId="11" fillId="0" borderId="16" xfId="0" applyNumberFormat="1" applyFont="1" applyFill="1" applyBorder="1" applyAlignment="1">
      <alignment horizontal="right"/>
    </xf>
    <xf numFmtId="1" fontId="11" fillId="0" borderId="0" xfId="0" applyNumberFormat="1" applyFont="1" applyFill="1" applyBorder="1" applyAlignment="1">
      <alignment horizontal="right"/>
    </xf>
    <xf numFmtId="1" fontId="11" fillId="0" borderId="22" xfId="0" applyNumberFormat="1" applyFont="1" applyFill="1" applyBorder="1" applyAlignment="1">
      <alignment horizontal="right"/>
    </xf>
    <xf numFmtId="1" fontId="11" fillId="0" borderId="14" xfId="0" applyNumberFormat="1" applyFont="1" applyFill="1" applyBorder="1" applyAlignment="1">
      <alignment horizontal="right"/>
    </xf>
    <xf numFmtId="1" fontId="11" fillId="0" borderId="13" xfId="0" applyNumberFormat="1" applyFont="1" applyFill="1" applyBorder="1" applyAlignment="1">
      <alignment horizontal="right"/>
    </xf>
    <xf numFmtId="1" fontId="11" fillId="0" borderId="23" xfId="0" applyNumberFormat="1" applyFont="1" applyFill="1" applyBorder="1" applyAlignment="1">
      <alignment horizontal="right"/>
    </xf>
    <xf numFmtId="1" fontId="11" fillId="0" borderId="9" xfId="0" applyNumberFormat="1" applyFont="1" applyFill="1" applyBorder="1" applyAlignment="1">
      <alignment horizontal="right"/>
    </xf>
    <xf numFmtId="2" fontId="3" fillId="8" borderId="2" xfId="0" applyNumberFormat="1" applyFont="1" applyFill="1" applyBorder="1" applyProtection="1"/>
    <xf numFmtId="0" fontId="33" fillId="0" borderId="0" xfId="0" applyFont="1" applyProtection="1"/>
    <xf numFmtId="164" fontId="3" fillId="0" borderId="16" xfId="0" applyNumberFormat="1" applyFont="1" applyFill="1" applyBorder="1" applyAlignment="1">
      <alignment horizontal="left"/>
    </xf>
    <xf numFmtId="0" fontId="3" fillId="0" borderId="16" xfId="0" applyFont="1" applyBorder="1" applyAlignment="1" applyProtection="1">
      <alignment horizontal="left" vertical="center"/>
    </xf>
    <xf numFmtId="164" fontId="0" fillId="0" borderId="0" xfId="0" applyNumberFormat="1"/>
    <xf numFmtId="1" fontId="11" fillId="11" borderId="14" xfId="0" applyNumberFormat="1" applyFont="1" applyFill="1" applyBorder="1"/>
    <xf numFmtId="0" fontId="3" fillId="0" borderId="3" xfId="0" applyFont="1" applyFill="1" applyBorder="1" applyAlignment="1">
      <alignment horizontal="right"/>
    </xf>
    <xf numFmtId="164" fontId="11" fillId="0" borderId="16" xfId="0" applyNumberFormat="1" applyFont="1" applyBorder="1" applyAlignment="1" applyProtection="1">
      <alignment horizontal="left" vertical="center"/>
    </xf>
    <xf numFmtId="164" fontId="4" fillId="0" borderId="21" xfId="0" applyNumberFormat="1" applyFont="1" applyFill="1" applyBorder="1"/>
    <xf numFmtId="164" fontId="11" fillId="11" borderId="3" xfId="0" applyNumberFormat="1" applyFont="1" applyFill="1" applyBorder="1" applyAlignment="1" applyProtection="1">
      <alignment horizontal="right"/>
      <protection locked="0"/>
    </xf>
    <xf numFmtId="0" fontId="3" fillId="0" borderId="9" xfId="0" applyFont="1" applyFill="1" applyBorder="1" applyAlignment="1">
      <alignment horizontal="center"/>
    </xf>
    <xf numFmtId="0" fontId="11" fillId="0" borderId="1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24" xfId="0" applyFont="1" applyFill="1" applyBorder="1" applyAlignment="1">
      <alignment horizontal="center" vertical="center"/>
    </xf>
    <xf numFmtId="164" fontId="3" fillId="0" borderId="10" xfId="0" applyNumberFormat="1" applyFont="1" applyFill="1" applyBorder="1" applyAlignment="1" applyProtection="1">
      <alignment vertical="center"/>
    </xf>
    <xf numFmtId="164" fontId="3" fillId="0" borderId="9" xfId="0" applyNumberFormat="1" applyFont="1" applyFill="1" applyBorder="1" applyAlignment="1" applyProtection="1">
      <alignment vertical="center"/>
    </xf>
    <xf numFmtId="2" fontId="11" fillId="0" borderId="16" xfId="0" applyNumberFormat="1" applyFont="1" applyBorder="1" applyAlignment="1" applyProtection="1">
      <alignment horizontal="left" vertical="center"/>
    </xf>
    <xf numFmtId="164" fontId="3" fillId="0" borderId="13" xfId="0" applyNumberFormat="1" applyFont="1" applyFill="1" applyBorder="1" applyProtection="1"/>
    <xf numFmtId="164" fontId="3" fillId="0" borderId="22" xfId="0" applyNumberFormat="1" applyFont="1" applyFill="1" applyBorder="1" applyProtection="1"/>
    <xf numFmtId="164" fontId="3" fillId="0" borderId="23" xfId="0" applyNumberFormat="1" applyFont="1" applyFill="1" applyBorder="1" applyProtection="1"/>
    <xf numFmtId="164" fontId="0" fillId="0" borderId="22" xfId="0" applyNumberFormat="1" applyFill="1" applyBorder="1" applyProtection="1"/>
    <xf numFmtId="164" fontId="0" fillId="0" borderId="0" xfId="0" applyNumberFormat="1" applyFill="1" applyProtection="1"/>
    <xf numFmtId="164" fontId="0" fillId="0" borderId="0" xfId="0" applyNumberFormat="1" applyFill="1" applyBorder="1" applyProtection="1"/>
    <xf numFmtId="0" fontId="23" fillId="0" borderId="16" xfId="0" applyFont="1" applyFill="1" applyBorder="1" applyProtection="1"/>
    <xf numFmtId="0" fontId="31" fillId="0" borderId="14" xfId="0" applyFont="1" applyFill="1" applyBorder="1" applyProtection="1"/>
    <xf numFmtId="1" fontId="0" fillId="0" borderId="0" xfId="0" applyNumberFormat="1"/>
    <xf numFmtId="164" fontId="3" fillId="11" borderId="21" xfId="0" applyNumberFormat="1" applyFont="1" applyFill="1" applyBorder="1" applyProtection="1">
      <protection locked="0"/>
    </xf>
    <xf numFmtId="164" fontId="3" fillId="11" borderId="11" xfId="0" applyNumberFormat="1" applyFont="1" applyFill="1" applyBorder="1" applyAlignment="1" applyProtection="1">
      <alignment horizontal="center"/>
      <protection locked="0"/>
    </xf>
    <xf numFmtId="164" fontId="4" fillId="13" borderId="21" xfId="0" applyNumberFormat="1" applyFont="1" applyFill="1" applyBorder="1" applyProtection="1"/>
    <xf numFmtId="164" fontId="11" fillId="0" borderId="16" xfId="0" applyNumberFormat="1" applyFont="1" applyBorder="1" applyAlignment="1">
      <alignment horizontal="left"/>
    </xf>
    <xf numFmtId="164" fontId="4" fillId="0" borderId="18" xfId="0" applyNumberFormat="1" applyFont="1" applyFill="1" applyBorder="1"/>
    <xf numFmtId="164" fontId="3" fillId="0" borderId="0" xfId="0" applyNumberFormat="1" applyFont="1" applyFill="1" applyBorder="1"/>
    <xf numFmtId="164" fontId="31" fillId="0" borderId="0" xfId="0" applyNumberFormat="1" applyFont="1" applyFill="1" applyBorder="1"/>
    <xf numFmtId="164" fontId="3" fillId="0" borderId="22" xfId="0" applyNumberFormat="1" applyFont="1" applyFill="1" applyBorder="1"/>
    <xf numFmtId="164" fontId="4" fillId="13" borderId="21" xfId="0" applyNumberFormat="1" applyFont="1" applyFill="1" applyBorder="1"/>
    <xf numFmtId="164" fontId="3" fillId="0" borderId="24" xfId="0" applyNumberFormat="1" applyFont="1" applyFill="1" applyBorder="1" applyProtection="1"/>
    <xf numFmtId="0" fontId="11" fillId="0" borderId="1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24" xfId="0" applyFont="1" applyFill="1" applyBorder="1" applyAlignment="1">
      <alignment horizontal="center" vertical="center"/>
    </xf>
    <xf numFmtId="2" fontId="11" fillId="0" borderId="10" xfId="0" applyNumberFormat="1" applyFont="1" applyFill="1" applyBorder="1" applyAlignment="1">
      <alignment horizontal="center"/>
    </xf>
    <xf numFmtId="1" fontId="11" fillId="0" borderId="10" xfId="0" applyNumberFormat="1" applyFont="1" applyFill="1" applyBorder="1" applyAlignment="1">
      <alignment horizontal="right"/>
    </xf>
    <xf numFmtId="1" fontId="11" fillId="0" borderId="24" xfId="0" applyNumberFormat="1" applyFont="1" applyFill="1" applyBorder="1" applyAlignment="1">
      <alignment horizontal="right"/>
    </xf>
    <xf numFmtId="2" fontId="3" fillId="0" borderId="10" xfId="0" applyNumberFormat="1" applyFont="1" applyFill="1" applyBorder="1" applyAlignment="1" applyProtection="1">
      <alignment horizontal="left"/>
    </xf>
    <xf numFmtId="2" fontId="3" fillId="0" borderId="24" xfId="0" applyNumberFormat="1" applyFont="1" applyFill="1" applyBorder="1" applyAlignment="1" applyProtection="1">
      <alignment horizontal="left"/>
    </xf>
    <xf numFmtId="2" fontId="3" fillId="0" borderId="16" xfId="0" applyNumberFormat="1" applyFont="1" applyFill="1" applyBorder="1" applyAlignment="1" applyProtection="1">
      <alignment horizontal="left"/>
    </xf>
    <xf numFmtId="2" fontId="3" fillId="0" borderId="22" xfId="0" applyNumberFormat="1" applyFont="1" applyFill="1" applyBorder="1" applyAlignment="1" applyProtection="1">
      <alignment horizontal="left"/>
    </xf>
    <xf numFmtId="2" fontId="3" fillId="0" borderId="14" xfId="0" applyNumberFormat="1" applyFont="1" applyFill="1" applyBorder="1" applyAlignment="1" applyProtection="1">
      <alignment horizontal="left"/>
    </xf>
    <xf numFmtId="2" fontId="3" fillId="0" borderId="23" xfId="0" applyNumberFormat="1" applyFont="1" applyFill="1" applyBorder="1" applyAlignment="1" applyProtection="1">
      <alignment horizontal="left"/>
    </xf>
    <xf numFmtId="0" fontId="3" fillId="0" borderId="10" xfId="0" applyFont="1" applyFill="1" applyBorder="1" applyAlignment="1" applyProtection="1">
      <alignment horizontal="left" wrapText="1"/>
    </xf>
    <xf numFmtId="0" fontId="3" fillId="0" borderId="24" xfId="0" applyFont="1" applyFill="1" applyBorder="1" applyAlignment="1" applyProtection="1">
      <alignment horizontal="left" wrapText="1"/>
    </xf>
    <xf numFmtId="0" fontId="3" fillId="0" borderId="16" xfId="0" applyFont="1" applyFill="1" applyBorder="1" applyAlignment="1" applyProtection="1">
      <alignment horizontal="left" wrapText="1"/>
    </xf>
    <xf numFmtId="0" fontId="3" fillId="0" borderId="22" xfId="0" applyFont="1" applyFill="1" applyBorder="1" applyAlignment="1" applyProtection="1">
      <alignment horizontal="left" wrapText="1"/>
    </xf>
    <xf numFmtId="0" fontId="3" fillId="0" borderId="14" xfId="0" applyFont="1" applyFill="1" applyBorder="1" applyAlignment="1" applyProtection="1">
      <alignment horizontal="left" wrapText="1"/>
    </xf>
    <xf numFmtId="0" fontId="3" fillId="0" borderId="13" xfId="0" applyFont="1" applyFill="1" applyBorder="1" applyAlignment="1" applyProtection="1">
      <alignment horizontal="left" wrapText="1"/>
    </xf>
    <xf numFmtId="0" fontId="3" fillId="0" borderId="23" xfId="0" applyFont="1" applyFill="1" applyBorder="1" applyAlignment="1" applyProtection="1">
      <alignment horizontal="left" wrapText="1"/>
    </xf>
    <xf numFmtId="2" fontId="3" fillId="0" borderId="13" xfId="0" applyNumberFormat="1" applyFont="1" applyFill="1" applyBorder="1" applyAlignment="1" applyProtection="1">
      <alignment horizontal="left"/>
    </xf>
    <xf numFmtId="2" fontId="3" fillId="0" borderId="8" xfId="0" applyNumberFormat="1" applyFont="1" applyFill="1" applyBorder="1" applyAlignment="1" applyProtection="1">
      <alignment horizontal="left"/>
    </xf>
    <xf numFmtId="0" fontId="3" fillId="0" borderId="8" xfId="0" applyFont="1" applyFill="1" applyBorder="1" applyAlignment="1" applyProtection="1">
      <alignment horizontal="left" wrapText="1"/>
    </xf>
    <xf numFmtId="2" fontId="3" fillId="0" borderId="3" xfId="0" applyNumberFormat="1" applyFont="1" applyFill="1" applyBorder="1" applyAlignment="1" applyProtection="1">
      <alignment horizontal="left"/>
    </xf>
    <xf numFmtId="0" fontId="3" fillId="0" borderId="3" xfId="0" applyFont="1" applyFill="1" applyBorder="1" applyAlignment="1" applyProtection="1">
      <alignment horizontal="left" wrapText="1"/>
    </xf>
    <xf numFmtId="0" fontId="3" fillId="0" borderId="11" xfId="0" applyFont="1" applyFill="1" applyBorder="1" applyAlignment="1" applyProtection="1">
      <alignment horizontal="left" wrapText="1"/>
    </xf>
    <xf numFmtId="2" fontId="3" fillId="0" borderId="11" xfId="0" applyNumberFormat="1" applyFont="1" applyFill="1" applyBorder="1" applyAlignment="1" applyProtection="1">
      <alignment horizontal="left"/>
    </xf>
    <xf numFmtId="0" fontId="3" fillId="0" borderId="9" xfId="0" applyFont="1" applyFill="1" applyBorder="1" applyAlignment="1" applyProtection="1">
      <alignment horizontal="left" wrapText="1"/>
    </xf>
    <xf numFmtId="0" fontId="3" fillId="0" borderId="10" xfId="0" applyFont="1" applyFill="1" applyBorder="1" applyAlignment="1">
      <alignment horizontal="left" wrapText="1"/>
    </xf>
    <xf numFmtId="0" fontId="3" fillId="0" borderId="24" xfId="0" applyFont="1" applyFill="1" applyBorder="1" applyAlignment="1">
      <alignment horizontal="left" wrapText="1"/>
    </xf>
    <xf numFmtId="2" fontId="3" fillId="0" borderId="8" xfId="0" applyNumberFormat="1" applyFont="1" applyFill="1" applyBorder="1" applyAlignment="1">
      <alignment horizontal="left"/>
    </xf>
    <xf numFmtId="2" fontId="3" fillId="0" borderId="32" xfId="0" applyNumberFormat="1" applyFont="1" applyFill="1" applyBorder="1" applyAlignment="1">
      <alignment horizontal="left"/>
    </xf>
    <xf numFmtId="0" fontId="3" fillId="0" borderId="22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2" fontId="3" fillId="0" borderId="3" xfId="0" applyNumberFormat="1" applyFont="1" applyFill="1" applyBorder="1" applyAlignment="1">
      <alignment horizontal="left"/>
    </xf>
    <xf numFmtId="2" fontId="3" fillId="0" borderId="16" xfId="0" applyNumberFormat="1" applyFont="1" applyFill="1" applyBorder="1" applyAlignment="1">
      <alignment horizontal="left"/>
    </xf>
    <xf numFmtId="0" fontId="3" fillId="0" borderId="16" xfId="0" applyFont="1" applyFill="1" applyBorder="1" applyAlignment="1">
      <alignment horizontal="left" wrapText="1"/>
    </xf>
    <xf numFmtId="2" fontId="3" fillId="0" borderId="4" xfId="0" applyNumberFormat="1" applyFont="1" applyFill="1" applyBorder="1" applyAlignment="1">
      <alignment horizontal="left"/>
    </xf>
    <xf numFmtId="0" fontId="3" fillId="0" borderId="8" xfId="0" applyFont="1" applyFill="1" applyBorder="1" applyAlignment="1">
      <alignment horizontal="left" wrapText="1"/>
    </xf>
    <xf numFmtId="2" fontId="3" fillId="0" borderId="10" xfId="0" applyNumberFormat="1" applyFont="1" applyFill="1" applyBorder="1" applyAlignment="1">
      <alignment horizontal="left"/>
    </xf>
    <xf numFmtId="0" fontId="3" fillId="0" borderId="9" xfId="0" applyFont="1" applyFill="1" applyBorder="1" applyAlignment="1">
      <alignment horizontal="left" wrapText="1"/>
    </xf>
    <xf numFmtId="2" fontId="3" fillId="0" borderId="11" xfId="0" applyNumberFormat="1" applyFont="1" applyFill="1" applyBorder="1" applyAlignment="1">
      <alignment horizontal="left"/>
    </xf>
    <xf numFmtId="2" fontId="3" fillId="0" borderId="12" xfId="0" applyNumberFormat="1" applyFont="1" applyFill="1" applyBorder="1" applyAlignment="1">
      <alignment horizontal="left"/>
    </xf>
    <xf numFmtId="0" fontId="3" fillId="0" borderId="14" xfId="0" applyFont="1" applyFill="1" applyBorder="1" applyAlignment="1">
      <alignment horizontal="left" wrapText="1"/>
    </xf>
    <xf numFmtId="0" fontId="3" fillId="0" borderId="13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11" xfId="0" applyFont="1" applyFill="1" applyBorder="1" applyAlignment="1">
      <alignment horizontal="left" wrapText="1"/>
    </xf>
    <xf numFmtId="2" fontId="3" fillId="0" borderId="14" xfId="0" applyNumberFormat="1" applyFont="1" applyFill="1" applyBorder="1" applyAlignment="1">
      <alignment horizontal="left"/>
    </xf>
    <xf numFmtId="0" fontId="3" fillId="0" borderId="8" xfId="0" applyFont="1" applyFill="1" applyBorder="1" applyAlignment="1" applyProtection="1">
      <alignment horizontal="center" textRotation="90"/>
    </xf>
    <xf numFmtId="0" fontId="3" fillId="0" borderId="11" xfId="0" applyFont="1" applyFill="1" applyBorder="1" applyAlignment="1" applyProtection="1">
      <alignment horizontal="center" textRotation="90"/>
    </xf>
    <xf numFmtId="0" fontId="3" fillId="0" borderId="8" xfId="0" applyFont="1" applyFill="1" applyBorder="1" applyAlignment="1" applyProtection="1">
      <alignment horizontal="right" vertical="center" wrapText="1"/>
    </xf>
    <xf numFmtId="0" fontId="3" fillId="0" borderId="3" xfId="0" applyFont="1" applyFill="1" applyBorder="1" applyAlignment="1" applyProtection="1">
      <alignment horizontal="right" vertical="center" wrapText="1"/>
    </xf>
    <xf numFmtId="0" fontId="3" fillId="0" borderId="31" xfId="0" applyFont="1" applyFill="1" applyBorder="1" applyAlignment="1" applyProtection="1">
      <alignment horizontal="right" vertical="center" wrapText="1"/>
    </xf>
    <xf numFmtId="0" fontId="0" fillId="0" borderId="31" xfId="0" applyFont="1" applyFill="1" applyBorder="1" applyAlignment="1" applyProtection="1">
      <alignment horizontal="right" vertical="center"/>
    </xf>
    <xf numFmtId="0" fontId="3" fillId="0" borderId="10" xfId="0" applyFont="1" applyFill="1" applyBorder="1" applyAlignment="1" applyProtection="1">
      <alignment horizontal="right" vertical="center" wrapText="1"/>
    </xf>
    <xf numFmtId="0" fontId="0" fillId="0" borderId="14" xfId="0" applyFont="1" applyFill="1" applyBorder="1" applyAlignment="1" applyProtection="1">
      <alignment horizontal="right" vertical="center"/>
    </xf>
    <xf numFmtId="0" fontId="3" fillId="0" borderId="5" xfId="0" applyFont="1" applyFill="1" applyBorder="1" applyAlignment="1" applyProtection="1">
      <alignment horizontal="center" textRotation="90"/>
    </xf>
    <xf numFmtId="0" fontId="3" fillId="0" borderId="18" xfId="0" applyFont="1" applyFill="1" applyBorder="1" applyAlignment="1" applyProtection="1">
      <alignment horizontal="center"/>
    </xf>
    <xf numFmtId="0" fontId="3" fillId="0" borderId="6" xfId="0" applyFont="1" applyFill="1" applyBorder="1" applyAlignment="1" applyProtection="1">
      <alignment horizontal="center"/>
    </xf>
    <xf numFmtId="0" fontId="3" fillId="0" borderId="21" xfId="0" applyFont="1" applyFill="1" applyBorder="1" applyAlignment="1" applyProtection="1">
      <alignment horizontal="center"/>
    </xf>
    <xf numFmtId="0" fontId="3" fillId="0" borderId="10" xfId="0" applyFont="1" applyFill="1" applyBorder="1" applyAlignment="1" applyProtection="1">
      <alignment horizontal="center" textRotation="90"/>
    </xf>
    <xf numFmtId="0" fontId="3" fillId="0" borderId="16" xfId="0" applyFont="1" applyFill="1" applyBorder="1" applyAlignment="1" applyProtection="1">
      <alignment horizontal="center" textRotation="90"/>
    </xf>
    <xf numFmtId="0" fontId="3" fillId="0" borderId="3" xfId="0" applyFont="1" applyFill="1" applyBorder="1" applyAlignment="1" applyProtection="1">
      <alignment horizontal="center" textRotation="90"/>
    </xf>
    <xf numFmtId="0" fontId="0" fillId="0" borderId="16" xfId="0" applyFont="1" applyFill="1" applyBorder="1" applyAlignment="1" applyProtection="1">
      <alignment horizontal="right" vertical="center"/>
    </xf>
    <xf numFmtId="0" fontId="3" fillId="0" borderId="9" xfId="0" applyFont="1" applyFill="1" applyBorder="1" applyAlignment="1" applyProtection="1">
      <alignment horizontal="center"/>
    </xf>
    <xf numFmtId="0" fontId="3" fillId="0" borderId="24" xfId="0" applyFont="1" applyFill="1" applyBorder="1" applyAlignment="1" applyProtection="1">
      <alignment horizontal="center"/>
    </xf>
    <xf numFmtId="0" fontId="3" fillId="0" borderId="24" xfId="0" applyFont="1" applyFill="1" applyBorder="1" applyAlignment="1" applyProtection="1">
      <alignment horizontal="center" vertical="center" wrapText="1"/>
    </xf>
    <xf numFmtId="0" fontId="3" fillId="0" borderId="22" xfId="0" applyFont="1" applyFill="1" applyBorder="1" applyAlignment="1" applyProtection="1">
      <alignment horizontal="center" vertical="center" wrapText="1"/>
    </xf>
    <xf numFmtId="0" fontId="3" fillId="0" borderId="23" xfId="0" applyFont="1" applyFill="1" applyBorder="1" applyAlignment="1" applyProtection="1">
      <alignment horizontal="center" vertical="center" wrapText="1"/>
    </xf>
    <xf numFmtId="0" fontId="3" fillId="0" borderId="8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11" xfId="0" applyFont="1" applyFill="1" applyBorder="1" applyAlignment="1" applyProtection="1">
      <alignment horizontal="center" vertical="center" wrapText="1"/>
    </xf>
    <xf numFmtId="0" fontId="3" fillId="0" borderId="9" xfId="0" applyFont="1" applyFill="1" applyBorder="1" applyAlignment="1">
      <alignment horizontal="center"/>
    </xf>
    <xf numFmtId="0" fontId="11" fillId="0" borderId="1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24" xfId="0" applyFont="1" applyFill="1" applyBorder="1" applyAlignment="1">
      <alignment horizontal="center" vertical="center"/>
    </xf>
    <xf numFmtId="0" fontId="18" fillId="0" borderId="9" xfId="0" applyFont="1" applyFill="1" applyBorder="1" applyAlignment="1">
      <alignment horizontal="center"/>
    </xf>
    <xf numFmtId="0" fontId="11" fillId="11" borderId="8" xfId="0" applyFont="1" applyFill="1" applyBorder="1" applyAlignment="1" applyProtection="1">
      <alignment horizontal="center" vertical="top"/>
      <protection locked="0"/>
    </xf>
    <xf numFmtId="0" fontId="11" fillId="11" borderId="3" xfId="0" applyFont="1" applyFill="1" applyBorder="1" applyAlignment="1" applyProtection="1">
      <alignment horizontal="center" vertical="top"/>
      <protection locked="0"/>
    </xf>
    <xf numFmtId="0" fontId="11" fillId="11" borderId="11" xfId="0" applyFont="1" applyFill="1" applyBorder="1" applyAlignment="1" applyProtection="1">
      <alignment horizontal="center" vertical="top"/>
      <protection locked="0"/>
    </xf>
    <xf numFmtId="0" fontId="14" fillId="0" borderId="18" xfId="0" applyFont="1" applyBorder="1" applyAlignment="1">
      <alignment horizontal="left"/>
    </xf>
    <xf numFmtId="0" fontId="14" fillId="0" borderId="6" xfId="0" applyFont="1" applyBorder="1" applyAlignment="1">
      <alignment horizontal="left"/>
    </xf>
    <xf numFmtId="0" fontId="14" fillId="0" borderId="21" xfId="0" applyFont="1" applyBorder="1" applyAlignment="1">
      <alignment horizontal="left"/>
    </xf>
    <xf numFmtId="0" fontId="4" fillId="0" borderId="18" xfId="0" applyFont="1" applyFill="1" applyBorder="1" applyAlignment="1">
      <alignment horizontal="left" vertical="center"/>
    </xf>
    <xf numFmtId="0" fontId="4" fillId="0" borderId="21" xfId="0" applyFont="1" applyFill="1" applyBorder="1" applyAlignment="1">
      <alignment horizontal="left" vertical="center"/>
    </xf>
    <xf numFmtId="0" fontId="2" fillId="0" borderId="18" xfId="0" applyFont="1" applyFill="1" applyBorder="1" applyAlignment="1">
      <alignment horizontal="left" vertical="center"/>
    </xf>
    <xf numFmtId="0" fontId="2" fillId="0" borderId="21" xfId="0" applyFont="1" applyFill="1" applyBorder="1" applyAlignment="1">
      <alignment horizontal="left" vertical="center"/>
    </xf>
    <xf numFmtId="0" fontId="18" fillId="0" borderId="18" xfId="0" applyFont="1" applyFill="1" applyBorder="1" applyAlignment="1">
      <alignment horizontal="center"/>
    </xf>
    <xf numFmtId="0" fontId="18" fillId="0" borderId="6" xfId="0" applyFont="1" applyFill="1" applyBorder="1" applyAlignment="1">
      <alignment horizontal="center"/>
    </xf>
  </cellXfs>
  <cellStyles count="3">
    <cellStyle name="Hyperlink" xfId="1" builtinId="8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FFF99"/>
      <color rgb="FFA8F6F2"/>
      <color rgb="FF00CC00"/>
      <color rgb="FFF60A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r>
              <a:rPr lang="en-US"/>
              <a:t>NPV - change in Price </a:t>
            </a:r>
          </a:p>
        </c:rich>
      </c:tx>
      <c:layout>
        <c:manualLayout>
          <c:xMode val="edge"/>
          <c:yMode val="edge"/>
          <c:x val="0.30861072574739057"/>
          <c:y val="1.81972408970809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068192508529272"/>
          <c:y val="0.16873391621818348"/>
          <c:w val="0.80562568844484395"/>
          <c:h val="0.68432045717277035"/>
        </c:manualLayout>
      </c:layout>
      <c:scatterChart>
        <c:scatterStyle val="smoothMarker"/>
        <c:varyColors val="0"/>
        <c:ser>
          <c:idx val="2"/>
          <c:order val="0"/>
          <c:tx>
            <c:v>Rotation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SA'!$D$22:$H$22</c:f>
              <c:numCache>
                <c:formatCode>0</c:formatCode>
                <c:ptCount val="5"/>
                <c:pt idx="0">
                  <c:v>-70476.584057672648</c:v>
                </c:pt>
                <c:pt idx="1">
                  <c:v>-35681.39018289221</c:v>
                </c:pt>
                <c:pt idx="2">
                  <c:v>-886.19630811177194</c:v>
                </c:pt>
                <c:pt idx="3">
                  <c:v>33908.997566668681</c:v>
                </c:pt>
                <c:pt idx="4">
                  <c:v>68704.191441449104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11-4F7E-8B11-490996966599}"/>
            </c:ext>
          </c:extLst>
        </c:ser>
        <c:ser>
          <c:idx val="3"/>
          <c:order val="1"/>
          <c:tx>
            <c:v>SRC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  <a:alpha val="98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SA'!$D$17:$H$17</c:f>
              <c:numCache>
                <c:formatCode>0</c:formatCode>
                <c:ptCount val="5"/>
                <c:pt idx="0">
                  <c:v>-12875.288045908757</c:v>
                </c:pt>
                <c:pt idx="1">
                  <c:v>-876.61183431330937</c:v>
                </c:pt>
                <c:pt idx="2">
                  <c:v>11122.064377282139</c:v>
                </c:pt>
                <c:pt idx="3">
                  <c:v>23120.74058887759</c:v>
                </c:pt>
                <c:pt idx="4">
                  <c:v>35119.416800473038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9F0-4A82-B9D1-9C6E1C658B02}"/>
            </c:ext>
          </c:extLst>
        </c:ser>
        <c:ser>
          <c:idx val="4"/>
          <c:order val="2"/>
          <c:tx>
            <c:v>Miscanthus</c:v>
          </c:tx>
          <c:spPr>
            <a:ln w="1905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SA'!$D$18:$H$18</c:f>
              <c:numCache>
                <c:formatCode>0</c:formatCode>
                <c:ptCount val="5"/>
                <c:pt idx="0">
                  <c:v>-84026.458331653746</c:v>
                </c:pt>
                <c:pt idx="1">
                  <c:v>-66453.769635679375</c:v>
                </c:pt>
                <c:pt idx="2">
                  <c:v>-48881.080939705011</c:v>
                </c:pt>
                <c:pt idx="3">
                  <c:v>-31308.392243730646</c:v>
                </c:pt>
                <c:pt idx="4">
                  <c:v>-13735.703547756275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9F0-4A82-B9D1-9C6E1C658B02}"/>
            </c:ext>
          </c:extLst>
        </c:ser>
        <c:ser>
          <c:idx val="5"/>
          <c:order val="3"/>
          <c:tx>
            <c:v>Forage maize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2">
                  <a:lumMod val="90000"/>
                </a:schemeClr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SA'!$D$19:$H$19</c:f>
              <c:numCache>
                <c:formatCode>0</c:formatCode>
                <c:ptCount val="5"/>
                <c:pt idx="0">
                  <c:v>-63368.193312787174</c:v>
                </c:pt>
                <c:pt idx="1">
                  <c:v>-10725.918307448861</c:v>
                </c:pt>
                <c:pt idx="2">
                  <c:v>41916.356697889452</c:v>
                </c:pt>
                <c:pt idx="3">
                  <c:v>94558.631703227715</c:v>
                </c:pt>
                <c:pt idx="4">
                  <c:v>147200.90670856606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9F0-4A82-B9D1-9C6E1C658B02}"/>
            </c:ext>
          </c:extLst>
        </c:ser>
        <c:ser>
          <c:idx val="0"/>
          <c:order val="4"/>
          <c:tx>
            <c:v>Sida</c:v>
          </c:tx>
          <c:spPr>
            <a:ln w="19050" cap="rnd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SA'!$D$20:$H$20</c:f>
              <c:numCache>
                <c:formatCode>0</c:formatCode>
                <c:ptCount val="5"/>
                <c:pt idx="0">
                  <c:v>-44627.908037952533</c:v>
                </c:pt>
                <c:pt idx="1">
                  <c:v>-27467.165095512224</c:v>
                </c:pt>
                <c:pt idx="2">
                  <c:v>-10306.422153071908</c:v>
                </c:pt>
                <c:pt idx="3">
                  <c:v>6854.3207893684012</c:v>
                </c:pt>
                <c:pt idx="4">
                  <c:v>24015.063731808717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BB-4DED-B44A-DF9385A0AFF1}"/>
            </c:ext>
          </c:extLst>
        </c:ser>
        <c:ser>
          <c:idx val="1"/>
          <c:order val="5"/>
          <c:tx>
            <c:v>Silphium</c:v>
          </c:tx>
          <c:spPr>
            <a:ln w="1905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SA'!$D$21:$H$21</c:f>
              <c:numCache>
                <c:formatCode>0</c:formatCode>
                <c:ptCount val="5"/>
                <c:pt idx="0">
                  <c:v>-31483.995025603817</c:v>
                </c:pt>
                <c:pt idx="1">
                  <c:v>-8155.4193686924555</c:v>
                </c:pt>
                <c:pt idx="2">
                  <c:v>15173.15628821891</c:v>
                </c:pt>
                <c:pt idx="3">
                  <c:v>38501.731945130261</c:v>
                </c:pt>
                <c:pt idx="4">
                  <c:v>61830.307602041634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4BB-4DED-B44A-DF9385A0A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475448"/>
        <c:axId val="373474272"/>
      </c:scatterChart>
      <c:valAx>
        <c:axId val="373475448"/>
        <c:scaling>
          <c:orientation val="minMax"/>
          <c:max val="1"/>
          <c:min val="-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73474272"/>
        <c:crosses val="autoZero"/>
        <c:crossBetween val="midCat"/>
      </c:valAx>
      <c:valAx>
        <c:axId val="373474272"/>
        <c:scaling>
          <c:orientation val="minMax"/>
          <c:max val="150000"/>
          <c:min val="-15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NPV (PLN ha-1)</a:t>
                </a:r>
              </a:p>
            </c:rich>
          </c:tx>
          <c:layout>
            <c:manualLayout>
              <c:xMode val="edge"/>
              <c:yMode val="edge"/>
              <c:x val="3.0246917255628128E-2"/>
              <c:y val="0.471634513431569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734754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+mn-lt"/>
          <a:cs typeface="Times New Roman" panose="02020603050405020304" pitchFamily="18" charset="0"/>
        </a:defRPr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i="0"/>
              <a:t>Forage</a:t>
            </a:r>
            <a:r>
              <a:rPr lang="en-US" i="0" baseline="0"/>
              <a:t> maize</a:t>
            </a:r>
            <a:r>
              <a:rPr lang="en-US" i="0"/>
              <a:t> </a:t>
            </a:r>
            <a:r>
              <a:rPr lang="en-US"/>
              <a:t>NPV</a:t>
            </a:r>
          </a:p>
        </c:rich>
      </c:tx>
      <c:layout>
        <c:manualLayout>
          <c:xMode val="edge"/>
          <c:yMode val="edge"/>
          <c:x val="0.41442340447939852"/>
          <c:y val="1.31652739465448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359193775754086E-2"/>
          <c:y val="0.13829000495273761"/>
          <c:w val="0.87490611195539725"/>
          <c:h val="0.6794791963001553"/>
        </c:manualLayout>
      </c:layout>
      <c:scatterChart>
        <c:scatterStyle val="smoothMarker"/>
        <c:varyColors val="0"/>
        <c:ser>
          <c:idx val="2"/>
          <c:order val="0"/>
          <c:tx>
            <c:v>Price</c:v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SA'!$D$19:$H$19</c:f>
              <c:numCache>
                <c:formatCode>0</c:formatCode>
                <c:ptCount val="5"/>
                <c:pt idx="0">
                  <c:v>-63368.193312787174</c:v>
                </c:pt>
                <c:pt idx="1">
                  <c:v>-10725.918307448861</c:v>
                </c:pt>
                <c:pt idx="2">
                  <c:v>41916.356697889452</c:v>
                </c:pt>
                <c:pt idx="3">
                  <c:v>94558.631703227715</c:v>
                </c:pt>
                <c:pt idx="4">
                  <c:v>147200.90670856606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80E-4C26-8D98-CCEC06F65476}"/>
            </c:ext>
          </c:extLst>
        </c:ser>
        <c:ser>
          <c:idx val="1"/>
          <c:order val="1"/>
          <c:tx>
            <c:v>Yield</c:v>
          </c:tx>
          <c:spPr>
            <a:ln w="19050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SA'!$D$26:$H$26</c:f>
              <c:numCache>
                <c:formatCode>0</c:formatCode>
                <c:ptCount val="5"/>
                <c:pt idx="0">
                  <c:v>-63368.193312787174</c:v>
                </c:pt>
                <c:pt idx="1">
                  <c:v>-10725.918307448861</c:v>
                </c:pt>
                <c:pt idx="2">
                  <c:v>41916.356697889452</c:v>
                </c:pt>
                <c:pt idx="3">
                  <c:v>94558.631703227715</c:v>
                </c:pt>
                <c:pt idx="4">
                  <c:v>147200.90670856606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80E-4C26-8D98-CCEC06F65476}"/>
            </c:ext>
          </c:extLst>
        </c:ser>
        <c:ser>
          <c:idx val="6"/>
          <c:order val="2"/>
          <c:tx>
            <c:v>Costs</c:v>
          </c:tx>
          <c:spPr>
            <a:ln w="19050" cap="rnd">
              <a:solidFill>
                <a:schemeClr val="tx1">
                  <a:alpha val="99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SA'!$D$33:$H$33</c:f>
              <c:numCache>
                <c:formatCode>0</c:formatCode>
                <c:ptCount val="5"/>
                <c:pt idx="0">
                  <c:v>111000.0662591844</c:v>
                </c:pt>
                <c:pt idx="1">
                  <c:v>76458.211478536919</c:v>
                </c:pt>
                <c:pt idx="2">
                  <c:v>41916.356697889452</c:v>
                </c:pt>
                <c:pt idx="3">
                  <c:v>7374.5019172419561</c:v>
                </c:pt>
                <c:pt idx="4">
                  <c:v>-27167.352863405496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80E-4C26-8D98-CCEC06F65476}"/>
            </c:ext>
          </c:extLst>
        </c:ser>
        <c:ser>
          <c:idx val="0"/>
          <c:order val="3"/>
          <c:tx>
            <c:v>Dis. Rate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SA'!$D$40:$H$40</c:f>
              <c:numCache>
                <c:formatCode>0</c:formatCode>
                <c:ptCount val="5"/>
                <c:pt idx="0">
                  <c:v>55342.487680000006</c:v>
                </c:pt>
                <c:pt idx="1">
                  <c:v>47903.29341609955</c:v>
                </c:pt>
                <c:pt idx="2">
                  <c:v>41916.356697889452</c:v>
                </c:pt>
                <c:pt idx="3">
                  <c:v>37052.656726821711</c:v>
                </c:pt>
                <c:pt idx="4">
                  <c:v>33065.333219611712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80E-4C26-8D98-CCEC06F65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8137456"/>
        <c:axId val="478132360"/>
      </c:scatterChart>
      <c:valAx>
        <c:axId val="478137456"/>
        <c:scaling>
          <c:orientation val="minMax"/>
          <c:max val="1"/>
          <c:min val="-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8132360"/>
        <c:crosses val="autoZero"/>
        <c:crossBetween val="midCat"/>
      </c:valAx>
      <c:valAx>
        <c:axId val="478132360"/>
        <c:scaling>
          <c:orientation val="minMax"/>
          <c:max val="20000"/>
          <c:min val="-15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NPV (£)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81374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1521082190490401"/>
          <c:y val="0.71472378139021309"/>
          <c:w val="0.18007351819448184"/>
          <c:h val="0.285276327015737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r>
              <a:rPr lang="en-US"/>
              <a:t>NPV - change in Yield </a:t>
            </a:r>
          </a:p>
        </c:rich>
      </c:tx>
      <c:layout>
        <c:manualLayout>
          <c:xMode val="edge"/>
          <c:yMode val="edge"/>
          <c:x val="0.32806248504200691"/>
          <c:y val="1.81728322694561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826243982645308"/>
          <c:y val="0.16918699957904659"/>
          <c:w val="0.80746745995162361"/>
          <c:h val="0.66445782353961325"/>
        </c:manualLayout>
      </c:layout>
      <c:scatterChart>
        <c:scatterStyle val="smoothMarker"/>
        <c:varyColors val="0"/>
        <c:ser>
          <c:idx val="2"/>
          <c:order val="0"/>
          <c:tx>
            <c:v>Rotation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SA'!$D$29:$H$29</c:f>
              <c:numCache>
                <c:formatCode>0</c:formatCode>
                <c:ptCount val="5"/>
                <c:pt idx="0">
                  <c:v>-70476.584057672648</c:v>
                </c:pt>
                <c:pt idx="1">
                  <c:v>-35681.39018289221</c:v>
                </c:pt>
                <c:pt idx="2">
                  <c:v>-886.19630811177194</c:v>
                </c:pt>
                <c:pt idx="3">
                  <c:v>33908.997566668681</c:v>
                </c:pt>
                <c:pt idx="4">
                  <c:v>68704.191441449104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3F6-4AC5-99C5-AD22B66A40CA}"/>
            </c:ext>
          </c:extLst>
        </c:ser>
        <c:ser>
          <c:idx val="3"/>
          <c:order val="1"/>
          <c:tx>
            <c:v>SRC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SA'!$D$24:$H$24</c:f>
              <c:numCache>
                <c:formatCode>0</c:formatCode>
                <c:ptCount val="5"/>
                <c:pt idx="0">
                  <c:v>-12875.288045908757</c:v>
                </c:pt>
                <c:pt idx="1">
                  <c:v>-876.61183431330937</c:v>
                </c:pt>
                <c:pt idx="2">
                  <c:v>11122.064377282139</c:v>
                </c:pt>
                <c:pt idx="3">
                  <c:v>23120.74058887759</c:v>
                </c:pt>
                <c:pt idx="4">
                  <c:v>35119.416800473038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7D-449C-BC7C-6CF74DF7B9A0}"/>
            </c:ext>
          </c:extLst>
        </c:ser>
        <c:ser>
          <c:idx val="4"/>
          <c:order val="2"/>
          <c:tx>
            <c:v>Miscanthus</c:v>
          </c:tx>
          <c:spPr>
            <a:ln w="1905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SA'!$D$25:$H$25</c:f>
              <c:numCache>
                <c:formatCode>0</c:formatCode>
                <c:ptCount val="5"/>
                <c:pt idx="0">
                  <c:v>-84026.458331653746</c:v>
                </c:pt>
                <c:pt idx="1">
                  <c:v>-66453.769635679375</c:v>
                </c:pt>
                <c:pt idx="2">
                  <c:v>-48881.080939705011</c:v>
                </c:pt>
                <c:pt idx="3">
                  <c:v>-31308.392243730646</c:v>
                </c:pt>
                <c:pt idx="4">
                  <c:v>-13735.703547756275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7D-449C-BC7C-6CF74DF7B9A0}"/>
            </c:ext>
          </c:extLst>
        </c:ser>
        <c:ser>
          <c:idx val="5"/>
          <c:order val="3"/>
          <c:tx>
            <c:v>Forage maize</c:v>
          </c:tx>
          <c:spPr>
            <a:ln w="19050" cap="rnd">
              <a:solidFill>
                <a:schemeClr val="bg2">
                  <a:lumMod val="90000"/>
                  <a:alpha val="98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2">
                  <a:lumMod val="90000"/>
                </a:schemeClr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SA'!$D$26:$H$26</c:f>
              <c:numCache>
                <c:formatCode>0</c:formatCode>
                <c:ptCount val="5"/>
                <c:pt idx="0">
                  <c:v>-63368.193312787174</c:v>
                </c:pt>
                <c:pt idx="1">
                  <c:v>-10725.918307448861</c:v>
                </c:pt>
                <c:pt idx="2">
                  <c:v>41916.356697889452</c:v>
                </c:pt>
                <c:pt idx="3">
                  <c:v>94558.631703227715</c:v>
                </c:pt>
                <c:pt idx="4">
                  <c:v>147200.90670856606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07D-449C-BC7C-6CF74DF7B9A0}"/>
            </c:ext>
          </c:extLst>
        </c:ser>
        <c:ser>
          <c:idx val="1"/>
          <c:order val="4"/>
          <c:tx>
            <c:v>Silphie</c:v>
          </c:tx>
          <c:spPr>
            <a:ln w="1905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SA'!$D$28:$H$28</c:f>
              <c:numCache>
                <c:formatCode>0</c:formatCode>
                <c:ptCount val="5"/>
                <c:pt idx="0">
                  <c:v>-31483.995025603817</c:v>
                </c:pt>
                <c:pt idx="1">
                  <c:v>-8155.4193686924555</c:v>
                </c:pt>
                <c:pt idx="2">
                  <c:v>15173.15628821891</c:v>
                </c:pt>
                <c:pt idx="3">
                  <c:v>38501.731945130261</c:v>
                </c:pt>
                <c:pt idx="4">
                  <c:v>61830.307602041634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B8-4CCF-8B18-0479101CA241}"/>
            </c:ext>
          </c:extLst>
        </c:ser>
        <c:ser>
          <c:idx val="0"/>
          <c:order val="5"/>
          <c:tx>
            <c:v>Sida</c:v>
          </c:tx>
          <c:spPr>
            <a:ln w="19050" cap="rnd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SA'!$D$27:$H$27</c:f>
              <c:numCache>
                <c:formatCode>0</c:formatCode>
                <c:ptCount val="5"/>
                <c:pt idx="0">
                  <c:v>-44627.908037952533</c:v>
                </c:pt>
                <c:pt idx="1">
                  <c:v>-27467.165095512224</c:v>
                </c:pt>
                <c:pt idx="2">
                  <c:v>-10306.422153071908</c:v>
                </c:pt>
                <c:pt idx="3">
                  <c:v>6854.3207893683939</c:v>
                </c:pt>
                <c:pt idx="4">
                  <c:v>24015.063731808717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B8-4CCF-8B18-0479101CA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474664"/>
        <c:axId val="373471528"/>
      </c:scatterChart>
      <c:valAx>
        <c:axId val="373474664"/>
        <c:scaling>
          <c:orientation val="minMax"/>
          <c:max val="1"/>
          <c:min val="-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73471528"/>
        <c:crosses val="autoZero"/>
        <c:crossBetween val="midCat"/>
      </c:valAx>
      <c:valAx>
        <c:axId val="373471528"/>
        <c:scaling>
          <c:orientation val="minMax"/>
          <c:max val="150000"/>
          <c:min val="-15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NPV (PLN ha-1)</a:t>
                </a:r>
              </a:p>
            </c:rich>
          </c:tx>
          <c:layout>
            <c:manualLayout>
              <c:xMode val="edge"/>
              <c:yMode val="edge"/>
              <c:x val="3.1080914115181556E-2"/>
              <c:y val="0.473839468765399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73474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+mn-lt"/>
          <a:cs typeface="Times New Roman" panose="02020603050405020304" pitchFamily="18" charset="0"/>
        </a:defRPr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r>
              <a:rPr lang="en-US"/>
              <a:t>NPV - change in Discount Rate</a:t>
            </a:r>
          </a:p>
        </c:rich>
      </c:tx>
      <c:layout>
        <c:manualLayout>
          <c:xMode val="edge"/>
          <c:yMode val="edge"/>
          <c:x val="0.25077378244091103"/>
          <c:y val="7.404213094418875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749928666399628"/>
          <c:y val="0.16528984490139659"/>
          <c:w val="0.79184333735099899"/>
          <c:h val="0.65700856200435132"/>
        </c:manualLayout>
      </c:layout>
      <c:scatterChart>
        <c:scatterStyle val="smoothMarker"/>
        <c:varyColors val="0"/>
        <c:ser>
          <c:idx val="2"/>
          <c:order val="0"/>
          <c:tx>
            <c:v>Rotation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SA'!$D$43:$H$43</c:f>
              <c:numCache>
                <c:formatCode>0</c:formatCode>
                <c:ptCount val="5"/>
                <c:pt idx="0">
                  <c:v>-1810.662679999994</c:v>
                </c:pt>
                <c:pt idx="1">
                  <c:v>-1269.7362256548076</c:v>
                </c:pt>
                <c:pt idx="2">
                  <c:v>-886.19630811177194</c:v>
                </c:pt>
                <c:pt idx="3">
                  <c:v>-614.69464434168185</c:v>
                </c:pt>
                <c:pt idx="4">
                  <c:v>-423.43260520110198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E00-4D33-B0F3-AF9C472D20D1}"/>
            </c:ext>
          </c:extLst>
        </c:ser>
        <c:ser>
          <c:idx val="3"/>
          <c:order val="1"/>
          <c:tx>
            <c:v>SRC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SA'!$D$38:$H$38</c:f>
              <c:numCache>
                <c:formatCode>0</c:formatCode>
                <c:ptCount val="5"/>
                <c:pt idx="0">
                  <c:v>18293.828000000009</c:v>
                </c:pt>
                <c:pt idx="1">
                  <c:v>14313.251648804428</c:v>
                </c:pt>
                <c:pt idx="2">
                  <c:v>11122.064377282139</c:v>
                </c:pt>
                <c:pt idx="3">
                  <c:v>8540.3347135206677</c:v>
                </c:pt>
                <c:pt idx="4">
                  <c:v>6433.2603704833255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D6-4D78-919A-874B48CDAAB0}"/>
            </c:ext>
          </c:extLst>
        </c:ser>
        <c:ser>
          <c:idx val="4"/>
          <c:order val="2"/>
          <c:tx>
            <c:v>Miscanthus</c:v>
          </c:tx>
          <c:spPr>
            <a:ln w="1905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SA'!$D$39:$H$39</c:f>
              <c:numCache>
                <c:formatCode>0</c:formatCode>
                <c:ptCount val="5"/>
                <c:pt idx="0">
                  <c:v>-42093.268499999962</c:v>
                </c:pt>
                <c:pt idx="1">
                  <c:v>-45856.403848434784</c:v>
                </c:pt>
                <c:pt idx="2">
                  <c:v>-48881.080939705011</c:v>
                </c:pt>
                <c:pt idx="3">
                  <c:v>-51333.361119428446</c:v>
                </c:pt>
                <c:pt idx="4">
                  <c:v>-53338.216093722272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D6-4D78-919A-874B48CDAAB0}"/>
            </c:ext>
          </c:extLst>
        </c:ser>
        <c:ser>
          <c:idx val="5"/>
          <c:order val="3"/>
          <c:tx>
            <c:v>Forage maize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2">
                  <a:lumMod val="90000"/>
                </a:schemeClr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SA'!$D$40:$H$40</c:f>
              <c:numCache>
                <c:formatCode>0</c:formatCode>
                <c:ptCount val="5"/>
                <c:pt idx="0">
                  <c:v>55342.487680000006</c:v>
                </c:pt>
                <c:pt idx="1">
                  <c:v>47903.29341609955</c:v>
                </c:pt>
                <c:pt idx="2">
                  <c:v>41916.356697889452</c:v>
                </c:pt>
                <c:pt idx="3">
                  <c:v>37052.656726821711</c:v>
                </c:pt>
                <c:pt idx="4">
                  <c:v>33065.333219611712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D6-4D78-919A-874B48CDAAB0}"/>
            </c:ext>
          </c:extLst>
        </c:ser>
        <c:ser>
          <c:idx val="0"/>
          <c:order val="4"/>
          <c:tx>
            <c:v>Sida</c:v>
          </c:tx>
          <c:spPr>
            <a:ln w="19050" cap="rnd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SA'!$D$41:$H$41</c:f>
              <c:numCache>
                <c:formatCode>0</c:formatCode>
                <c:ptCount val="5"/>
                <c:pt idx="0">
                  <c:v>-3609.1971666666432</c:v>
                </c:pt>
                <c:pt idx="1">
                  <c:v>-7325.6878924954508</c:v>
                </c:pt>
                <c:pt idx="2">
                  <c:v>-10306.422153071908</c:v>
                </c:pt>
                <c:pt idx="3">
                  <c:v>-12718.598680550262</c:v>
                </c:pt>
                <c:pt idx="4">
                  <c:v>-14687.634856922599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3F5-4051-9D53-76E43EF92EDA}"/>
            </c:ext>
          </c:extLst>
        </c:ser>
        <c:ser>
          <c:idx val="1"/>
          <c:order val="5"/>
          <c:tx>
            <c:v>Silphie</c:v>
          </c:tx>
          <c:spPr>
            <a:ln w="1905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ash"/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SA'!$D$42:$H$42</c:f>
              <c:numCache>
                <c:formatCode>0</c:formatCode>
                <c:ptCount val="5"/>
                <c:pt idx="0">
                  <c:v>25058.081666666665</c:v>
                </c:pt>
                <c:pt idx="1">
                  <c:v>19577.817479686426</c:v>
                </c:pt>
                <c:pt idx="2">
                  <c:v>15173.15628821891</c:v>
                </c:pt>
                <c:pt idx="3">
                  <c:v>11601.489691565133</c:v>
                </c:pt>
                <c:pt idx="4">
                  <c:v>8680.4289236561963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3F5-4051-9D53-76E43EF92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478192"/>
        <c:axId val="373470744"/>
      </c:scatterChart>
      <c:valAx>
        <c:axId val="373478192"/>
        <c:scaling>
          <c:orientation val="minMax"/>
          <c:max val="1"/>
          <c:min val="-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73470744"/>
        <c:crosses val="autoZero"/>
        <c:crossBetween val="midCat"/>
      </c:valAx>
      <c:valAx>
        <c:axId val="373470744"/>
        <c:scaling>
          <c:orientation val="minMax"/>
          <c:max val="150000"/>
          <c:min val="-15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NPV (PLN ha-1)</a:t>
                </a:r>
              </a:p>
            </c:rich>
          </c:tx>
          <c:layout>
            <c:manualLayout>
              <c:xMode val="edge"/>
              <c:yMode val="edge"/>
              <c:x val="3.744730499616454E-2"/>
              <c:y val="0.4878114253631833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73478192"/>
        <c:crosses val="autoZero"/>
        <c:crossBetween val="midCat"/>
        <c:minorUnit val="20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+mn-lt"/>
          <a:cs typeface="Times New Roman" panose="02020603050405020304" pitchFamily="18" charset="0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r>
              <a:rPr lang="en-US"/>
              <a:t>NPV - change in Costs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054522590162532"/>
          <c:y val="0.16528984490139659"/>
          <c:w val="0.8072683454963846"/>
          <c:h val="0.62135693732893549"/>
        </c:manualLayout>
      </c:layout>
      <c:scatterChart>
        <c:scatterStyle val="smoothMarker"/>
        <c:varyColors val="0"/>
        <c:ser>
          <c:idx val="2"/>
          <c:order val="0"/>
          <c:tx>
            <c:v>Rotation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SA'!$D$36:$H$36</c:f>
              <c:numCache>
                <c:formatCode>0</c:formatCode>
                <c:ptCount val="5"/>
                <c:pt idx="0">
                  <c:v>75305.90399806865</c:v>
                </c:pt>
                <c:pt idx="1">
                  <c:v>37209.853844978439</c:v>
                </c:pt>
                <c:pt idx="2">
                  <c:v>-886.19630811177194</c:v>
                </c:pt>
                <c:pt idx="3">
                  <c:v>-38982.246461201954</c:v>
                </c:pt>
                <c:pt idx="4">
                  <c:v>-77078.296614292194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B7-47B0-B89C-86F7889D596F}"/>
            </c:ext>
          </c:extLst>
        </c:ser>
        <c:ser>
          <c:idx val="3"/>
          <c:order val="1"/>
          <c:tx>
            <c:v>SRC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  <a:alpha val="99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SA'!$D$31:$H$31</c:f>
              <c:numCache>
                <c:formatCode>0</c:formatCode>
                <c:ptCount val="5"/>
                <c:pt idx="0">
                  <c:v>29712.868671698667</c:v>
                </c:pt>
                <c:pt idx="1">
                  <c:v>20417.466524490403</c:v>
                </c:pt>
                <c:pt idx="2">
                  <c:v>11122.064377282139</c:v>
                </c:pt>
                <c:pt idx="3">
                  <c:v>1826.6622300738782</c:v>
                </c:pt>
                <c:pt idx="4">
                  <c:v>-7468.7399171343895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3DF-4B27-B496-EB7DC1997928}"/>
            </c:ext>
          </c:extLst>
        </c:ser>
        <c:ser>
          <c:idx val="4"/>
          <c:order val="2"/>
          <c:tx>
            <c:v>Miscanthus</c:v>
          </c:tx>
          <c:spPr>
            <a:ln w="1905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SA'!$D$32:$H$32</c:f>
              <c:numCache>
                <c:formatCode>0</c:formatCode>
                <c:ptCount val="5"/>
                <c:pt idx="0">
                  <c:v>40860.89364045651</c:v>
                </c:pt>
                <c:pt idx="1">
                  <c:v>-4010.0936496242502</c:v>
                </c:pt>
                <c:pt idx="2">
                  <c:v>-48881.080939705011</c:v>
                </c:pt>
                <c:pt idx="3">
                  <c:v>-93752.0682297858</c:v>
                </c:pt>
                <c:pt idx="4">
                  <c:v>-138623.05551986652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3DF-4B27-B496-EB7DC1997928}"/>
            </c:ext>
          </c:extLst>
        </c:ser>
        <c:ser>
          <c:idx val="5"/>
          <c:order val="3"/>
          <c:tx>
            <c:v>Forage maize</c:v>
          </c:tx>
          <c:spPr>
            <a:ln w="19050" cap="rnd">
              <a:solidFill>
                <a:schemeClr val="bg2">
                  <a:lumMod val="90000"/>
                  <a:alpha val="99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2">
                  <a:lumMod val="90000"/>
                </a:schemeClr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SA'!$D$33:$H$33</c:f>
              <c:numCache>
                <c:formatCode>0</c:formatCode>
                <c:ptCount val="5"/>
                <c:pt idx="0">
                  <c:v>111000.0662591844</c:v>
                </c:pt>
                <c:pt idx="1">
                  <c:v>76458.211478536919</c:v>
                </c:pt>
                <c:pt idx="2">
                  <c:v>41916.356697889452</c:v>
                </c:pt>
                <c:pt idx="3">
                  <c:v>7374.5019172419561</c:v>
                </c:pt>
                <c:pt idx="4">
                  <c:v>-27167.352863405496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3DF-4B27-B496-EB7DC1997928}"/>
            </c:ext>
          </c:extLst>
        </c:ser>
        <c:ser>
          <c:idx val="0"/>
          <c:order val="4"/>
          <c:tx>
            <c:v>Sida</c:v>
          </c:tx>
          <c:spPr>
            <a:ln w="19050" cap="rnd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SA'!$D$34:$H$34</c:f>
              <c:numCache>
                <c:formatCode>0</c:formatCode>
                <c:ptCount val="5"/>
                <c:pt idx="0">
                  <c:v>40037.0021333884</c:v>
                </c:pt>
                <c:pt idx="1">
                  <c:v>14865.289990158246</c:v>
                </c:pt>
                <c:pt idx="2">
                  <c:v>-10306.422153071908</c:v>
                </c:pt>
                <c:pt idx="3">
                  <c:v>-35478.134296302051</c:v>
                </c:pt>
                <c:pt idx="4">
                  <c:v>-60649.846439532215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0B3-4B56-8BE8-FB2A39CADDFC}"/>
            </c:ext>
          </c:extLst>
        </c:ser>
        <c:ser>
          <c:idx val="1"/>
          <c:order val="5"/>
          <c:tx>
            <c:v>Silphie</c:v>
          </c:tx>
          <c:spPr>
            <a:ln w="1905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SA'!$D$35:$H$35</c:f>
              <c:numCache>
                <c:formatCode>0</c:formatCode>
                <c:ptCount val="5"/>
                <c:pt idx="0">
                  <c:v>52372.667562330498</c:v>
                </c:pt>
                <c:pt idx="1">
                  <c:v>33772.911925274704</c:v>
                </c:pt>
                <c:pt idx="2">
                  <c:v>15173.15628821891</c:v>
                </c:pt>
                <c:pt idx="3">
                  <c:v>-3426.599348836884</c:v>
                </c:pt>
                <c:pt idx="4">
                  <c:v>-22026.354985892678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0B3-4B56-8BE8-FB2A39CAD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476232"/>
        <c:axId val="373475840"/>
      </c:scatterChart>
      <c:valAx>
        <c:axId val="373476232"/>
        <c:scaling>
          <c:orientation val="minMax"/>
          <c:max val="1"/>
          <c:min val="-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73475840"/>
        <c:crosses val="autoZero"/>
        <c:crossBetween val="midCat"/>
      </c:valAx>
      <c:valAx>
        <c:axId val="373475840"/>
        <c:scaling>
          <c:orientation val="minMax"/>
          <c:max val="150000"/>
          <c:min val="-15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NPV (PLN ha-1)</a:t>
                </a:r>
              </a:p>
            </c:rich>
          </c:tx>
          <c:layout>
            <c:manualLayout>
              <c:xMode val="edge"/>
              <c:yMode val="edge"/>
              <c:x val="1.7799507773129178E-2"/>
              <c:y val="0.434416450277212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734762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+mn-lt"/>
          <a:cs typeface="Times New Roman" panose="02020603050405020304" pitchFamily="18" charset="0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i="1"/>
              <a:t>Sida</a:t>
            </a:r>
            <a:r>
              <a:rPr lang="en-US"/>
              <a:t> NPV</a:t>
            </a:r>
          </a:p>
        </c:rich>
      </c:tx>
      <c:layout>
        <c:manualLayout>
          <c:xMode val="edge"/>
          <c:yMode val="edge"/>
          <c:x val="0.42843190233563039"/>
          <c:y val="7.05012202183984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1276999479992567E-2"/>
          <c:y val="0.137904413153182"/>
          <c:w val="0.87144722267198149"/>
          <c:h val="0.60601085393098564"/>
        </c:manualLayout>
      </c:layout>
      <c:scatterChart>
        <c:scatterStyle val="smoothMarker"/>
        <c:varyColors val="0"/>
        <c:ser>
          <c:idx val="4"/>
          <c:order val="0"/>
          <c:tx>
            <c:v>Price</c:v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SA'!$D$20:$H$20</c:f>
              <c:numCache>
                <c:formatCode>0</c:formatCode>
                <c:ptCount val="5"/>
                <c:pt idx="0">
                  <c:v>-44627.908037952533</c:v>
                </c:pt>
                <c:pt idx="1">
                  <c:v>-27467.165095512224</c:v>
                </c:pt>
                <c:pt idx="2">
                  <c:v>-10306.422153071908</c:v>
                </c:pt>
                <c:pt idx="3">
                  <c:v>6854.3207893684012</c:v>
                </c:pt>
                <c:pt idx="4">
                  <c:v>24015.063731808717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0AA-4D6E-8E29-53D4F3764966}"/>
            </c:ext>
          </c:extLst>
        </c:ser>
        <c:ser>
          <c:idx val="2"/>
          <c:order val="1"/>
          <c:tx>
            <c:v>Yield</c:v>
          </c:tx>
          <c:spPr>
            <a:ln w="19050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SA'!$D$27:$H$27</c:f>
              <c:numCache>
                <c:formatCode>0</c:formatCode>
                <c:ptCount val="5"/>
                <c:pt idx="0">
                  <c:v>-44627.908037952533</c:v>
                </c:pt>
                <c:pt idx="1">
                  <c:v>-27467.165095512224</c:v>
                </c:pt>
                <c:pt idx="2">
                  <c:v>-10306.422153071908</c:v>
                </c:pt>
                <c:pt idx="3">
                  <c:v>6854.3207893683939</c:v>
                </c:pt>
                <c:pt idx="4">
                  <c:v>24015.063731808717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2F-45EC-A8C5-FF6AE2BBC09A}"/>
            </c:ext>
          </c:extLst>
        </c:ser>
        <c:ser>
          <c:idx val="0"/>
          <c:order val="2"/>
          <c:tx>
            <c:v>Costs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SA'!$D$34:$H$34</c:f>
              <c:numCache>
                <c:formatCode>0</c:formatCode>
                <c:ptCount val="5"/>
                <c:pt idx="0">
                  <c:v>40037.0021333884</c:v>
                </c:pt>
                <c:pt idx="1">
                  <c:v>14865.289990158246</c:v>
                </c:pt>
                <c:pt idx="2">
                  <c:v>-10306.422153071908</c:v>
                </c:pt>
                <c:pt idx="3">
                  <c:v>-35478.134296302051</c:v>
                </c:pt>
                <c:pt idx="4">
                  <c:v>-60649.846439532215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0AA-4D6E-8E29-53D4F3764966}"/>
            </c:ext>
          </c:extLst>
        </c:ser>
        <c:ser>
          <c:idx val="1"/>
          <c:order val="3"/>
          <c:tx>
            <c:v>Dis. Rate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SA'!$D$41:$H$41</c:f>
              <c:numCache>
                <c:formatCode>0</c:formatCode>
                <c:ptCount val="5"/>
                <c:pt idx="0">
                  <c:v>-3609.1971666666432</c:v>
                </c:pt>
                <c:pt idx="1">
                  <c:v>-7325.6878924954508</c:v>
                </c:pt>
                <c:pt idx="2">
                  <c:v>-10306.422153071908</c:v>
                </c:pt>
                <c:pt idx="3">
                  <c:v>-12718.598680550262</c:v>
                </c:pt>
                <c:pt idx="4">
                  <c:v>-14687.634856922599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0AA-4D6E-8E29-53D4F3764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477016"/>
        <c:axId val="373477800"/>
      </c:scatterChart>
      <c:valAx>
        <c:axId val="373477016"/>
        <c:scaling>
          <c:orientation val="minMax"/>
          <c:max val="1"/>
          <c:min val="-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477800"/>
        <c:crosses val="autoZero"/>
        <c:crossBetween val="midCat"/>
        <c:majorUnit val="0.5"/>
      </c:valAx>
      <c:valAx>
        <c:axId val="373477800"/>
        <c:scaling>
          <c:orientation val="minMax"/>
          <c:max val="20000"/>
          <c:min val="-15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NPV (£)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4770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3741937528859547"/>
          <c:y val="0.68705933534969643"/>
          <c:w val="0.2595537445247158"/>
          <c:h val="0.310977940408269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2">
          <a:lumMod val="9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i="1"/>
              <a:t>Silphium</a:t>
            </a:r>
            <a:r>
              <a:rPr lang="en-US"/>
              <a:t> NPV</a:t>
            </a:r>
          </a:p>
        </c:rich>
      </c:tx>
      <c:layout>
        <c:manualLayout>
          <c:xMode val="edge"/>
          <c:yMode val="edge"/>
          <c:x val="0.41442340447939852"/>
          <c:y val="1.31652739465448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359193775754086E-2"/>
          <c:y val="0.13829000495273761"/>
          <c:w val="0.87490611195539725"/>
          <c:h val="0.6794791963001553"/>
        </c:manualLayout>
      </c:layout>
      <c:scatterChart>
        <c:scatterStyle val="smoothMarker"/>
        <c:varyColors val="0"/>
        <c:ser>
          <c:idx val="2"/>
          <c:order val="0"/>
          <c:tx>
            <c:v>Price</c:v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SA'!$D$21:$H$21</c:f>
              <c:numCache>
                <c:formatCode>0</c:formatCode>
                <c:ptCount val="5"/>
                <c:pt idx="0">
                  <c:v>-31483.995025603817</c:v>
                </c:pt>
                <c:pt idx="1">
                  <c:v>-8155.4193686924555</c:v>
                </c:pt>
                <c:pt idx="2">
                  <c:v>15173.15628821891</c:v>
                </c:pt>
                <c:pt idx="3">
                  <c:v>38501.731945130261</c:v>
                </c:pt>
                <c:pt idx="4">
                  <c:v>61830.307602041634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86A-47B7-9069-161FFCE46771}"/>
            </c:ext>
          </c:extLst>
        </c:ser>
        <c:ser>
          <c:idx val="1"/>
          <c:order val="1"/>
          <c:tx>
            <c:v>Yield</c:v>
          </c:tx>
          <c:spPr>
            <a:ln w="19050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SA'!$D$28:$H$28</c:f>
              <c:numCache>
                <c:formatCode>0</c:formatCode>
                <c:ptCount val="5"/>
                <c:pt idx="0">
                  <c:v>-31483.995025603817</c:v>
                </c:pt>
                <c:pt idx="1">
                  <c:v>-8155.4193686924555</c:v>
                </c:pt>
                <c:pt idx="2">
                  <c:v>15173.15628821891</c:v>
                </c:pt>
                <c:pt idx="3">
                  <c:v>38501.731945130261</c:v>
                </c:pt>
                <c:pt idx="4">
                  <c:v>61830.307602041634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3A-4BEB-907D-03B7ED0D8239}"/>
            </c:ext>
          </c:extLst>
        </c:ser>
        <c:ser>
          <c:idx val="6"/>
          <c:order val="2"/>
          <c:tx>
            <c:v>Costs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SA'!$D$35:$H$35</c:f>
              <c:numCache>
                <c:formatCode>0</c:formatCode>
                <c:ptCount val="5"/>
                <c:pt idx="0">
                  <c:v>52372.667562330498</c:v>
                </c:pt>
                <c:pt idx="1">
                  <c:v>33772.911925274704</c:v>
                </c:pt>
                <c:pt idx="2">
                  <c:v>15173.15628821891</c:v>
                </c:pt>
                <c:pt idx="3">
                  <c:v>-3426.599348836884</c:v>
                </c:pt>
                <c:pt idx="4">
                  <c:v>-22026.354985892678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86A-47B7-9069-161FFCE46771}"/>
            </c:ext>
          </c:extLst>
        </c:ser>
        <c:ser>
          <c:idx val="0"/>
          <c:order val="3"/>
          <c:tx>
            <c:v>Dis. Rate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SA'!$D$42:$H$42</c:f>
              <c:numCache>
                <c:formatCode>0</c:formatCode>
                <c:ptCount val="5"/>
                <c:pt idx="0">
                  <c:v>25058.081666666665</c:v>
                </c:pt>
                <c:pt idx="1">
                  <c:v>19577.817479686426</c:v>
                </c:pt>
                <c:pt idx="2">
                  <c:v>15173.15628821891</c:v>
                </c:pt>
                <c:pt idx="3">
                  <c:v>11601.489691565133</c:v>
                </c:pt>
                <c:pt idx="4">
                  <c:v>8680.4289236561963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86A-47B7-9069-161FFCE46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471136"/>
        <c:axId val="373472312"/>
      </c:scatterChart>
      <c:valAx>
        <c:axId val="373471136"/>
        <c:scaling>
          <c:orientation val="minMax"/>
          <c:max val="1"/>
          <c:min val="-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472312"/>
        <c:crosses val="autoZero"/>
        <c:crossBetween val="midCat"/>
      </c:valAx>
      <c:valAx>
        <c:axId val="373472312"/>
        <c:scaling>
          <c:orientation val="minMax"/>
          <c:max val="20000"/>
          <c:min val="-15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NPV (£)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4711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286220777997394"/>
          <c:y val="0.71472378139021309"/>
          <c:w val="0.22242213231941191"/>
          <c:h val="0.285276327015737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i="0"/>
              <a:t>Rotation </a:t>
            </a:r>
            <a:r>
              <a:rPr lang="en-US"/>
              <a:t>NPV</a:t>
            </a:r>
          </a:p>
        </c:rich>
      </c:tx>
      <c:layout>
        <c:manualLayout>
          <c:xMode val="edge"/>
          <c:yMode val="edge"/>
          <c:x val="0.41442340447939852"/>
          <c:y val="1.31652739465448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359193775754086E-2"/>
          <c:y val="0.13829000495273761"/>
          <c:w val="0.87490611195539725"/>
          <c:h val="0.6794791963001553"/>
        </c:manualLayout>
      </c:layout>
      <c:scatterChart>
        <c:scatterStyle val="smoothMarker"/>
        <c:varyColors val="0"/>
        <c:ser>
          <c:idx val="2"/>
          <c:order val="0"/>
          <c:tx>
            <c:v>Price</c:v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SA'!$D$22:$H$22</c:f>
              <c:numCache>
                <c:formatCode>0</c:formatCode>
                <c:ptCount val="5"/>
                <c:pt idx="0">
                  <c:v>-70476.584057672648</c:v>
                </c:pt>
                <c:pt idx="1">
                  <c:v>-35681.39018289221</c:v>
                </c:pt>
                <c:pt idx="2">
                  <c:v>-886.19630811177194</c:v>
                </c:pt>
                <c:pt idx="3">
                  <c:v>33908.997566668681</c:v>
                </c:pt>
                <c:pt idx="4">
                  <c:v>68704.191441449104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63-4BFF-B9DA-99CF59EC2199}"/>
            </c:ext>
          </c:extLst>
        </c:ser>
        <c:ser>
          <c:idx val="1"/>
          <c:order val="1"/>
          <c:tx>
            <c:v>Yield</c:v>
          </c:tx>
          <c:spPr>
            <a:ln w="19050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SA'!$D$29:$H$29</c:f>
              <c:numCache>
                <c:formatCode>0</c:formatCode>
                <c:ptCount val="5"/>
                <c:pt idx="0">
                  <c:v>-70476.584057672648</c:v>
                </c:pt>
                <c:pt idx="1">
                  <c:v>-35681.39018289221</c:v>
                </c:pt>
                <c:pt idx="2">
                  <c:v>-886.19630811177194</c:v>
                </c:pt>
                <c:pt idx="3">
                  <c:v>33908.997566668681</c:v>
                </c:pt>
                <c:pt idx="4">
                  <c:v>68704.191441449104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63-4BFF-B9DA-99CF59EC2199}"/>
            </c:ext>
          </c:extLst>
        </c:ser>
        <c:ser>
          <c:idx val="6"/>
          <c:order val="2"/>
          <c:tx>
            <c:v>Costs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SA'!$D$36:$H$36</c:f>
              <c:numCache>
                <c:formatCode>0</c:formatCode>
                <c:ptCount val="5"/>
                <c:pt idx="0">
                  <c:v>75305.90399806865</c:v>
                </c:pt>
                <c:pt idx="1">
                  <c:v>37209.853844978439</c:v>
                </c:pt>
                <c:pt idx="2">
                  <c:v>-886.19630811177194</c:v>
                </c:pt>
                <c:pt idx="3">
                  <c:v>-38982.246461201954</c:v>
                </c:pt>
                <c:pt idx="4">
                  <c:v>-77078.296614292194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63-4BFF-B9DA-99CF59EC2199}"/>
            </c:ext>
          </c:extLst>
        </c:ser>
        <c:ser>
          <c:idx val="0"/>
          <c:order val="3"/>
          <c:tx>
            <c:v>Dis. Rate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SA'!$D$43:$H$43</c:f>
              <c:numCache>
                <c:formatCode>0</c:formatCode>
                <c:ptCount val="5"/>
                <c:pt idx="0">
                  <c:v>-1810.662679999994</c:v>
                </c:pt>
                <c:pt idx="1">
                  <c:v>-1269.7362256548076</c:v>
                </c:pt>
                <c:pt idx="2">
                  <c:v>-886.19630811177194</c:v>
                </c:pt>
                <c:pt idx="3">
                  <c:v>-614.69464434168185</c:v>
                </c:pt>
                <c:pt idx="4">
                  <c:v>-423.43260520110198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C63-4BFF-B9DA-99CF59EC2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473488"/>
        <c:axId val="478138632"/>
      </c:scatterChart>
      <c:valAx>
        <c:axId val="373473488"/>
        <c:scaling>
          <c:orientation val="minMax"/>
          <c:max val="1"/>
          <c:min val="-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8138632"/>
        <c:crosses val="autoZero"/>
        <c:crossBetween val="midCat"/>
      </c:valAx>
      <c:valAx>
        <c:axId val="478138632"/>
        <c:scaling>
          <c:orientation val="minMax"/>
          <c:max val="20000"/>
          <c:min val="-15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NPV (£)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4734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1521082190490401"/>
          <c:y val="0.71472378139021309"/>
          <c:w val="0.18007351819448184"/>
          <c:h val="0.285276327015737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i="0"/>
              <a:t>SRC </a:t>
            </a:r>
            <a:r>
              <a:rPr lang="en-US"/>
              <a:t>NPV</a:t>
            </a:r>
          </a:p>
        </c:rich>
      </c:tx>
      <c:layout>
        <c:manualLayout>
          <c:xMode val="edge"/>
          <c:yMode val="edge"/>
          <c:x val="0.41442340447939852"/>
          <c:y val="1.31652739465448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359193775754086E-2"/>
          <c:y val="0.13829000495273761"/>
          <c:w val="0.87490611195539725"/>
          <c:h val="0.6794791963001553"/>
        </c:manualLayout>
      </c:layout>
      <c:scatterChart>
        <c:scatterStyle val="smoothMarker"/>
        <c:varyColors val="0"/>
        <c:ser>
          <c:idx val="2"/>
          <c:order val="0"/>
          <c:tx>
            <c:v>Price</c:v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SA'!$D$17:$H$17</c:f>
              <c:numCache>
                <c:formatCode>0</c:formatCode>
                <c:ptCount val="5"/>
                <c:pt idx="0">
                  <c:v>-12875.288045908757</c:v>
                </c:pt>
                <c:pt idx="1">
                  <c:v>-876.61183431330937</c:v>
                </c:pt>
                <c:pt idx="2">
                  <c:v>11122.064377282139</c:v>
                </c:pt>
                <c:pt idx="3">
                  <c:v>23120.74058887759</c:v>
                </c:pt>
                <c:pt idx="4">
                  <c:v>35119.416800473038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000-47B4-AA36-4CBDAB0047C5}"/>
            </c:ext>
          </c:extLst>
        </c:ser>
        <c:ser>
          <c:idx val="1"/>
          <c:order val="1"/>
          <c:tx>
            <c:v>Yield</c:v>
          </c:tx>
          <c:spPr>
            <a:ln w="19050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SA'!$D$24:$H$24</c:f>
              <c:numCache>
                <c:formatCode>0</c:formatCode>
                <c:ptCount val="5"/>
                <c:pt idx="0">
                  <c:v>-12875.288045908757</c:v>
                </c:pt>
                <c:pt idx="1">
                  <c:v>-876.61183431330937</c:v>
                </c:pt>
                <c:pt idx="2">
                  <c:v>11122.064377282139</c:v>
                </c:pt>
                <c:pt idx="3">
                  <c:v>23120.74058887759</c:v>
                </c:pt>
                <c:pt idx="4">
                  <c:v>35119.416800473038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000-47B4-AA36-4CBDAB0047C5}"/>
            </c:ext>
          </c:extLst>
        </c:ser>
        <c:ser>
          <c:idx val="6"/>
          <c:order val="2"/>
          <c:tx>
            <c:v>Costs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SA'!$D$31:$H$31</c:f>
              <c:numCache>
                <c:formatCode>0</c:formatCode>
                <c:ptCount val="5"/>
                <c:pt idx="0">
                  <c:v>29712.868671698667</c:v>
                </c:pt>
                <c:pt idx="1">
                  <c:v>20417.466524490403</c:v>
                </c:pt>
                <c:pt idx="2">
                  <c:v>11122.064377282139</c:v>
                </c:pt>
                <c:pt idx="3">
                  <c:v>1826.6622300738782</c:v>
                </c:pt>
                <c:pt idx="4">
                  <c:v>-7468.7399171343895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000-47B4-AA36-4CBDAB0047C5}"/>
            </c:ext>
          </c:extLst>
        </c:ser>
        <c:ser>
          <c:idx val="0"/>
          <c:order val="3"/>
          <c:tx>
            <c:v>Dis. Rate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SA'!$D$38:$H$38</c:f>
              <c:numCache>
                <c:formatCode>0</c:formatCode>
                <c:ptCount val="5"/>
                <c:pt idx="0">
                  <c:v>18293.828000000009</c:v>
                </c:pt>
                <c:pt idx="1">
                  <c:v>14313.251648804428</c:v>
                </c:pt>
                <c:pt idx="2">
                  <c:v>11122.064377282139</c:v>
                </c:pt>
                <c:pt idx="3">
                  <c:v>8540.3347135206677</c:v>
                </c:pt>
                <c:pt idx="4">
                  <c:v>6433.2603704833255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000-47B4-AA36-4CBDAB004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8131968"/>
        <c:axId val="478136280"/>
      </c:scatterChart>
      <c:valAx>
        <c:axId val="478131968"/>
        <c:scaling>
          <c:orientation val="minMax"/>
          <c:max val="1"/>
          <c:min val="-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8136280"/>
        <c:crosses val="autoZero"/>
        <c:crossBetween val="midCat"/>
      </c:valAx>
      <c:valAx>
        <c:axId val="478136280"/>
        <c:scaling>
          <c:orientation val="minMax"/>
          <c:max val="20000"/>
          <c:min val="-15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NPV (£)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81319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1521082190490401"/>
          <c:y val="0.71472378139021309"/>
          <c:w val="0.18007351819448184"/>
          <c:h val="0.285276327015737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i="0"/>
              <a:t>Miscanthus </a:t>
            </a:r>
            <a:r>
              <a:rPr lang="en-US"/>
              <a:t>NPV</a:t>
            </a:r>
          </a:p>
        </c:rich>
      </c:tx>
      <c:layout>
        <c:manualLayout>
          <c:xMode val="edge"/>
          <c:yMode val="edge"/>
          <c:x val="0.41442340447939852"/>
          <c:y val="1.31652739465448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359193775754086E-2"/>
          <c:y val="0.13829000495273761"/>
          <c:w val="0.87490611195539725"/>
          <c:h val="0.6794791963001553"/>
        </c:manualLayout>
      </c:layout>
      <c:scatterChart>
        <c:scatterStyle val="smoothMarker"/>
        <c:varyColors val="0"/>
        <c:ser>
          <c:idx val="2"/>
          <c:order val="0"/>
          <c:tx>
            <c:v>Price</c:v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SA'!$D$18:$H$18</c:f>
              <c:numCache>
                <c:formatCode>0</c:formatCode>
                <c:ptCount val="5"/>
                <c:pt idx="0">
                  <c:v>-84026.458331653746</c:v>
                </c:pt>
                <c:pt idx="1">
                  <c:v>-66453.769635679375</c:v>
                </c:pt>
                <c:pt idx="2">
                  <c:v>-48881.080939705011</c:v>
                </c:pt>
                <c:pt idx="3">
                  <c:v>-31308.392243730646</c:v>
                </c:pt>
                <c:pt idx="4">
                  <c:v>-13735.703547756275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2D-45AC-9859-EEDF3F583B5C}"/>
            </c:ext>
          </c:extLst>
        </c:ser>
        <c:ser>
          <c:idx val="1"/>
          <c:order val="1"/>
          <c:tx>
            <c:v>Yield</c:v>
          </c:tx>
          <c:spPr>
            <a:ln w="19050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SA'!$D$25:$H$25</c:f>
              <c:numCache>
                <c:formatCode>0</c:formatCode>
                <c:ptCount val="5"/>
                <c:pt idx="0">
                  <c:v>-84026.458331653746</c:v>
                </c:pt>
                <c:pt idx="1">
                  <c:v>-66453.769635679375</c:v>
                </c:pt>
                <c:pt idx="2">
                  <c:v>-48881.080939705011</c:v>
                </c:pt>
                <c:pt idx="3">
                  <c:v>-31308.392243730646</c:v>
                </c:pt>
                <c:pt idx="4">
                  <c:v>-13735.703547756275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2D-45AC-9859-EEDF3F583B5C}"/>
            </c:ext>
          </c:extLst>
        </c:ser>
        <c:ser>
          <c:idx val="6"/>
          <c:order val="2"/>
          <c:tx>
            <c:v>Costs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alpha val="99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SA'!$D$32:$H$32</c:f>
              <c:numCache>
                <c:formatCode>0</c:formatCode>
                <c:ptCount val="5"/>
                <c:pt idx="0">
                  <c:v>40860.89364045651</c:v>
                </c:pt>
                <c:pt idx="1">
                  <c:v>-4010.0936496242502</c:v>
                </c:pt>
                <c:pt idx="2">
                  <c:v>-48881.080939705011</c:v>
                </c:pt>
                <c:pt idx="3">
                  <c:v>-93752.0682297858</c:v>
                </c:pt>
                <c:pt idx="4">
                  <c:v>-138623.05551986652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62D-45AC-9859-EEDF3F583B5C}"/>
            </c:ext>
          </c:extLst>
        </c:ser>
        <c:ser>
          <c:idx val="0"/>
          <c:order val="3"/>
          <c:tx>
            <c:v>Dis. Rate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SA'!$D$39:$H$39</c:f>
              <c:numCache>
                <c:formatCode>0</c:formatCode>
                <c:ptCount val="5"/>
                <c:pt idx="0">
                  <c:v>-42093.268499999962</c:v>
                </c:pt>
                <c:pt idx="1">
                  <c:v>-45856.403848434784</c:v>
                </c:pt>
                <c:pt idx="2">
                  <c:v>-48881.080939705011</c:v>
                </c:pt>
                <c:pt idx="3">
                  <c:v>-51333.361119428446</c:v>
                </c:pt>
                <c:pt idx="4">
                  <c:v>-53338.216093722272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62D-45AC-9859-EEDF3F583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8133928"/>
        <c:axId val="478132752"/>
      </c:scatterChart>
      <c:valAx>
        <c:axId val="478133928"/>
        <c:scaling>
          <c:orientation val="minMax"/>
          <c:max val="1"/>
          <c:min val="-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8132752"/>
        <c:crosses val="autoZero"/>
        <c:crossBetween val="midCat"/>
      </c:valAx>
      <c:valAx>
        <c:axId val="478132752"/>
        <c:scaling>
          <c:orientation val="minMax"/>
          <c:max val="20000"/>
          <c:min val="-15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NPV (£)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81339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1521082190490401"/>
          <c:y val="0.71472378139021309"/>
          <c:w val="0.18007351819448184"/>
          <c:h val="0.285276327015737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24</xdr:row>
      <xdr:rowOff>123825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20450175" y="531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</xdr:col>
      <xdr:colOff>0</xdr:colOff>
      <xdr:row>50</xdr:row>
      <xdr:rowOff>123825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4114800" y="4981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</xdr:col>
      <xdr:colOff>0</xdr:colOff>
      <xdr:row>76</xdr:row>
      <xdr:rowOff>123825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4114800" y="10372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</xdr:col>
      <xdr:colOff>0</xdr:colOff>
      <xdr:row>102</xdr:row>
      <xdr:rowOff>123825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4114800" y="10372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</xdr:col>
      <xdr:colOff>0</xdr:colOff>
      <xdr:row>128</xdr:row>
      <xdr:rowOff>123825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/>
      </xdr:nvSpPr>
      <xdr:spPr>
        <a:xfrm>
          <a:off x="4114800" y="10372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</xdr:col>
      <xdr:colOff>0</xdr:colOff>
      <xdr:row>154</xdr:row>
      <xdr:rowOff>123825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 txBox="1"/>
      </xdr:nvSpPr>
      <xdr:spPr>
        <a:xfrm>
          <a:off x="90678000" y="531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0</xdr:colOff>
      <xdr:row>24</xdr:row>
      <xdr:rowOff>123825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4476750" y="5172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50</xdr:row>
      <xdr:rowOff>123825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4476750" y="1055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60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/>
      </xdr:nvSpPr>
      <xdr:spPr>
        <a:xfrm>
          <a:off x="4476750" y="15935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76</xdr:row>
      <xdr:rowOff>123825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 txBox="1"/>
      </xdr:nvSpPr>
      <xdr:spPr>
        <a:xfrm>
          <a:off x="44767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102</xdr:row>
      <xdr:rowOff>123825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4476750" y="26698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22</xdr:col>
      <xdr:colOff>0</xdr:colOff>
      <xdr:row>128</xdr:row>
      <xdr:rowOff>123825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 txBox="1"/>
      </xdr:nvSpPr>
      <xdr:spPr>
        <a:xfrm>
          <a:off x="5162550" y="3208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50</xdr:row>
      <xdr:rowOff>123825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 txBox="1"/>
      </xdr:nvSpPr>
      <xdr:spPr>
        <a:xfrm>
          <a:off x="6534150" y="5172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60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 txBox="1"/>
      </xdr:nvSpPr>
      <xdr:spPr>
        <a:xfrm>
          <a:off x="6534150" y="1055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60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6534150" y="1055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76</xdr:row>
      <xdr:rowOff>123825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 txBox="1"/>
      </xdr:nvSpPr>
      <xdr:spPr>
        <a:xfrm>
          <a:off x="6534150" y="15935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76</xdr:row>
      <xdr:rowOff>123825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 txBox="1"/>
      </xdr:nvSpPr>
      <xdr:spPr>
        <a:xfrm>
          <a:off x="6534150" y="15935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76</xdr:row>
      <xdr:rowOff>123825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 txBox="1"/>
      </xdr:nvSpPr>
      <xdr:spPr>
        <a:xfrm>
          <a:off x="6534150" y="15935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102</xdr:row>
      <xdr:rowOff>123825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 txBox="1"/>
      </xdr:nvSpPr>
      <xdr:spPr>
        <a:xfrm>
          <a:off x="6534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102</xdr:row>
      <xdr:rowOff>123825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 txBox="1"/>
      </xdr:nvSpPr>
      <xdr:spPr>
        <a:xfrm>
          <a:off x="6534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102</xdr:row>
      <xdr:rowOff>123825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 txBox="1"/>
      </xdr:nvSpPr>
      <xdr:spPr>
        <a:xfrm>
          <a:off x="6534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102</xdr:row>
      <xdr:rowOff>123825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 txBox="1"/>
      </xdr:nvSpPr>
      <xdr:spPr>
        <a:xfrm>
          <a:off x="6534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 txBox="1"/>
      </xdr:nvSpPr>
      <xdr:spPr>
        <a:xfrm>
          <a:off x="6534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 txBox="1"/>
      </xdr:nvSpPr>
      <xdr:spPr>
        <a:xfrm>
          <a:off x="6534150" y="26698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SpPr txBox="1"/>
      </xdr:nvSpPr>
      <xdr:spPr>
        <a:xfrm>
          <a:off x="6534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SpPr txBox="1"/>
      </xdr:nvSpPr>
      <xdr:spPr>
        <a:xfrm>
          <a:off x="6534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 txBox="1"/>
      </xdr:nvSpPr>
      <xdr:spPr>
        <a:xfrm>
          <a:off x="6534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SpPr txBox="1"/>
      </xdr:nvSpPr>
      <xdr:spPr>
        <a:xfrm>
          <a:off x="6534150" y="26698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SpPr txBox="1"/>
      </xdr:nvSpPr>
      <xdr:spPr>
        <a:xfrm>
          <a:off x="6534150" y="26698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/>
      </xdr:nvSpPr>
      <xdr:spPr>
        <a:xfrm>
          <a:off x="6534150" y="26698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SpPr txBox="1"/>
      </xdr:nvSpPr>
      <xdr:spPr>
        <a:xfrm>
          <a:off x="6534150" y="26698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F00-000014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F00-000017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F00-000018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F00-000019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F00-00001A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F00-00001B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F00-00001C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F00-00001D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F00-00001E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F00-000031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F00-000032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F00-000033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F00-000035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F00-000036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F00-000037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F00-000048000000}"/>
            </a:ext>
          </a:extLst>
        </xdr:cNvPr>
        <xdr:cNvSpPr txBox="1"/>
      </xdr:nvSpPr>
      <xdr:spPr>
        <a:xfrm>
          <a:off x="4800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F00-000049000000}"/>
            </a:ext>
          </a:extLst>
        </xdr:cNvPr>
        <xdr:cNvSpPr txBox="1"/>
      </xdr:nvSpPr>
      <xdr:spPr>
        <a:xfrm>
          <a:off x="4800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F00-00004A000000}"/>
            </a:ext>
          </a:extLst>
        </xdr:cNvPr>
        <xdr:cNvSpPr txBox="1"/>
      </xdr:nvSpPr>
      <xdr:spPr>
        <a:xfrm>
          <a:off x="4800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F00-00004B000000}"/>
            </a:ext>
          </a:extLst>
        </xdr:cNvPr>
        <xdr:cNvSpPr txBox="1"/>
      </xdr:nvSpPr>
      <xdr:spPr>
        <a:xfrm>
          <a:off x="4800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0000000-0008-0000-0F00-000054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0000000-0008-0000-0F00-000055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0000000-0008-0000-0F00-000056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00000000-0008-0000-0F00-000057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00000000-0008-0000-0F00-000058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00000000-0008-0000-0F00-000059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00000000-0008-0000-0F00-00005A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000000-0008-0000-0F00-00005B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0000000-0008-0000-0F00-00005C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0000000-0008-0000-0F00-00005D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0000-0008-0000-0F00-00005E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0000000-0008-0000-0F00-00005F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F00-000044000000}"/>
            </a:ext>
          </a:extLst>
        </xdr:cNvPr>
        <xdr:cNvSpPr txBox="1"/>
      </xdr:nvSpPr>
      <xdr:spPr>
        <a:xfrm>
          <a:off x="6156614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F00-000045000000}"/>
            </a:ext>
          </a:extLst>
        </xdr:cNvPr>
        <xdr:cNvSpPr txBox="1"/>
      </xdr:nvSpPr>
      <xdr:spPr>
        <a:xfrm>
          <a:off x="6156614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F00-000046000000}"/>
            </a:ext>
          </a:extLst>
        </xdr:cNvPr>
        <xdr:cNvSpPr txBox="1"/>
      </xdr:nvSpPr>
      <xdr:spPr>
        <a:xfrm>
          <a:off x="6156614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F00-000047000000}"/>
            </a:ext>
          </a:extLst>
        </xdr:cNvPr>
        <xdr:cNvSpPr txBox="1"/>
      </xdr:nvSpPr>
      <xdr:spPr>
        <a:xfrm>
          <a:off x="6156614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F00-00004C000000}"/>
            </a:ext>
          </a:extLst>
        </xdr:cNvPr>
        <xdr:cNvSpPr txBox="1"/>
      </xdr:nvSpPr>
      <xdr:spPr>
        <a:xfrm>
          <a:off x="6156614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F00-00004D000000}"/>
            </a:ext>
          </a:extLst>
        </xdr:cNvPr>
        <xdr:cNvSpPr txBox="1"/>
      </xdr:nvSpPr>
      <xdr:spPr>
        <a:xfrm>
          <a:off x="21890182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F00-00004E000000}"/>
            </a:ext>
          </a:extLst>
        </xdr:cNvPr>
        <xdr:cNvSpPr txBox="1"/>
      </xdr:nvSpPr>
      <xdr:spPr>
        <a:xfrm>
          <a:off x="21890182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00000000-0008-0000-0F00-00004F000000}"/>
            </a:ext>
          </a:extLst>
        </xdr:cNvPr>
        <xdr:cNvSpPr txBox="1"/>
      </xdr:nvSpPr>
      <xdr:spPr>
        <a:xfrm>
          <a:off x="21890182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00000000-0008-0000-0F00-000050000000}"/>
            </a:ext>
          </a:extLst>
        </xdr:cNvPr>
        <xdr:cNvSpPr txBox="1"/>
      </xdr:nvSpPr>
      <xdr:spPr>
        <a:xfrm>
          <a:off x="21890182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0000000-0008-0000-0F00-000051000000}"/>
            </a:ext>
          </a:extLst>
        </xdr:cNvPr>
        <xdr:cNvSpPr txBox="1"/>
      </xdr:nvSpPr>
      <xdr:spPr>
        <a:xfrm>
          <a:off x="21890182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0000000-0008-0000-0F00-000052000000}"/>
            </a:ext>
          </a:extLst>
        </xdr:cNvPr>
        <xdr:cNvSpPr txBox="1"/>
      </xdr:nvSpPr>
      <xdr:spPr>
        <a:xfrm>
          <a:off x="37623750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0F00-000053000000}"/>
            </a:ext>
          </a:extLst>
        </xdr:cNvPr>
        <xdr:cNvSpPr txBox="1"/>
      </xdr:nvSpPr>
      <xdr:spPr>
        <a:xfrm>
          <a:off x="37623750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00000000-0008-0000-0F00-000060000000}"/>
            </a:ext>
          </a:extLst>
        </xdr:cNvPr>
        <xdr:cNvSpPr txBox="1"/>
      </xdr:nvSpPr>
      <xdr:spPr>
        <a:xfrm>
          <a:off x="37623750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00000000-0008-0000-0F00-000061000000}"/>
            </a:ext>
          </a:extLst>
        </xdr:cNvPr>
        <xdr:cNvSpPr txBox="1"/>
      </xdr:nvSpPr>
      <xdr:spPr>
        <a:xfrm>
          <a:off x="37623750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0000000-0008-0000-0F00-000062000000}"/>
            </a:ext>
          </a:extLst>
        </xdr:cNvPr>
        <xdr:cNvSpPr txBox="1"/>
      </xdr:nvSpPr>
      <xdr:spPr>
        <a:xfrm>
          <a:off x="37623750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00000000-0008-0000-0F00-000063000000}"/>
            </a:ext>
          </a:extLst>
        </xdr:cNvPr>
        <xdr:cNvSpPr txBox="1"/>
      </xdr:nvSpPr>
      <xdr:spPr>
        <a:xfrm>
          <a:off x="53357318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00000000-0008-0000-0F00-000064000000}"/>
            </a:ext>
          </a:extLst>
        </xdr:cNvPr>
        <xdr:cNvSpPr txBox="1"/>
      </xdr:nvSpPr>
      <xdr:spPr>
        <a:xfrm>
          <a:off x="53357318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00000000-0008-0000-0F00-000065000000}"/>
            </a:ext>
          </a:extLst>
        </xdr:cNvPr>
        <xdr:cNvSpPr txBox="1"/>
      </xdr:nvSpPr>
      <xdr:spPr>
        <a:xfrm>
          <a:off x="53357318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00000000-0008-0000-0F00-000066000000}"/>
            </a:ext>
          </a:extLst>
        </xdr:cNvPr>
        <xdr:cNvSpPr txBox="1"/>
      </xdr:nvSpPr>
      <xdr:spPr>
        <a:xfrm>
          <a:off x="53357318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00000000-0008-0000-0F00-000067000000}"/>
            </a:ext>
          </a:extLst>
        </xdr:cNvPr>
        <xdr:cNvSpPr txBox="1"/>
      </xdr:nvSpPr>
      <xdr:spPr>
        <a:xfrm>
          <a:off x="53357318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00000000-0008-0000-0F00-000068000000}"/>
            </a:ext>
          </a:extLst>
        </xdr:cNvPr>
        <xdr:cNvSpPr txBox="1"/>
      </xdr:nvSpPr>
      <xdr:spPr>
        <a:xfrm>
          <a:off x="69090886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00000000-0008-0000-0F00-000069000000}"/>
            </a:ext>
          </a:extLst>
        </xdr:cNvPr>
        <xdr:cNvSpPr txBox="1"/>
      </xdr:nvSpPr>
      <xdr:spPr>
        <a:xfrm>
          <a:off x="69090886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00000000-0008-0000-0F00-00006A000000}"/>
            </a:ext>
          </a:extLst>
        </xdr:cNvPr>
        <xdr:cNvSpPr txBox="1"/>
      </xdr:nvSpPr>
      <xdr:spPr>
        <a:xfrm>
          <a:off x="69090886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00000000-0008-0000-0F00-00006B000000}"/>
            </a:ext>
          </a:extLst>
        </xdr:cNvPr>
        <xdr:cNvSpPr txBox="1"/>
      </xdr:nvSpPr>
      <xdr:spPr>
        <a:xfrm>
          <a:off x="69090886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00000000-0008-0000-0F00-00006C000000}"/>
            </a:ext>
          </a:extLst>
        </xdr:cNvPr>
        <xdr:cNvSpPr txBox="1"/>
      </xdr:nvSpPr>
      <xdr:spPr>
        <a:xfrm>
          <a:off x="69090886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00000000-0008-0000-0F00-00006D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00000000-0008-0000-0F00-00006E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00000000-0008-0000-0F00-00006F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00000000-0008-0000-0F00-000070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00000000-0008-0000-0F00-000071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00000000-0008-0000-0F00-000072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00000000-0008-0000-0F00-000073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00000000-0008-0000-0F00-000074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00000000-0008-0000-0F00-000075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00000000-0008-0000-0F00-000076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00000000-0008-0000-0F00-000077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00000000-0008-0000-0F00-000078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00000000-0008-0000-0F00-000079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00000000-0008-0000-0F00-00007A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00000000-0008-0000-0F00-00007B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00000000-0008-0000-0F00-00007C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00000000-0008-0000-0F00-00007D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00000000-0008-0000-0F00-00007E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00000000-0008-0000-0F00-00007F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00000000-0008-0000-0F00-000080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00000000-0008-0000-0F00-000081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00000000-0008-0000-0F00-000082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00000000-0008-0000-0F00-000083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00000000-0008-0000-0F00-000084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00000000-0008-0000-0F00-000085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34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6156614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35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6156614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36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6156614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37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6156614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38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6156614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39" name="TextBox 113">
          <a:extLst>
            <a:ext uri="{FF2B5EF4-FFF2-40B4-BE49-F238E27FC236}">
              <a16:creationId xmlns:a16="http://schemas.microsoft.com/office/drawing/2014/main" id="{C046C012-0F62-4D46-B38E-EC85ADAACB39}"/>
            </a:ext>
          </a:extLst>
        </xdr:cNvPr>
        <xdr:cNvSpPr txBox="1"/>
      </xdr:nvSpPr>
      <xdr:spPr>
        <a:xfrm>
          <a:off x="21890182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40" name="TextBox 114">
          <a:extLst>
            <a:ext uri="{FF2B5EF4-FFF2-40B4-BE49-F238E27FC236}">
              <a16:creationId xmlns:a16="http://schemas.microsoft.com/office/drawing/2014/main" id="{EC92D843-4B48-4781-8984-EE2B6D603A0B}"/>
            </a:ext>
          </a:extLst>
        </xdr:cNvPr>
        <xdr:cNvSpPr txBox="1"/>
      </xdr:nvSpPr>
      <xdr:spPr>
        <a:xfrm>
          <a:off x="21890182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41" name="TextBox 115">
          <a:extLst>
            <a:ext uri="{FF2B5EF4-FFF2-40B4-BE49-F238E27FC236}">
              <a16:creationId xmlns:a16="http://schemas.microsoft.com/office/drawing/2014/main" id="{7A9EEC01-3D4B-4E5A-81AF-EE5487AE712D}"/>
            </a:ext>
          </a:extLst>
        </xdr:cNvPr>
        <xdr:cNvSpPr txBox="1"/>
      </xdr:nvSpPr>
      <xdr:spPr>
        <a:xfrm>
          <a:off x="21890182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42" name="TextBox 116">
          <a:extLst>
            <a:ext uri="{FF2B5EF4-FFF2-40B4-BE49-F238E27FC236}">
              <a16:creationId xmlns:a16="http://schemas.microsoft.com/office/drawing/2014/main" id="{4BB84636-1174-43FF-95F2-286B7F250D0F}"/>
            </a:ext>
          </a:extLst>
        </xdr:cNvPr>
        <xdr:cNvSpPr txBox="1"/>
      </xdr:nvSpPr>
      <xdr:spPr>
        <a:xfrm>
          <a:off x="21890182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43" name="TextBox 117">
          <a:extLst>
            <a:ext uri="{FF2B5EF4-FFF2-40B4-BE49-F238E27FC236}">
              <a16:creationId xmlns:a16="http://schemas.microsoft.com/office/drawing/2014/main" id="{213DDB8C-B017-45FE-87FB-8E894E41DCBF}"/>
            </a:ext>
          </a:extLst>
        </xdr:cNvPr>
        <xdr:cNvSpPr txBox="1"/>
      </xdr:nvSpPr>
      <xdr:spPr>
        <a:xfrm>
          <a:off x="21890182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44" name="TextBox 118">
          <a:extLst>
            <a:ext uri="{FF2B5EF4-FFF2-40B4-BE49-F238E27FC236}">
              <a16:creationId xmlns:a16="http://schemas.microsoft.com/office/drawing/2014/main" id="{9C9E7025-B9E4-487B-92F7-678D8145F33C}"/>
            </a:ext>
          </a:extLst>
        </xdr:cNvPr>
        <xdr:cNvSpPr txBox="1"/>
      </xdr:nvSpPr>
      <xdr:spPr>
        <a:xfrm>
          <a:off x="37623750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45" name="TextBox 119">
          <a:extLst>
            <a:ext uri="{FF2B5EF4-FFF2-40B4-BE49-F238E27FC236}">
              <a16:creationId xmlns:a16="http://schemas.microsoft.com/office/drawing/2014/main" id="{6C41E04B-4C3B-4700-9EAE-15F092879E9E}"/>
            </a:ext>
          </a:extLst>
        </xdr:cNvPr>
        <xdr:cNvSpPr txBox="1"/>
      </xdr:nvSpPr>
      <xdr:spPr>
        <a:xfrm>
          <a:off x="37623750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46" name="TextBox 120">
          <a:extLst>
            <a:ext uri="{FF2B5EF4-FFF2-40B4-BE49-F238E27FC236}">
              <a16:creationId xmlns:a16="http://schemas.microsoft.com/office/drawing/2014/main" id="{A74C8073-FE36-468F-8F34-B8D23212A7F5}"/>
            </a:ext>
          </a:extLst>
        </xdr:cNvPr>
        <xdr:cNvSpPr txBox="1"/>
      </xdr:nvSpPr>
      <xdr:spPr>
        <a:xfrm>
          <a:off x="37623750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47" name="TextBox 121">
          <a:extLst>
            <a:ext uri="{FF2B5EF4-FFF2-40B4-BE49-F238E27FC236}">
              <a16:creationId xmlns:a16="http://schemas.microsoft.com/office/drawing/2014/main" id="{E1C4A199-EC00-4371-91BA-7A57538BBBCE}"/>
            </a:ext>
          </a:extLst>
        </xdr:cNvPr>
        <xdr:cNvSpPr txBox="1"/>
      </xdr:nvSpPr>
      <xdr:spPr>
        <a:xfrm>
          <a:off x="37623750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48" name="TextBox 122">
          <a:extLst>
            <a:ext uri="{FF2B5EF4-FFF2-40B4-BE49-F238E27FC236}">
              <a16:creationId xmlns:a16="http://schemas.microsoft.com/office/drawing/2014/main" id="{25ECAA80-6427-4872-96C3-B76DB1DFB3B8}"/>
            </a:ext>
          </a:extLst>
        </xdr:cNvPr>
        <xdr:cNvSpPr txBox="1"/>
      </xdr:nvSpPr>
      <xdr:spPr>
        <a:xfrm>
          <a:off x="37623750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49" name="TextBox 123">
          <a:extLst>
            <a:ext uri="{FF2B5EF4-FFF2-40B4-BE49-F238E27FC236}">
              <a16:creationId xmlns:a16="http://schemas.microsoft.com/office/drawing/2014/main" id="{5DAC8811-AA42-485A-A14F-AE8C6A601E5A}"/>
            </a:ext>
          </a:extLst>
        </xdr:cNvPr>
        <xdr:cNvSpPr txBox="1"/>
      </xdr:nvSpPr>
      <xdr:spPr>
        <a:xfrm>
          <a:off x="53357318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50" name="TextBox 124">
          <a:extLst>
            <a:ext uri="{FF2B5EF4-FFF2-40B4-BE49-F238E27FC236}">
              <a16:creationId xmlns:a16="http://schemas.microsoft.com/office/drawing/2014/main" id="{89491AB1-19FF-4E8C-84CD-3C01AFD6F524}"/>
            </a:ext>
          </a:extLst>
        </xdr:cNvPr>
        <xdr:cNvSpPr txBox="1"/>
      </xdr:nvSpPr>
      <xdr:spPr>
        <a:xfrm>
          <a:off x="53357318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51" name="TextBox 125">
          <a:extLst>
            <a:ext uri="{FF2B5EF4-FFF2-40B4-BE49-F238E27FC236}">
              <a16:creationId xmlns:a16="http://schemas.microsoft.com/office/drawing/2014/main" id="{6803EEAC-A420-4360-AA77-1FD0662703AC}"/>
            </a:ext>
          </a:extLst>
        </xdr:cNvPr>
        <xdr:cNvSpPr txBox="1"/>
      </xdr:nvSpPr>
      <xdr:spPr>
        <a:xfrm>
          <a:off x="53357318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52" name="TextBox 126">
          <a:extLst>
            <a:ext uri="{FF2B5EF4-FFF2-40B4-BE49-F238E27FC236}">
              <a16:creationId xmlns:a16="http://schemas.microsoft.com/office/drawing/2014/main" id="{29F9CD39-F381-4911-9D88-AE4CFED4F9D5}"/>
            </a:ext>
          </a:extLst>
        </xdr:cNvPr>
        <xdr:cNvSpPr txBox="1"/>
      </xdr:nvSpPr>
      <xdr:spPr>
        <a:xfrm>
          <a:off x="53357318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53" name="TextBox 127">
          <a:extLst>
            <a:ext uri="{FF2B5EF4-FFF2-40B4-BE49-F238E27FC236}">
              <a16:creationId xmlns:a16="http://schemas.microsoft.com/office/drawing/2014/main" id="{894334EC-6D5E-4083-BEB9-B44A7BB9EA63}"/>
            </a:ext>
          </a:extLst>
        </xdr:cNvPr>
        <xdr:cNvSpPr txBox="1"/>
      </xdr:nvSpPr>
      <xdr:spPr>
        <a:xfrm>
          <a:off x="53357318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54" name="TextBox 128">
          <a:extLst>
            <a:ext uri="{FF2B5EF4-FFF2-40B4-BE49-F238E27FC236}">
              <a16:creationId xmlns:a16="http://schemas.microsoft.com/office/drawing/2014/main" id="{27E55AC4-5D24-4C1B-B08B-00F299E5E706}"/>
            </a:ext>
          </a:extLst>
        </xdr:cNvPr>
        <xdr:cNvSpPr txBox="1"/>
      </xdr:nvSpPr>
      <xdr:spPr>
        <a:xfrm>
          <a:off x="69090886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55" name="TextBox 129">
          <a:extLst>
            <a:ext uri="{FF2B5EF4-FFF2-40B4-BE49-F238E27FC236}">
              <a16:creationId xmlns:a16="http://schemas.microsoft.com/office/drawing/2014/main" id="{97EA4272-0D28-47A1-A353-940D9B9E07C8}"/>
            </a:ext>
          </a:extLst>
        </xdr:cNvPr>
        <xdr:cNvSpPr txBox="1"/>
      </xdr:nvSpPr>
      <xdr:spPr>
        <a:xfrm>
          <a:off x="69090886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56" name="TextBox 130">
          <a:extLst>
            <a:ext uri="{FF2B5EF4-FFF2-40B4-BE49-F238E27FC236}">
              <a16:creationId xmlns:a16="http://schemas.microsoft.com/office/drawing/2014/main" id="{B02F6F1E-CF7A-41F5-8EC9-9E1879FF33B5}"/>
            </a:ext>
          </a:extLst>
        </xdr:cNvPr>
        <xdr:cNvSpPr txBox="1"/>
      </xdr:nvSpPr>
      <xdr:spPr>
        <a:xfrm>
          <a:off x="69090886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57" name="TextBox 131">
          <a:extLst>
            <a:ext uri="{FF2B5EF4-FFF2-40B4-BE49-F238E27FC236}">
              <a16:creationId xmlns:a16="http://schemas.microsoft.com/office/drawing/2014/main" id="{932C0408-7DC5-4E2B-83F4-EFF91F6275F0}"/>
            </a:ext>
          </a:extLst>
        </xdr:cNvPr>
        <xdr:cNvSpPr txBox="1"/>
      </xdr:nvSpPr>
      <xdr:spPr>
        <a:xfrm>
          <a:off x="69090886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58" name="TextBox 132">
          <a:extLst>
            <a:ext uri="{FF2B5EF4-FFF2-40B4-BE49-F238E27FC236}">
              <a16:creationId xmlns:a16="http://schemas.microsoft.com/office/drawing/2014/main" id="{AE950464-E419-48A3-A39C-851462DD0EF0}"/>
            </a:ext>
          </a:extLst>
        </xdr:cNvPr>
        <xdr:cNvSpPr txBox="1"/>
      </xdr:nvSpPr>
      <xdr:spPr>
        <a:xfrm>
          <a:off x="69090886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00000000-0008-0000-0F00-000048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00000000-0008-0000-0F00-000049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00000000-0008-0000-0F00-00004A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00000000-0008-0000-0F00-00004B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00000000-0008-0000-0F00-000048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00000000-0008-0000-0F00-000049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00000000-0008-0000-0F00-00004A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00000000-0008-0000-0F00-00004B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00000000-0008-0000-0F00-000058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00000000-0008-0000-0F00-000059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00000000-0008-0000-0F00-00005A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00000000-0008-0000-0F00-00005B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00000000-0008-0000-0F00-000048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00000000-0008-0000-0F00-000049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00000000-0008-0000-0F00-00004A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00000000-0008-0000-0F00-00004B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96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97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98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99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00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159500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159500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159500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159500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05" name="TextBox 113">
          <a:extLst>
            <a:ext uri="{FF2B5EF4-FFF2-40B4-BE49-F238E27FC236}">
              <a16:creationId xmlns:a16="http://schemas.microsoft.com/office/drawing/2014/main" id="{C046C012-0F62-4D46-B38E-EC85ADAACB39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06" name="TextBox 114">
          <a:extLst>
            <a:ext uri="{FF2B5EF4-FFF2-40B4-BE49-F238E27FC236}">
              <a16:creationId xmlns:a16="http://schemas.microsoft.com/office/drawing/2014/main" id="{EC92D843-4B48-4781-8984-EE2B6D603A0B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07" name="TextBox 115">
          <a:extLst>
            <a:ext uri="{FF2B5EF4-FFF2-40B4-BE49-F238E27FC236}">
              <a16:creationId xmlns:a16="http://schemas.microsoft.com/office/drawing/2014/main" id="{7A9EEC01-3D4B-4E5A-81AF-EE5487AE712D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08" name="TextBox 116">
          <a:extLst>
            <a:ext uri="{FF2B5EF4-FFF2-40B4-BE49-F238E27FC236}">
              <a16:creationId xmlns:a16="http://schemas.microsoft.com/office/drawing/2014/main" id="{4BB84636-1174-43FF-95F2-286B7F250D0F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09" name="TextBox 117">
          <a:extLst>
            <a:ext uri="{FF2B5EF4-FFF2-40B4-BE49-F238E27FC236}">
              <a16:creationId xmlns:a16="http://schemas.microsoft.com/office/drawing/2014/main" id="{213DDB8C-B017-45FE-87FB-8E894E41DCBF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10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11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12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13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14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21900444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21900444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21900444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21900444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19" name="TextBox 118">
          <a:extLst>
            <a:ext uri="{FF2B5EF4-FFF2-40B4-BE49-F238E27FC236}">
              <a16:creationId xmlns:a16="http://schemas.microsoft.com/office/drawing/2014/main" id="{9C9E7025-B9E4-487B-92F7-678D8145F33C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20" name="TextBox 119">
          <a:extLst>
            <a:ext uri="{FF2B5EF4-FFF2-40B4-BE49-F238E27FC236}">
              <a16:creationId xmlns:a16="http://schemas.microsoft.com/office/drawing/2014/main" id="{6C41E04B-4C3B-4700-9EAE-15F092879E9E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21" name="TextBox 120">
          <a:extLst>
            <a:ext uri="{FF2B5EF4-FFF2-40B4-BE49-F238E27FC236}">
              <a16:creationId xmlns:a16="http://schemas.microsoft.com/office/drawing/2014/main" id="{A74C8073-FE36-468F-8F34-B8D23212A7F5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22" name="TextBox 121">
          <a:extLst>
            <a:ext uri="{FF2B5EF4-FFF2-40B4-BE49-F238E27FC236}">
              <a16:creationId xmlns:a16="http://schemas.microsoft.com/office/drawing/2014/main" id="{E1C4A199-EC00-4371-91BA-7A57538BBBCE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23" name="TextBox 122">
          <a:extLst>
            <a:ext uri="{FF2B5EF4-FFF2-40B4-BE49-F238E27FC236}">
              <a16:creationId xmlns:a16="http://schemas.microsoft.com/office/drawing/2014/main" id="{25ECAA80-6427-4872-96C3-B76DB1DFB3B8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24" name="TextBox 113">
          <a:extLst>
            <a:ext uri="{FF2B5EF4-FFF2-40B4-BE49-F238E27FC236}">
              <a16:creationId xmlns:a16="http://schemas.microsoft.com/office/drawing/2014/main" id="{C046C012-0F62-4D46-B38E-EC85ADAACB39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25" name="TextBox 114">
          <a:extLst>
            <a:ext uri="{FF2B5EF4-FFF2-40B4-BE49-F238E27FC236}">
              <a16:creationId xmlns:a16="http://schemas.microsoft.com/office/drawing/2014/main" id="{EC92D843-4B48-4781-8984-EE2B6D603A0B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26" name="TextBox 115">
          <a:extLst>
            <a:ext uri="{FF2B5EF4-FFF2-40B4-BE49-F238E27FC236}">
              <a16:creationId xmlns:a16="http://schemas.microsoft.com/office/drawing/2014/main" id="{7A9EEC01-3D4B-4E5A-81AF-EE5487AE712D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27" name="TextBox 116">
          <a:extLst>
            <a:ext uri="{FF2B5EF4-FFF2-40B4-BE49-F238E27FC236}">
              <a16:creationId xmlns:a16="http://schemas.microsoft.com/office/drawing/2014/main" id="{4BB84636-1174-43FF-95F2-286B7F250D0F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28" name="TextBox 117">
          <a:extLst>
            <a:ext uri="{FF2B5EF4-FFF2-40B4-BE49-F238E27FC236}">
              <a16:creationId xmlns:a16="http://schemas.microsoft.com/office/drawing/2014/main" id="{213DDB8C-B017-45FE-87FB-8E894E41DCBF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29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30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31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32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33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37641389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37641389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37641389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37641389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38" name="TextBox 123">
          <a:extLst>
            <a:ext uri="{FF2B5EF4-FFF2-40B4-BE49-F238E27FC236}">
              <a16:creationId xmlns:a16="http://schemas.microsoft.com/office/drawing/2014/main" id="{5DAC8811-AA42-485A-A14F-AE8C6A601E5A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39" name="TextBox 124">
          <a:extLst>
            <a:ext uri="{FF2B5EF4-FFF2-40B4-BE49-F238E27FC236}">
              <a16:creationId xmlns:a16="http://schemas.microsoft.com/office/drawing/2014/main" id="{89491AB1-19FF-4E8C-84CD-3C01AFD6F524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40" name="TextBox 125">
          <a:extLst>
            <a:ext uri="{FF2B5EF4-FFF2-40B4-BE49-F238E27FC236}">
              <a16:creationId xmlns:a16="http://schemas.microsoft.com/office/drawing/2014/main" id="{6803EEAC-A420-4360-AA77-1FD0662703AC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41" name="TextBox 126">
          <a:extLst>
            <a:ext uri="{FF2B5EF4-FFF2-40B4-BE49-F238E27FC236}">
              <a16:creationId xmlns:a16="http://schemas.microsoft.com/office/drawing/2014/main" id="{29F9CD39-F381-4911-9D88-AE4CFED4F9D5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42" name="TextBox 127">
          <a:extLst>
            <a:ext uri="{FF2B5EF4-FFF2-40B4-BE49-F238E27FC236}">
              <a16:creationId xmlns:a16="http://schemas.microsoft.com/office/drawing/2014/main" id="{894334EC-6D5E-4083-BEB9-B44A7BB9EA63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43" name="TextBox 118">
          <a:extLst>
            <a:ext uri="{FF2B5EF4-FFF2-40B4-BE49-F238E27FC236}">
              <a16:creationId xmlns:a16="http://schemas.microsoft.com/office/drawing/2014/main" id="{9C9E7025-B9E4-487B-92F7-678D8145F33C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44" name="TextBox 119">
          <a:extLst>
            <a:ext uri="{FF2B5EF4-FFF2-40B4-BE49-F238E27FC236}">
              <a16:creationId xmlns:a16="http://schemas.microsoft.com/office/drawing/2014/main" id="{6C41E04B-4C3B-4700-9EAE-15F092879E9E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45" name="TextBox 120">
          <a:extLst>
            <a:ext uri="{FF2B5EF4-FFF2-40B4-BE49-F238E27FC236}">
              <a16:creationId xmlns:a16="http://schemas.microsoft.com/office/drawing/2014/main" id="{A74C8073-FE36-468F-8F34-B8D23212A7F5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46" name="TextBox 121">
          <a:extLst>
            <a:ext uri="{FF2B5EF4-FFF2-40B4-BE49-F238E27FC236}">
              <a16:creationId xmlns:a16="http://schemas.microsoft.com/office/drawing/2014/main" id="{E1C4A199-EC00-4371-91BA-7A57538BBBCE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47" name="TextBox 122">
          <a:extLst>
            <a:ext uri="{FF2B5EF4-FFF2-40B4-BE49-F238E27FC236}">
              <a16:creationId xmlns:a16="http://schemas.microsoft.com/office/drawing/2014/main" id="{25ECAA80-6427-4872-96C3-B76DB1DFB3B8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48" name="TextBox 113">
          <a:extLst>
            <a:ext uri="{FF2B5EF4-FFF2-40B4-BE49-F238E27FC236}">
              <a16:creationId xmlns:a16="http://schemas.microsoft.com/office/drawing/2014/main" id="{C046C012-0F62-4D46-B38E-EC85ADAACB39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49" name="TextBox 114">
          <a:extLst>
            <a:ext uri="{FF2B5EF4-FFF2-40B4-BE49-F238E27FC236}">
              <a16:creationId xmlns:a16="http://schemas.microsoft.com/office/drawing/2014/main" id="{EC92D843-4B48-4781-8984-EE2B6D603A0B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50" name="TextBox 115">
          <a:extLst>
            <a:ext uri="{FF2B5EF4-FFF2-40B4-BE49-F238E27FC236}">
              <a16:creationId xmlns:a16="http://schemas.microsoft.com/office/drawing/2014/main" id="{7A9EEC01-3D4B-4E5A-81AF-EE5487AE712D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51" name="TextBox 116">
          <a:extLst>
            <a:ext uri="{FF2B5EF4-FFF2-40B4-BE49-F238E27FC236}">
              <a16:creationId xmlns:a16="http://schemas.microsoft.com/office/drawing/2014/main" id="{4BB84636-1174-43FF-95F2-286B7F250D0F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52" name="TextBox 117">
          <a:extLst>
            <a:ext uri="{FF2B5EF4-FFF2-40B4-BE49-F238E27FC236}">
              <a16:creationId xmlns:a16="http://schemas.microsoft.com/office/drawing/2014/main" id="{213DDB8C-B017-45FE-87FB-8E894E41DCBF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53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54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55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56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57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53382333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53382333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53382333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53382333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1000-000014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1000-000015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000-000016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1000-000017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1000-000018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1000-000019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1000-00001A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1000-00001B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1000-00001C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1000-00001D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1000-00001E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1000-00001F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1000-000020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1000-000021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1000-000022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1000-000023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1000-000024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1000-000025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1000-000026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1000-000027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1000-000028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1000-000029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1000-00002A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1000-00002B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1000-00002C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1000-00002D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1000-00002E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1000-00002F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1000-000030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1000-000031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1000-000032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1000-000033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1000-000034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1000-000035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1000-000036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1000-000037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1000-000038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1000-000039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1000-00003A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1000-00003B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1000-00003C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1000-00003D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1000-00003E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1000-00003F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1000-000040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1000-000041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1000-000042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1000-000043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1000-000044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1000-000045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1000-000046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00000000-0008-0000-1000-000060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00000000-0008-0000-1000-000061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0000000-0008-0000-1000-000062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00000000-0008-0000-1000-000063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00000000-0008-0000-1000-000064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00000000-0008-0000-1000-000065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00000000-0008-0000-1000-000066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00000000-0008-0000-1000-000067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00000000-0008-0000-1000-000068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00000000-0008-0000-1000-000069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00000000-0008-0000-1000-00006A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00000000-0008-0000-1000-00006B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00000000-0008-0000-1000-00006C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00000000-0008-0000-1000-00006D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00000000-0008-0000-1000-00006E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00000000-0008-0000-1000-00006F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00000000-0008-0000-1000-000070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00000000-0008-0000-1000-000071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00000000-0008-0000-1000-000072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00000000-0008-0000-1000-000073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00000000-0008-0000-1000-000074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00000000-0008-0000-1000-000075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00000000-0008-0000-1000-000076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00000000-0008-0000-1000-000077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00000000-0008-0000-1000-000078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00000000-0008-0000-1000-000079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00000000-0008-0000-1000-00007A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00000000-0008-0000-1000-00007B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00000000-0008-0000-1000-00007C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00000000-0008-0000-1000-00007D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00000000-0008-0000-1000-00007E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00000000-0008-0000-1000-00007F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00000000-0008-0000-1000-000080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00000000-0008-0000-1000-000081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00000000-0008-0000-1000-000082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00000000-0008-0000-1000-000083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00000000-0008-0000-1000-000084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00000000-0008-0000-1000-000085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00000000-0008-0000-1000-000086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00000000-0008-0000-1000-000087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00000000-0008-0000-1000-000088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00000000-0008-0000-1000-000089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00000000-0008-0000-1000-00008A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00000000-0008-0000-1000-00008B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00000000-0008-0000-1000-00008C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00000000-0008-0000-1000-00008D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00000000-0008-0000-1000-00008E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00000000-0008-0000-1000-00008F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00000000-0008-0000-1000-000090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00000000-0008-0000-1000-000091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46" name="TextBox 120">
          <a:extLst>
            <a:ext uri="{FF2B5EF4-FFF2-40B4-BE49-F238E27FC236}">
              <a16:creationId xmlns:a16="http://schemas.microsoft.com/office/drawing/2014/main" id="{7339EDDD-F0A6-4311-8D32-91B92C5595D7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47" name="TextBox 121">
          <a:extLst>
            <a:ext uri="{FF2B5EF4-FFF2-40B4-BE49-F238E27FC236}">
              <a16:creationId xmlns:a16="http://schemas.microsoft.com/office/drawing/2014/main" id="{C664BF93-BF22-4776-9ABB-67F744D06C55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48" name="TextBox 122">
          <a:extLst>
            <a:ext uri="{FF2B5EF4-FFF2-40B4-BE49-F238E27FC236}">
              <a16:creationId xmlns:a16="http://schemas.microsoft.com/office/drawing/2014/main" id="{60D357C6-D41C-43E9-A54F-F53D26FCD4D8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49" name="TextBox 123">
          <a:extLst>
            <a:ext uri="{FF2B5EF4-FFF2-40B4-BE49-F238E27FC236}">
              <a16:creationId xmlns:a16="http://schemas.microsoft.com/office/drawing/2014/main" id="{737BE560-4428-4D47-8CD0-5AF810EBF548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50" name="TextBox 124">
          <a:extLst>
            <a:ext uri="{FF2B5EF4-FFF2-40B4-BE49-F238E27FC236}">
              <a16:creationId xmlns:a16="http://schemas.microsoft.com/office/drawing/2014/main" id="{C5CE1E3D-5C93-4F7F-B982-07CE3C74075A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51" name="TextBox 125">
          <a:extLst>
            <a:ext uri="{FF2B5EF4-FFF2-40B4-BE49-F238E27FC236}">
              <a16:creationId xmlns:a16="http://schemas.microsoft.com/office/drawing/2014/main" id="{13C69C0A-D660-4AC2-93AA-EE2664AD5EEE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52" name="TextBox 126">
          <a:extLst>
            <a:ext uri="{FF2B5EF4-FFF2-40B4-BE49-F238E27FC236}">
              <a16:creationId xmlns:a16="http://schemas.microsoft.com/office/drawing/2014/main" id="{656FCA43-7356-4988-A671-BDE6437DA13F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53" name="TextBox 127">
          <a:extLst>
            <a:ext uri="{FF2B5EF4-FFF2-40B4-BE49-F238E27FC236}">
              <a16:creationId xmlns:a16="http://schemas.microsoft.com/office/drawing/2014/main" id="{A47750D6-D4D5-4FA9-908C-2411160D8DAD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54" name="TextBox 128">
          <a:extLst>
            <a:ext uri="{FF2B5EF4-FFF2-40B4-BE49-F238E27FC236}">
              <a16:creationId xmlns:a16="http://schemas.microsoft.com/office/drawing/2014/main" id="{19610887-8C68-46F4-953C-FF5B2E49F3B4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55" name="TextBox 129">
          <a:extLst>
            <a:ext uri="{FF2B5EF4-FFF2-40B4-BE49-F238E27FC236}">
              <a16:creationId xmlns:a16="http://schemas.microsoft.com/office/drawing/2014/main" id="{0BDD9137-10FD-4E59-A8B4-BA0B79EC3C9C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56" name="TextBox 130">
          <a:extLst>
            <a:ext uri="{FF2B5EF4-FFF2-40B4-BE49-F238E27FC236}">
              <a16:creationId xmlns:a16="http://schemas.microsoft.com/office/drawing/2014/main" id="{982E05EE-9B1A-4A24-9426-6242AD7F2B1B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57" name="TextBox 131">
          <a:extLst>
            <a:ext uri="{FF2B5EF4-FFF2-40B4-BE49-F238E27FC236}">
              <a16:creationId xmlns:a16="http://schemas.microsoft.com/office/drawing/2014/main" id="{86C3D6FC-5EBC-4FB0-8929-36DB9568162E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58" name="TextBox 132">
          <a:extLst>
            <a:ext uri="{FF2B5EF4-FFF2-40B4-BE49-F238E27FC236}">
              <a16:creationId xmlns:a16="http://schemas.microsoft.com/office/drawing/2014/main" id="{CBDC54B6-6028-47AE-8528-D5BB0D017716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59" name="TextBox 133">
          <a:extLst>
            <a:ext uri="{FF2B5EF4-FFF2-40B4-BE49-F238E27FC236}">
              <a16:creationId xmlns:a16="http://schemas.microsoft.com/office/drawing/2014/main" id="{7A3C16E7-265B-4D0A-8AC4-8CC3DABE112B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60" name="TextBox 134">
          <a:extLst>
            <a:ext uri="{FF2B5EF4-FFF2-40B4-BE49-F238E27FC236}">
              <a16:creationId xmlns:a16="http://schemas.microsoft.com/office/drawing/2014/main" id="{83E04FE2-C6AE-4FC7-BE8F-6B41A2EF17DB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61" name="TextBox 135">
          <a:extLst>
            <a:ext uri="{FF2B5EF4-FFF2-40B4-BE49-F238E27FC236}">
              <a16:creationId xmlns:a16="http://schemas.microsoft.com/office/drawing/2014/main" id="{917AE795-5EA5-43CE-9E1C-F0318C43C5E4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62" name="TextBox 136">
          <a:extLst>
            <a:ext uri="{FF2B5EF4-FFF2-40B4-BE49-F238E27FC236}">
              <a16:creationId xmlns:a16="http://schemas.microsoft.com/office/drawing/2014/main" id="{1DD727B2-E02A-40BF-B5C2-224CEB54EE14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63" name="TextBox 137">
          <a:extLst>
            <a:ext uri="{FF2B5EF4-FFF2-40B4-BE49-F238E27FC236}">
              <a16:creationId xmlns:a16="http://schemas.microsoft.com/office/drawing/2014/main" id="{75AFB9BE-0E1A-41F3-AF34-F3F2DDEF86AF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64" name="TextBox 138">
          <a:extLst>
            <a:ext uri="{FF2B5EF4-FFF2-40B4-BE49-F238E27FC236}">
              <a16:creationId xmlns:a16="http://schemas.microsoft.com/office/drawing/2014/main" id="{ACCA4278-460E-47D7-A313-87CEBBD3F3A2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65" name="TextBox 139">
          <a:extLst>
            <a:ext uri="{FF2B5EF4-FFF2-40B4-BE49-F238E27FC236}">
              <a16:creationId xmlns:a16="http://schemas.microsoft.com/office/drawing/2014/main" id="{A5BC2133-52B1-43C0-ACD1-22C60A179E6E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66" name="TextBox 140">
          <a:extLst>
            <a:ext uri="{FF2B5EF4-FFF2-40B4-BE49-F238E27FC236}">
              <a16:creationId xmlns:a16="http://schemas.microsoft.com/office/drawing/2014/main" id="{697F6297-C299-43F0-8454-825714B4ECAD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67" name="TextBox 141">
          <a:extLst>
            <a:ext uri="{FF2B5EF4-FFF2-40B4-BE49-F238E27FC236}">
              <a16:creationId xmlns:a16="http://schemas.microsoft.com/office/drawing/2014/main" id="{234B0DF9-4867-424D-BD31-940C46F9E1B8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68" name="TextBox 142">
          <a:extLst>
            <a:ext uri="{FF2B5EF4-FFF2-40B4-BE49-F238E27FC236}">
              <a16:creationId xmlns:a16="http://schemas.microsoft.com/office/drawing/2014/main" id="{7AF1B0D9-D9E6-4ABD-AAD9-0E53DDD36111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69" name="TextBox 143">
          <a:extLst>
            <a:ext uri="{FF2B5EF4-FFF2-40B4-BE49-F238E27FC236}">
              <a16:creationId xmlns:a16="http://schemas.microsoft.com/office/drawing/2014/main" id="{6798D132-342B-4805-A592-B42D344F6D2C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70" name="TextBox 144">
          <a:extLst>
            <a:ext uri="{FF2B5EF4-FFF2-40B4-BE49-F238E27FC236}">
              <a16:creationId xmlns:a16="http://schemas.microsoft.com/office/drawing/2014/main" id="{827D64E8-C4E4-4D4B-B88A-FA954AFE1EAC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00000000-0008-0000-1000-000033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00000000-0008-0000-1000-000034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00000000-0008-0000-1000-000035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00000000-0008-0000-1000-000036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00000000-0008-0000-1000-000037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00000000-0008-0000-1000-000038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00000000-0008-0000-1000-000039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00000000-0008-0000-1000-00003A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00000000-0008-0000-1000-000033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00000000-0008-0000-1000-000034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00000000-0008-0000-1000-000035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00000000-0008-0000-1000-000036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00000000-0008-0000-1000-00003B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00000000-0008-0000-1000-00003C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00000000-0008-0000-1000-00003D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00000000-0008-0000-1000-00003E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00000000-0008-0000-1000-000037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00000000-0008-0000-1000-000038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00000000-0008-0000-1000-000039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00000000-0008-0000-1000-00003A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00000000-0008-0000-1000-000033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00000000-0008-0000-1000-000034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00000000-0008-0000-1000-000035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00000000-0008-0000-1000-000036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00000000-0008-0000-1000-000037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00000000-0008-0000-1000-000038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00000000-0008-0000-1000-000039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00000000-0008-0000-1000-00003A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00000000-0008-0000-1000-000033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00000000-0008-0000-1000-000034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00000000-0008-0000-1000-000035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00000000-0008-0000-1000-000036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27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28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29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30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31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6" name="TextBox 120">
          <a:extLst>
            <a:ext uri="{FF2B5EF4-FFF2-40B4-BE49-F238E27FC236}">
              <a16:creationId xmlns:a16="http://schemas.microsoft.com/office/drawing/2014/main" id="{7339EDDD-F0A6-4311-8D32-91B92C5595D7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7" name="TextBox 121">
          <a:extLst>
            <a:ext uri="{FF2B5EF4-FFF2-40B4-BE49-F238E27FC236}">
              <a16:creationId xmlns:a16="http://schemas.microsoft.com/office/drawing/2014/main" id="{C664BF93-BF22-4776-9ABB-67F744D06C55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8" name="TextBox 122">
          <a:extLst>
            <a:ext uri="{FF2B5EF4-FFF2-40B4-BE49-F238E27FC236}">
              <a16:creationId xmlns:a16="http://schemas.microsoft.com/office/drawing/2014/main" id="{60D357C6-D41C-43E9-A54F-F53D26FCD4D8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9" name="TextBox 123">
          <a:extLst>
            <a:ext uri="{FF2B5EF4-FFF2-40B4-BE49-F238E27FC236}">
              <a16:creationId xmlns:a16="http://schemas.microsoft.com/office/drawing/2014/main" id="{737BE560-4428-4D47-8CD0-5AF810EBF548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40" name="TextBox 124">
          <a:extLst>
            <a:ext uri="{FF2B5EF4-FFF2-40B4-BE49-F238E27FC236}">
              <a16:creationId xmlns:a16="http://schemas.microsoft.com/office/drawing/2014/main" id="{C5CE1E3D-5C93-4F7F-B982-07CE3C74075A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41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42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43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44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45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159500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159500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159500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159500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0" name="TextBox 125">
          <a:extLst>
            <a:ext uri="{FF2B5EF4-FFF2-40B4-BE49-F238E27FC236}">
              <a16:creationId xmlns:a16="http://schemas.microsoft.com/office/drawing/2014/main" id="{13C69C0A-D660-4AC2-93AA-EE2664AD5EEE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1" name="TextBox 126">
          <a:extLst>
            <a:ext uri="{FF2B5EF4-FFF2-40B4-BE49-F238E27FC236}">
              <a16:creationId xmlns:a16="http://schemas.microsoft.com/office/drawing/2014/main" id="{656FCA43-7356-4988-A671-BDE6437DA13F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2" name="TextBox 127">
          <a:extLst>
            <a:ext uri="{FF2B5EF4-FFF2-40B4-BE49-F238E27FC236}">
              <a16:creationId xmlns:a16="http://schemas.microsoft.com/office/drawing/2014/main" id="{A47750D6-D4D5-4FA9-908C-2411160D8DAD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3" name="TextBox 128">
          <a:extLst>
            <a:ext uri="{FF2B5EF4-FFF2-40B4-BE49-F238E27FC236}">
              <a16:creationId xmlns:a16="http://schemas.microsoft.com/office/drawing/2014/main" id="{19610887-8C68-46F4-953C-FF5B2E49F3B4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4" name="TextBox 129">
          <a:extLst>
            <a:ext uri="{FF2B5EF4-FFF2-40B4-BE49-F238E27FC236}">
              <a16:creationId xmlns:a16="http://schemas.microsoft.com/office/drawing/2014/main" id="{0BDD9137-10FD-4E59-A8B4-BA0B79EC3C9C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5" name="TextBox 120">
          <a:extLst>
            <a:ext uri="{FF2B5EF4-FFF2-40B4-BE49-F238E27FC236}">
              <a16:creationId xmlns:a16="http://schemas.microsoft.com/office/drawing/2014/main" id="{7339EDDD-F0A6-4311-8D32-91B92C5595D7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6" name="TextBox 121">
          <a:extLst>
            <a:ext uri="{FF2B5EF4-FFF2-40B4-BE49-F238E27FC236}">
              <a16:creationId xmlns:a16="http://schemas.microsoft.com/office/drawing/2014/main" id="{C664BF93-BF22-4776-9ABB-67F744D06C55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7" name="TextBox 122">
          <a:extLst>
            <a:ext uri="{FF2B5EF4-FFF2-40B4-BE49-F238E27FC236}">
              <a16:creationId xmlns:a16="http://schemas.microsoft.com/office/drawing/2014/main" id="{60D357C6-D41C-43E9-A54F-F53D26FCD4D8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8" name="TextBox 123">
          <a:extLst>
            <a:ext uri="{FF2B5EF4-FFF2-40B4-BE49-F238E27FC236}">
              <a16:creationId xmlns:a16="http://schemas.microsoft.com/office/drawing/2014/main" id="{737BE560-4428-4D47-8CD0-5AF810EBF548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9" name="TextBox 124">
          <a:extLst>
            <a:ext uri="{FF2B5EF4-FFF2-40B4-BE49-F238E27FC236}">
              <a16:creationId xmlns:a16="http://schemas.microsoft.com/office/drawing/2014/main" id="{C5CE1E3D-5C93-4F7F-B982-07CE3C74075A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60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61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62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63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64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21900444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21900444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21900444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21900444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69" name="TextBox 130">
          <a:extLst>
            <a:ext uri="{FF2B5EF4-FFF2-40B4-BE49-F238E27FC236}">
              <a16:creationId xmlns:a16="http://schemas.microsoft.com/office/drawing/2014/main" id="{982E05EE-9B1A-4A24-9426-6242AD7F2B1B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0" name="TextBox 131">
          <a:extLst>
            <a:ext uri="{FF2B5EF4-FFF2-40B4-BE49-F238E27FC236}">
              <a16:creationId xmlns:a16="http://schemas.microsoft.com/office/drawing/2014/main" id="{86C3D6FC-5EBC-4FB0-8929-36DB9568162E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1" name="TextBox 132">
          <a:extLst>
            <a:ext uri="{FF2B5EF4-FFF2-40B4-BE49-F238E27FC236}">
              <a16:creationId xmlns:a16="http://schemas.microsoft.com/office/drawing/2014/main" id="{CBDC54B6-6028-47AE-8528-D5BB0D017716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2" name="TextBox 133">
          <a:extLst>
            <a:ext uri="{FF2B5EF4-FFF2-40B4-BE49-F238E27FC236}">
              <a16:creationId xmlns:a16="http://schemas.microsoft.com/office/drawing/2014/main" id="{7A3C16E7-265B-4D0A-8AC4-8CC3DABE112B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3" name="TextBox 134">
          <a:extLst>
            <a:ext uri="{FF2B5EF4-FFF2-40B4-BE49-F238E27FC236}">
              <a16:creationId xmlns:a16="http://schemas.microsoft.com/office/drawing/2014/main" id="{83E04FE2-C6AE-4FC7-BE8F-6B41A2EF17DB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4" name="TextBox 125">
          <a:extLst>
            <a:ext uri="{FF2B5EF4-FFF2-40B4-BE49-F238E27FC236}">
              <a16:creationId xmlns:a16="http://schemas.microsoft.com/office/drawing/2014/main" id="{13C69C0A-D660-4AC2-93AA-EE2664AD5EEE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5" name="TextBox 126">
          <a:extLst>
            <a:ext uri="{FF2B5EF4-FFF2-40B4-BE49-F238E27FC236}">
              <a16:creationId xmlns:a16="http://schemas.microsoft.com/office/drawing/2014/main" id="{656FCA43-7356-4988-A671-BDE6437DA13F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6" name="TextBox 127">
          <a:extLst>
            <a:ext uri="{FF2B5EF4-FFF2-40B4-BE49-F238E27FC236}">
              <a16:creationId xmlns:a16="http://schemas.microsoft.com/office/drawing/2014/main" id="{A47750D6-D4D5-4FA9-908C-2411160D8DAD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7" name="TextBox 128">
          <a:extLst>
            <a:ext uri="{FF2B5EF4-FFF2-40B4-BE49-F238E27FC236}">
              <a16:creationId xmlns:a16="http://schemas.microsoft.com/office/drawing/2014/main" id="{19610887-8C68-46F4-953C-FF5B2E49F3B4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8" name="TextBox 129">
          <a:extLst>
            <a:ext uri="{FF2B5EF4-FFF2-40B4-BE49-F238E27FC236}">
              <a16:creationId xmlns:a16="http://schemas.microsoft.com/office/drawing/2014/main" id="{0BDD9137-10FD-4E59-A8B4-BA0B79EC3C9C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9" name="TextBox 120">
          <a:extLst>
            <a:ext uri="{FF2B5EF4-FFF2-40B4-BE49-F238E27FC236}">
              <a16:creationId xmlns:a16="http://schemas.microsoft.com/office/drawing/2014/main" id="{7339EDDD-F0A6-4311-8D32-91B92C5595D7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0" name="TextBox 121">
          <a:extLst>
            <a:ext uri="{FF2B5EF4-FFF2-40B4-BE49-F238E27FC236}">
              <a16:creationId xmlns:a16="http://schemas.microsoft.com/office/drawing/2014/main" id="{C664BF93-BF22-4776-9ABB-67F744D06C55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1" name="TextBox 122">
          <a:extLst>
            <a:ext uri="{FF2B5EF4-FFF2-40B4-BE49-F238E27FC236}">
              <a16:creationId xmlns:a16="http://schemas.microsoft.com/office/drawing/2014/main" id="{60D357C6-D41C-43E9-A54F-F53D26FCD4D8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2" name="TextBox 123">
          <a:extLst>
            <a:ext uri="{FF2B5EF4-FFF2-40B4-BE49-F238E27FC236}">
              <a16:creationId xmlns:a16="http://schemas.microsoft.com/office/drawing/2014/main" id="{737BE560-4428-4D47-8CD0-5AF810EBF548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3" name="TextBox 124">
          <a:extLst>
            <a:ext uri="{FF2B5EF4-FFF2-40B4-BE49-F238E27FC236}">
              <a16:creationId xmlns:a16="http://schemas.microsoft.com/office/drawing/2014/main" id="{C5CE1E3D-5C93-4F7F-B982-07CE3C74075A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4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5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6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7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8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37641389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37641389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37641389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37641389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93" name="TextBox 135">
          <a:extLst>
            <a:ext uri="{FF2B5EF4-FFF2-40B4-BE49-F238E27FC236}">
              <a16:creationId xmlns:a16="http://schemas.microsoft.com/office/drawing/2014/main" id="{917AE795-5EA5-43CE-9E1C-F0318C43C5E4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94" name="TextBox 136">
          <a:extLst>
            <a:ext uri="{FF2B5EF4-FFF2-40B4-BE49-F238E27FC236}">
              <a16:creationId xmlns:a16="http://schemas.microsoft.com/office/drawing/2014/main" id="{1DD727B2-E02A-40BF-B5C2-224CEB54EE14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95" name="TextBox 137">
          <a:extLst>
            <a:ext uri="{FF2B5EF4-FFF2-40B4-BE49-F238E27FC236}">
              <a16:creationId xmlns:a16="http://schemas.microsoft.com/office/drawing/2014/main" id="{75AFB9BE-0E1A-41F3-AF34-F3F2DDEF86AF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96" name="TextBox 138">
          <a:extLst>
            <a:ext uri="{FF2B5EF4-FFF2-40B4-BE49-F238E27FC236}">
              <a16:creationId xmlns:a16="http://schemas.microsoft.com/office/drawing/2014/main" id="{ACCA4278-460E-47D7-A313-87CEBBD3F3A2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97" name="TextBox 139">
          <a:extLst>
            <a:ext uri="{FF2B5EF4-FFF2-40B4-BE49-F238E27FC236}">
              <a16:creationId xmlns:a16="http://schemas.microsoft.com/office/drawing/2014/main" id="{A5BC2133-52B1-43C0-ACD1-22C60A179E6E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98" name="TextBox 130">
          <a:extLst>
            <a:ext uri="{FF2B5EF4-FFF2-40B4-BE49-F238E27FC236}">
              <a16:creationId xmlns:a16="http://schemas.microsoft.com/office/drawing/2014/main" id="{982E05EE-9B1A-4A24-9426-6242AD7F2B1B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99" name="TextBox 131">
          <a:extLst>
            <a:ext uri="{FF2B5EF4-FFF2-40B4-BE49-F238E27FC236}">
              <a16:creationId xmlns:a16="http://schemas.microsoft.com/office/drawing/2014/main" id="{86C3D6FC-5EBC-4FB0-8929-36DB9568162E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0" name="TextBox 132">
          <a:extLst>
            <a:ext uri="{FF2B5EF4-FFF2-40B4-BE49-F238E27FC236}">
              <a16:creationId xmlns:a16="http://schemas.microsoft.com/office/drawing/2014/main" id="{CBDC54B6-6028-47AE-8528-D5BB0D017716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1" name="TextBox 133">
          <a:extLst>
            <a:ext uri="{FF2B5EF4-FFF2-40B4-BE49-F238E27FC236}">
              <a16:creationId xmlns:a16="http://schemas.microsoft.com/office/drawing/2014/main" id="{7A3C16E7-265B-4D0A-8AC4-8CC3DABE112B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2" name="TextBox 134">
          <a:extLst>
            <a:ext uri="{FF2B5EF4-FFF2-40B4-BE49-F238E27FC236}">
              <a16:creationId xmlns:a16="http://schemas.microsoft.com/office/drawing/2014/main" id="{83E04FE2-C6AE-4FC7-BE8F-6B41A2EF17DB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3" name="TextBox 125">
          <a:extLst>
            <a:ext uri="{FF2B5EF4-FFF2-40B4-BE49-F238E27FC236}">
              <a16:creationId xmlns:a16="http://schemas.microsoft.com/office/drawing/2014/main" id="{13C69C0A-D660-4AC2-93AA-EE2664AD5EEE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4" name="TextBox 126">
          <a:extLst>
            <a:ext uri="{FF2B5EF4-FFF2-40B4-BE49-F238E27FC236}">
              <a16:creationId xmlns:a16="http://schemas.microsoft.com/office/drawing/2014/main" id="{656FCA43-7356-4988-A671-BDE6437DA13F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5" name="TextBox 127">
          <a:extLst>
            <a:ext uri="{FF2B5EF4-FFF2-40B4-BE49-F238E27FC236}">
              <a16:creationId xmlns:a16="http://schemas.microsoft.com/office/drawing/2014/main" id="{A47750D6-D4D5-4FA9-908C-2411160D8DAD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6" name="TextBox 128">
          <a:extLst>
            <a:ext uri="{FF2B5EF4-FFF2-40B4-BE49-F238E27FC236}">
              <a16:creationId xmlns:a16="http://schemas.microsoft.com/office/drawing/2014/main" id="{19610887-8C68-46F4-953C-FF5B2E49F3B4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7" name="TextBox 129">
          <a:extLst>
            <a:ext uri="{FF2B5EF4-FFF2-40B4-BE49-F238E27FC236}">
              <a16:creationId xmlns:a16="http://schemas.microsoft.com/office/drawing/2014/main" id="{0BDD9137-10FD-4E59-A8B4-BA0B79EC3C9C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8" name="TextBox 120">
          <a:extLst>
            <a:ext uri="{FF2B5EF4-FFF2-40B4-BE49-F238E27FC236}">
              <a16:creationId xmlns:a16="http://schemas.microsoft.com/office/drawing/2014/main" id="{7339EDDD-F0A6-4311-8D32-91B92C5595D7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9" name="TextBox 121">
          <a:extLst>
            <a:ext uri="{FF2B5EF4-FFF2-40B4-BE49-F238E27FC236}">
              <a16:creationId xmlns:a16="http://schemas.microsoft.com/office/drawing/2014/main" id="{C664BF93-BF22-4776-9ABB-67F744D06C55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0" name="TextBox 122">
          <a:extLst>
            <a:ext uri="{FF2B5EF4-FFF2-40B4-BE49-F238E27FC236}">
              <a16:creationId xmlns:a16="http://schemas.microsoft.com/office/drawing/2014/main" id="{60D357C6-D41C-43E9-A54F-F53D26FCD4D8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1" name="TextBox 123">
          <a:extLst>
            <a:ext uri="{FF2B5EF4-FFF2-40B4-BE49-F238E27FC236}">
              <a16:creationId xmlns:a16="http://schemas.microsoft.com/office/drawing/2014/main" id="{737BE560-4428-4D47-8CD0-5AF810EBF548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2" name="TextBox 124">
          <a:extLst>
            <a:ext uri="{FF2B5EF4-FFF2-40B4-BE49-F238E27FC236}">
              <a16:creationId xmlns:a16="http://schemas.microsoft.com/office/drawing/2014/main" id="{C5CE1E3D-5C93-4F7F-B982-07CE3C74075A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3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4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5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6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7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53382333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53382333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53382333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53382333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1100-00001A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1100-00001D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1100-00001F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1100-000020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1100-000021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1100-000022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1100-000023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1100-000024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1100-000025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1100-000026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1100-000027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1100-000028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1100-000029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1100-00002A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1100-00002B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1100-00002C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1100-00002D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1100-00002E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1100-00002F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1100-000030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1100-000031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1100-000032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1100-000033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1100-000034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1100-000035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1100-000036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1100-000037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1100-000038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1100-000039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1100-00003A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1100-00003B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1100-00003C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1100-00003D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1100-00003E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1100-00003F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1100-000040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1100-000041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1100-000042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1100-000043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1100-000044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1100-000045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1100-000046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1100-000047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1100-000048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1100-000049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1100-00004A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1100-00004B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1100-00004C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1100-00004D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1100-00004E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00000000-0008-0000-1100-00004F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00000000-0008-0000-1100-000050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0000000-0008-0000-1100-000051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0000000-0008-0000-1100-000052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1100-000053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0000000-0008-0000-1100-000054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0000000-0008-0000-1100-000055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0000000-0008-0000-1100-000056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00000000-0008-0000-1100-000057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00000000-0008-0000-1100-000058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00000000-0008-0000-1100-000059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00000000-0008-0000-1100-00005A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000000-0008-0000-1100-00005B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0000000-0008-0000-1100-00005C000000}"/>
            </a:ext>
          </a:extLst>
        </xdr:cNvPr>
        <xdr:cNvSpPr txBox="1"/>
      </xdr:nvSpPr>
      <xdr:spPr>
        <a:xfrm>
          <a:off x="61722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0000000-0008-0000-1100-00005D000000}"/>
            </a:ext>
          </a:extLst>
        </xdr:cNvPr>
        <xdr:cNvSpPr txBox="1"/>
      </xdr:nvSpPr>
      <xdr:spPr>
        <a:xfrm>
          <a:off x="61722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0000-0008-0000-1100-00005E000000}"/>
            </a:ext>
          </a:extLst>
        </xdr:cNvPr>
        <xdr:cNvSpPr txBox="1"/>
      </xdr:nvSpPr>
      <xdr:spPr>
        <a:xfrm>
          <a:off x="61722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0000000-0008-0000-1100-00005F000000}"/>
            </a:ext>
          </a:extLst>
        </xdr:cNvPr>
        <xdr:cNvSpPr txBox="1"/>
      </xdr:nvSpPr>
      <xdr:spPr>
        <a:xfrm>
          <a:off x="61722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00000000-0008-0000-1100-000060000000}"/>
            </a:ext>
          </a:extLst>
        </xdr:cNvPr>
        <xdr:cNvSpPr txBox="1"/>
      </xdr:nvSpPr>
      <xdr:spPr>
        <a:xfrm>
          <a:off x="61722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00000000-0008-0000-1100-000061000000}"/>
            </a:ext>
          </a:extLst>
        </xdr:cNvPr>
        <xdr:cNvSpPr txBox="1"/>
      </xdr:nvSpPr>
      <xdr:spPr>
        <a:xfrm>
          <a:off x="219456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0000000-0008-0000-1100-000062000000}"/>
            </a:ext>
          </a:extLst>
        </xdr:cNvPr>
        <xdr:cNvSpPr txBox="1"/>
      </xdr:nvSpPr>
      <xdr:spPr>
        <a:xfrm>
          <a:off x="219456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00000000-0008-0000-1100-000063000000}"/>
            </a:ext>
          </a:extLst>
        </xdr:cNvPr>
        <xdr:cNvSpPr txBox="1"/>
      </xdr:nvSpPr>
      <xdr:spPr>
        <a:xfrm>
          <a:off x="219456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00000000-0008-0000-1100-000064000000}"/>
            </a:ext>
          </a:extLst>
        </xdr:cNvPr>
        <xdr:cNvSpPr txBox="1"/>
      </xdr:nvSpPr>
      <xdr:spPr>
        <a:xfrm>
          <a:off x="219456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00000000-0008-0000-1100-000065000000}"/>
            </a:ext>
          </a:extLst>
        </xdr:cNvPr>
        <xdr:cNvSpPr txBox="1"/>
      </xdr:nvSpPr>
      <xdr:spPr>
        <a:xfrm>
          <a:off x="219456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00000000-0008-0000-1100-000066000000}"/>
            </a:ext>
          </a:extLst>
        </xdr:cNvPr>
        <xdr:cNvSpPr txBox="1"/>
      </xdr:nvSpPr>
      <xdr:spPr>
        <a:xfrm>
          <a:off x="377190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00000000-0008-0000-1100-000067000000}"/>
            </a:ext>
          </a:extLst>
        </xdr:cNvPr>
        <xdr:cNvSpPr txBox="1"/>
      </xdr:nvSpPr>
      <xdr:spPr>
        <a:xfrm>
          <a:off x="377190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00000000-0008-0000-1100-000068000000}"/>
            </a:ext>
          </a:extLst>
        </xdr:cNvPr>
        <xdr:cNvSpPr txBox="1"/>
      </xdr:nvSpPr>
      <xdr:spPr>
        <a:xfrm>
          <a:off x="377190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00000000-0008-0000-1100-000069000000}"/>
            </a:ext>
          </a:extLst>
        </xdr:cNvPr>
        <xdr:cNvSpPr txBox="1"/>
      </xdr:nvSpPr>
      <xdr:spPr>
        <a:xfrm>
          <a:off x="377190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00000000-0008-0000-1100-00006A000000}"/>
            </a:ext>
          </a:extLst>
        </xdr:cNvPr>
        <xdr:cNvSpPr txBox="1"/>
      </xdr:nvSpPr>
      <xdr:spPr>
        <a:xfrm>
          <a:off x="377190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00000000-0008-0000-1100-00006B000000}"/>
            </a:ext>
          </a:extLst>
        </xdr:cNvPr>
        <xdr:cNvSpPr txBox="1"/>
      </xdr:nvSpPr>
      <xdr:spPr>
        <a:xfrm>
          <a:off x="534924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00000000-0008-0000-1100-00006C000000}"/>
            </a:ext>
          </a:extLst>
        </xdr:cNvPr>
        <xdr:cNvSpPr txBox="1"/>
      </xdr:nvSpPr>
      <xdr:spPr>
        <a:xfrm>
          <a:off x="534924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00000000-0008-0000-1100-00006D000000}"/>
            </a:ext>
          </a:extLst>
        </xdr:cNvPr>
        <xdr:cNvSpPr txBox="1"/>
      </xdr:nvSpPr>
      <xdr:spPr>
        <a:xfrm>
          <a:off x="534924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00000000-0008-0000-1100-00006E000000}"/>
            </a:ext>
          </a:extLst>
        </xdr:cNvPr>
        <xdr:cNvSpPr txBox="1"/>
      </xdr:nvSpPr>
      <xdr:spPr>
        <a:xfrm>
          <a:off x="534924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00000000-0008-0000-1100-00006F000000}"/>
            </a:ext>
          </a:extLst>
        </xdr:cNvPr>
        <xdr:cNvSpPr txBox="1"/>
      </xdr:nvSpPr>
      <xdr:spPr>
        <a:xfrm>
          <a:off x="534924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00000000-0008-0000-1100-000070000000}"/>
            </a:ext>
          </a:extLst>
        </xdr:cNvPr>
        <xdr:cNvSpPr txBox="1"/>
      </xdr:nvSpPr>
      <xdr:spPr>
        <a:xfrm>
          <a:off x="692658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00000000-0008-0000-1100-000071000000}"/>
            </a:ext>
          </a:extLst>
        </xdr:cNvPr>
        <xdr:cNvSpPr txBox="1"/>
      </xdr:nvSpPr>
      <xdr:spPr>
        <a:xfrm>
          <a:off x="692658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00000000-0008-0000-1100-000072000000}"/>
            </a:ext>
          </a:extLst>
        </xdr:cNvPr>
        <xdr:cNvSpPr txBox="1"/>
      </xdr:nvSpPr>
      <xdr:spPr>
        <a:xfrm>
          <a:off x="692658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00000000-0008-0000-1100-000073000000}"/>
            </a:ext>
          </a:extLst>
        </xdr:cNvPr>
        <xdr:cNvSpPr txBox="1"/>
      </xdr:nvSpPr>
      <xdr:spPr>
        <a:xfrm>
          <a:off x="692658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00000000-0008-0000-1100-000074000000}"/>
            </a:ext>
          </a:extLst>
        </xdr:cNvPr>
        <xdr:cNvSpPr txBox="1"/>
      </xdr:nvSpPr>
      <xdr:spPr>
        <a:xfrm>
          <a:off x="692658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17" name="TextBox 91">
          <a:extLst>
            <a:ext uri="{FF2B5EF4-FFF2-40B4-BE49-F238E27FC236}">
              <a16:creationId xmlns:a16="http://schemas.microsoft.com/office/drawing/2014/main" id="{9D61B7CA-7D78-45DF-AE0F-95D50C596C45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18" name="TextBox 92">
          <a:extLst>
            <a:ext uri="{FF2B5EF4-FFF2-40B4-BE49-F238E27FC236}">
              <a16:creationId xmlns:a16="http://schemas.microsoft.com/office/drawing/2014/main" id="{B0A9FB78-50C2-442A-B9DD-F203EFE6F735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19" name="TextBox 93">
          <a:extLst>
            <a:ext uri="{FF2B5EF4-FFF2-40B4-BE49-F238E27FC236}">
              <a16:creationId xmlns:a16="http://schemas.microsoft.com/office/drawing/2014/main" id="{021E8026-35B7-4782-8396-5C76CD5415D6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20" name="TextBox 94">
          <a:extLst>
            <a:ext uri="{FF2B5EF4-FFF2-40B4-BE49-F238E27FC236}">
              <a16:creationId xmlns:a16="http://schemas.microsoft.com/office/drawing/2014/main" id="{9715C024-7C8F-4FC1-9283-6689EF260A83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21" name="TextBox 95">
          <a:extLst>
            <a:ext uri="{FF2B5EF4-FFF2-40B4-BE49-F238E27FC236}">
              <a16:creationId xmlns:a16="http://schemas.microsoft.com/office/drawing/2014/main" id="{B10369B2-F943-49C4-8E39-2138D0CD84E5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22" name="TextBox 96">
          <a:extLst>
            <a:ext uri="{FF2B5EF4-FFF2-40B4-BE49-F238E27FC236}">
              <a16:creationId xmlns:a16="http://schemas.microsoft.com/office/drawing/2014/main" id="{00E2193A-0DC1-4646-8915-DC09DB8C9DD4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23" name="TextBox 97">
          <a:extLst>
            <a:ext uri="{FF2B5EF4-FFF2-40B4-BE49-F238E27FC236}">
              <a16:creationId xmlns:a16="http://schemas.microsoft.com/office/drawing/2014/main" id="{87B24255-F8C1-45CA-BF4E-AC782B1B7038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24" name="TextBox 98">
          <a:extLst>
            <a:ext uri="{FF2B5EF4-FFF2-40B4-BE49-F238E27FC236}">
              <a16:creationId xmlns:a16="http://schemas.microsoft.com/office/drawing/2014/main" id="{F765D0CE-B72C-4B2A-82D2-09D42E89EEA7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25" name="TextBox 99">
          <a:extLst>
            <a:ext uri="{FF2B5EF4-FFF2-40B4-BE49-F238E27FC236}">
              <a16:creationId xmlns:a16="http://schemas.microsoft.com/office/drawing/2014/main" id="{D7F9A973-73D0-47B6-ABF0-703117B44809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26" name="TextBox 100">
          <a:extLst>
            <a:ext uri="{FF2B5EF4-FFF2-40B4-BE49-F238E27FC236}">
              <a16:creationId xmlns:a16="http://schemas.microsoft.com/office/drawing/2014/main" id="{453CCD33-800D-4A0D-85E8-61C6E8FA3E9B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27" name="TextBox 101">
          <a:extLst>
            <a:ext uri="{FF2B5EF4-FFF2-40B4-BE49-F238E27FC236}">
              <a16:creationId xmlns:a16="http://schemas.microsoft.com/office/drawing/2014/main" id="{D3621B4D-EF95-4F37-97D5-A149AF4C92A6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28" name="TextBox 102">
          <a:extLst>
            <a:ext uri="{FF2B5EF4-FFF2-40B4-BE49-F238E27FC236}">
              <a16:creationId xmlns:a16="http://schemas.microsoft.com/office/drawing/2014/main" id="{FBF9EB8A-F1A3-454F-B1AE-EBD7BD58E6D9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29" name="TextBox 103">
          <a:extLst>
            <a:ext uri="{FF2B5EF4-FFF2-40B4-BE49-F238E27FC236}">
              <a16:creationId xmlns:a16="http://schemas.microsoft.com/office/drawing/2014/main" id="{7638EA05-2399-432E-B3FF-F55BEF8FDF14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30" name="TextBox 104">
          <a:extLst>
            <a:ext uri="{FF2B5EF4-FFF2-40B4-BE49-F238E27FC236}">
              <a16:creationId xmlns:a16="http://schemas.microsoft.com/office/drawing/2014/main" id="{51A6CE60-D45B-439B-BBD8-CCFF47501B82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31" name="TextBox 105">
          <a:extLst>
            <a:ext uri="{FF2B5EF4-FFF2-40B4-BE49-F238E27FC236}">
              <a16:creationId xmlns:a16="http://schemas.microsoft.com/office/drawing/2014/main" id="{3150E7F6-FE2B-4C8D-94BD-898A55ADC2CA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32" name="TextBox 106">
          <a:extLst>
            <a:ext uri="{FF2B5EF4-FFF2-40B4-BE49-F238E27FC236}">
              <a16:creationId xmlns:a16="http://schemas.microsoft.com/office/drawing/2014/main" id="{1E5ED1DD-25FE-439F-B1D3-2892DB5F1DFB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33" name="TextBox 107">
          <a:extLst>
            <a:ext uri="{FF2B5EF4-FFF2-40B4-BE49-F238E27FC236}">
              <a16:creationId xmlns:a16="http://schemas.microsoft.com/office/drawing/2014/main" id="{42C4A165-E850-4681-B950-FB51F1629523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34" name="TextBox 108">
          <a:extLst>
            <a:ext uri="{FF2B5EF4-FFF2-40B4-BE49-F238E27FC236}">
              <a16:creationId xmlns:a16="http://schemas.microsoft.com/office/drawing/2014/main" id="{395EB09D-D1B1-429A-AD74-8C0CEEDF1C72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35" name="TextBox 109">
          <a:extLst>
            <a:ext uri="{FF2B5EF4-FFF2-40B4-BE49-F238E27FC236}">
              <a16:creationId xmlns:a16="http://schemas.microsoft.com/office/drawing/2014/main" id="{933BD4E1-ABEF-4ED4-B1B8-2BB24722FBF4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36" name="TextBox 110">
          <a:extLst>
            <a:ext uri="{FF2B5EF4-FFF2-40B4-BE49-F238E27FC236}">
              <a16:creationId xmlns:a16="http://schemas.microsoft.com/office/drawing/2014/main" id="{2526DDAC-A37B-4DE7-A1A4-8E854A2B6351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37" name="TextBox 111">
          <a:extLst>
            <a:ext uri="{FF2B5EF4-FFF2-40B4-BE49-F238E27FC236}">
              <a16:creationId xmlns:a16="http://schemas.microsoft.com/office/drawing/2014/main" id="{032F93CC-588D-482A-B925-3430F5B51C59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38" name="TextBox 112">
          <a:extLst>
            <a:ext uri="{FF2B5EF4-FFF2-40B4-BE49-F238E27FC236}">
              <a16:creationId xmlns:a16="http://schemas.microsoft.com/office/drawing/2014/main" id="{DFBF251F-C043-4F1F-97C3-D77E41AA7A37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39" name="TextBox 113">
          <a:extLst>
            <a:ext uri="{FF2B5EF4-FFF2-40B4-BE49-F238E27FC236}">
              <a16:creationId xmlns:a16="http://schemas.microsoft.com/office/drawing/2014/main" id="{7AD0683A-6174-419E-8C72-ED7A319A5D22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40" name="TextBox 114">
          <a:extLst>
            <a:ext uri="{FF2B5EF4-FFF2-40B4-BE49-F238E27FC236}">
              <a16:creationId xmlns:a16="http://schemas.microsoft.com/office/drawing/2014/main" id="{0CB847F1-9367-4E5A-9485-3C6CAF3B3909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41" name="TextBox 115">
          <a:extLst>
            <a:ext uri="{FF2B5EF4-FFF2-40B4-BE49-F238E27FC236}">
              <a16:creationId xmlns:a16="http://schemas.microsoft.com/office/drawing/2014/main" id="{4CE66A6B-8009-46D6-9D26-0F449F361DA9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00000000-0008-0000-1100-00002F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00000000-0008-0000-1100-000030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00000000-0008-0000-1100-000031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00000000-0008-0000-1100-000032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00000000-0008-0000-1100-000033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00000000-0008-0000-1100-000034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00000000-0008-0000-1100-000035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00000000-0008-0000-1100-000036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00000000-0008-0000-1100-00002F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00000000-0008-0000-1100-000030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00000000-0008-0000-1100-000031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00000000-0008-0000-1100-000032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00000000-0008-0000-1100-000037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00000000-0008-0000-1100-000038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00000000-0008-0000-1100-000039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00000000-0008-0000-1100-00003A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00000000-0008-0000-1100-000033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00000000-0008-0000-1100-000034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00000000-0008-0000-1100-000035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00000000-0008-0000-1100-000036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00000000-0008-0000-1100-00002F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00000000-0008-0000-1100-000030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00000000-0008-0000-1100-000031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00000000-0008-0000-1100-000032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00000000-0008-0000-1100-00003B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00000000-0008-0000-1100-00003C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00000000-0008-0000-1100-00003D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00000000-0008-0000-1100-00003E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00000000-0008-0000-1100-000037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00000000-0008-0000-1100-000038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00000000-0008-0000-1100-000039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00000000-0008-0000-1100-00003A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00000000-0008-0000-1100-000033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00000000-0008-0000-1100-000034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00000000-0008-0000-1100-000035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00000000-0008-0000-1100-000036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00000000-0008-0000-1100-00002F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00000000-0008-0000-1100-000030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00000000-0008-0000-1100-000031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00000000-0008-0000-1100-000032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10" name="TextBox 120">
          <a:extLst>
            <a:ext uri="{FF2B5EF4-FFF2-40B4-BE49-F238E27FC236}">
              <a16:creationId xmlns:a16="http://schemas.microsoft.com/office/drawing/2014/main" id="{7339EDDD-F0A6-4311-8D32-91B92C5595D7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11" name="TextBox 121">
          <a:extLst>
            <a:ext uri="{FF2B5EF4-FFF2-40B4-BE49-F238E27FC236}">
              <a16:creationId xmlns:a16="http://schemas.microsoft.com/office/drawing/2014/main" id="{C664BF93-BF22-4776-9ABB-67F744D06C55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12" name="TextBox 122">
          <a:extLst>
            <a:ext uri="{FF2B5EF4-FFF2-40B4-BE49-F238E27FC236}">
              <a16:creationId xmlns:a16="http://schemas.microsoft.com/office/drawing/2014/main" id="{60D357C6-D41C-43E9-A54F-F53D26FCD4D8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13" name="TextBox 123">
          <a:extLst>
            <a:ext uri="{FF2B5EF4-FFF2-40B4-BE49-F238E27FC236}">
              <a16:creationId xmlns:a16="http://schemas.microsoft.com/office/drawing/2014/main" id="{737BE560-4428-4D47-8CD0-5AF810EBF548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14" name="TextBox 124">
          <a:extLst>
            <a:ext uri="{FF2B5EF4-FFF2-40B4-BE49-F238E27FC236}">
              <a16:creationId xmlns:a16="http://schemas.microsoft.com/office/drawing/2014/main" id="{C5CE1E3D-5C93-4F7F-B982-07CE3C74075A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15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16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17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18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19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24" name="TextBox 91">
          <a:extLst>
            <a:ext uri="{FF2B5EF4-FFF2-40B4-BE49-F238E27FC236}">
              <a16:creationId xmlns:a16="http://schemas.microsoft.com/office/drawing/2014/main" id="{9D61B7CA-7D78-45DF-AE0F-95D50C596C45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25" name="TextBox 92">
          <a:extLst>
            <a:ext uri="{FF2B5EF4-FFF2-40B4-BE49-F238E27FC236}">
              <a16:creationId xmlns:a16="http://schemas.microsoft.com/office/drawing/2014/main" id="{B0A9FB78-50C2-442A-B9DD-F203EFE6F735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26" name="TextBox 93">
          <a:extLst>
            <a:ext uri="{FF2B5EF4-FFF2-40B4-BE49-F238E27FC236}">
              <a16:creationId xmlns:a16="http://schemas.microsoft.com/office/drawing/2014/main" id="{021E8026-35B7-4782-8396-5C76CD5415D6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27" name="TextBox 94">
          <a:extLst>
            <a:ext uri="{FF2B5EF4-FFF2-40B4-BE49-F238E27FC236}">
              <a16:creationId xmlns:a16="http://schemas.microsoft.com/office/drawing/2014/main" id="{9715C024-7C8F-4FC1-9283-6689EF260A83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28" name="TextBox 95">
          <a:extLst>
            <a:ext uri="{FF2B5EF4-FFF2-40B4-BE49-F238E27FC236}">
              <a16:creationId xmlns:a16="http://schemas.microsoft.com/office/drawing/2014/main" id="{B10369B2-F943-49C4-8E39-2138D0CD84E5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29" name="TextBox 120">
          <a:extLst>
            <a:ext uri="{FF2B5EF4-FFF2-40B4-BE49-F238E27FC236}">
              <a16:creationId xmlns:a16="http://schemas.microsoft.com/office/drawing/2014/main" id="{7339EDDD-F0A6-4311-8D32-91B92C5595D7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0" name="TextBox 121">
          <a:extLst>
            <a:ext uri="{FF2B5EF4-FFF2-40B4-BE49-F238E27FC236}">
              <a16:creationId xmlns:a16="http://schemas.microsoft.com/office/drawing/2014/main" id="{C664BF93-BF22-4776-9ABB-67F744D06C55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1" name="TextBox 122">
          <a:extLst>
            <a:ext uri="{FF2B5EF4-FFF2-40B4-BE49-F238E27FC236}">
              <a16:creationId xmlns:a16="http://schemas.microsoft.com/office/drawing/2014/main" id="{60D357C6-D41C-43E9-A54F-F53D26FCD4D8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2" name="TextBox 123">
          <a:extLst>
            <a:ext uri="{FF2B5EF4-FFF2-40B4-BE49-F238E27FC236}">
              <a16:creationId xmlns:a16="http://schemas.microsoft.com/office/drawing/2014/main" id="{737BE560-4428-4D47-8CD0-5AF810EBF548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3" name="TextBox 124">
          <a:extLst>
            <a:ext uri="{FF2B5EF4-FFF2-40B4-BE49-F238E27FC236}">
              <a16:creationId xmlns:a16="http://schemas.microsoft.com/office/drawing/2014/main" id="{C5CE1E3D-5C93-4F7F-B982-07CE3C74075A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4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5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6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7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8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182591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182591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182591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182591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43" name="TextBox 96">
          <a:extLst>
            <a:ext uri="{FF2B5EF4-FFF2-40B4-BE49-F238E27FC236}">
              <a16:creationId xmlns:a16="http://schemas.microsoft.com/office/drawing/2014/main" id="{00E2193A-0DC1-4646-8915-DC09DB8C9DD4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44" name="TextBox 97">
          <a:extLst>
            <a:ext uri="{FF2B5EF4-FFF2-40B4-BE49-F238E27FC236}">
              <a16:creationId xmlns:a16="http://schemas.microsoft.com/office/drawing/2014/main" id="{87B24255-F8C1-45CA-BF4E-AC782B1B7038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45" name="TextBox 98">
          <a:extLst>
            <a:ext uri="{FF2B5EF4-FFF2-40B4-BE49-F238E27FC236}">
              <a16:creationId xmlns:a16="http://schemas.microsoft.com/office/drawing/2014/main" id="{F765D0CE-B72C-4B2A-82D2-09D42E89EEA7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46" name="TextBox 99">
          <a:extLst>
            <a:ext uri="{FF2B5EF4-FFF2-40B4-BE49-F238E27FC236}">
              <a16:creationId xmlns:a16="http://schemas.microsoft.com/office/drawing/2014/main" id="{D7F9A973-73D0-47B6-ABF0-703117B44809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47" name="TextBox 100">
          <a:extLst>
            <a:ext uri="{FF2B5EF4-FFF2-40B4-BE49-F238E27FC236}">
              <a16:creationId xmlns:a16="http://schemas.microsoft.com/office/drawing/2014/main" id="{453CCD33-800D-4A0D-85E8-61C6E8FA3E9B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48" name="TextBox 91">
          <a:extLst>
            <a:ext uri="{FF2B5EF4-FFF2-40B4-BE49-F238E27FC236}">
              <a16:creationId xmlns:a16="http://schemas.microsoft.com/office/drawing/2014/main" id="{9D61B7CA-7D78-45DF-AE0F-95D50C596C45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49" name="TextBox 92">
          <a:extLst>
            <a:ext uri="{FF2B5EF4-FFF2-40B4-BE49-F238E27FC236}">
              <a16:creationId xmlns:a16="http://schemas.microsoft.com/office/drawing/2014/main" id="{B0A9FB78-50C2-442A-B9DD-F203EFE6F735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0" name="TextBox 93">
          <a:extLst>
            <a:ext uri="{FF2B5EF4-FFF2-40B4-BE49-F238E27FC236}">
              <a16:creationId xmlns:a16="http://schemas.microsoft.com/office/drawing/2014/main" id="{021E8026-35B7-4782-8396-5C76CD5415D6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1" name="TextBox 94">
          <a:extLst>
            <a:ext uri="{FF2B5EF4-FFF2-40B4-BE49-F238E27FC236}">
              <a16:creationId xmlns:a16="http://schemas.microsoft.com/office/drawing/2014/main" id="{9715C024-7C8F-4FC1-9283-6689EF260A83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2" name="TextBox 95">
          <a:extLst>
            <a:ext uri="{FF2B5EF4-FFF2-40B4-BE49-F238E27FC236}">
              <a16:creationId xmlns:a16="http://schemas.microsoft.com/office/drawing/2014/main" id="{B10369B2-F943-49C4-8E39-2138D0CD84E5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3" name="TextBox 120">
          <a:extLst>
            <a:ext uri="{FF2B5EF4-FFF2-40B4-BE49-F238E27FC236}">
              <a16:creationId xmlns:a16="http://schemas.microsoft.com/office/drawing/2014/main" id="{7339EDDD-F0A6-4311-8D32-91B92C5595D7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4" name="TextBox 121">
          <a:extLst>
            <a:ext uri="{FF2B5EF4-FFF2-40B4-BE49-F238E27FC236}">
              <a16:creationId xmlns:a16="http://schemas.microsoft.com/office/drawing/2014/main" id="{C664BF93-BF22-4776-9ABB-67F744D06C55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5" name="TextBox 122">
          <a:extLst>
            <a:ext uri="{FF2B5EF4-FFF2-40B4-BE49-F238E27FC236}">
              <a16:creationId xmlns:a16="http://schemas.microsoft.com/office/drawing/2014/main" id="{60D357C6-D41C-43E9-A54F-F53D26FCD4D8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6" name="TextBox 123">
          <a:extLst>
            <a:ext uri="{FF2B5EF4-FFF2-40B4-BE49-F238E27FC236}">
              <a16:creationId xmlns:a16="http://schemas.microsoft.com/office/drawing/2014/main" id="{737BE560-4428-4D47-8CD0-5AF810EBF548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7" name="TextBox 124">
          <a:extLst>
            <a:ext uri="{FF2B5EF4-FFF2-40B4-BE49-F238E27FC236}">
              <a16:creationId xmlns:a16="http://schemas.microsoft.com/office/drawing/2014/main" id="{C5CE1E3D-5C93-4F7F-B982-07CE3C74075A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8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9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60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61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62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21982545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21982545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21982545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21982545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67" name="TextBox 101">
          <a:extLst>
            <a:ext uri="{FF2B5EF4-FFF2-40B4-BE49-F238E27FC236}">
              <a16:creationId xmlns:a16="http://schemas.microsoft.com/office/drawing/2014/main" id="{D3621B4D-EF95-4F37-97D5-A149AF4C92A6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68" name="TextBox 102">
          <a:extLst>
            <a:ext uri="{FF2B5EF4-FFF2-40B4-BE49-F238E27FC236}">
              <a16:creationId xmlns:a16="http://schemas.microsoft.com/office/drawing/2014/main" id="{FBF9EB8A-F1A3-454F-B1AE-EBD7BD58E6D9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69" name="TextBox 103">
          <a:extLst>
            <a:ext uri="{FF2B5EF4-FFF2-40B4-BE49-F238E27FC236}">
              <a16:creationId xmlns:a16="http://schemas.microsoft.com/office/drawing/2014/main" id="{7638EA05-2399-432E-B3FF-F55BEF8FDF14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0" name="TextBox 104">
          <a:extLst>
            <a:ext uri="{FF2B5EF4-FFF2-40B4-BE49-F238E27FC236}">
              <a16:creationId xmlns:a16="http://schemas.microsoft.com/office/drawing/2014/main" id="{51A6CE60-D45B-439B-BBD8-CCFF47501B82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1" name="TextBox 105">
          <a:extLst>
            <a:ext uri="{FF2B5EF4-FFF2-40B4-BE49-F238E27FC236}">
              <a16:creationId xmlns:a16="http://schemas.microsoft.com/office/drawing/2014/main" id="{3150E7F6-FE2B-4C8D-94BD-898A55ADC2CA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2" name="TextBox 96">
          <a:extLst>
            <a:ext uri="{FF2B5EF4-FFF2-40B4-BE49-F238E27FC236}">
              <a16:creationId xmlns:a16="http://schemas.microsoft.com/office/drawing/2014/main" id="{00E2193A-0DC1-4646-8915-DC09DB8C9DD4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3" name="TextBox 97">
          <a:extLst>
            <a:ext uri="{FF2B5EF4-FFF2-40B4-BE49-F238E27FC236}">
              <a16:creationId xmlns:a16="http://schemas.microsoft.com/office/drawing/2014/main" id="{87B24255-F8C1-45CA-BF4E-AC782B1B7038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4" name="TextBox 98">
          <a:extLst>
            <a:ext uri="{FF2B5EF4-FFF2-40B4-BE49-F238E27FC236}">
              <a16:creationId xmlns:a16="http://schemas.microsoft.com/office/drawing/2014/main" id="{F765D0CE-B72C-4B2A-82D2-09D42E89EEA7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5" name="TextBox 99">
          <a:extLst>
            <a:ext uri="{FF2B5EF4-FFF2-40B4-BE49-F238E27FC236}">
              <a16:creationId xmlns:a16="http://schemas.microsoft.com/office/drawing/2014/main" id="{D7F9A973-73D0-47B6-ABF0-703117B44809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6" name="TextBox 100">
          <a:extLst>
            <a:ext uri="{FF2B5EF4-FFF2-40B4-BE49-F238E27FC236}">
              <a16:creationId xmlns:a16="http://schemas.microsoft.com/office/drawing/2014/main" id="{453CCD33-800D-4A0D-85E8-61C6E8FA3E9B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7" name="TextBox 91">
          <a:extLst>
            <a:ext uri="{FF2B5EF4-FFF2-40B4-BE49-F238E27FC236}">
              <a16:creationId xmlns:a16="http://schemas.microsoft.com/office/drawing/2014/main" id="{9D61B7CA-7D78-45DF-AE0F-95D50C596C45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8" name="TextBox 92">
          <a:extLst>
            <a:ext uri="{FF2B5EF4-FFF2-40B4-BE49-F238E27FC236}">
              <a16:creationId xmlns:a16="http://schemas.microsoft.com/office/drawing/2014/main" id="{B0A9FB78-50C2-442A-B9DD-F203EFE6F735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9" name="TextBox 93">
          <a:extLst>
            <a:ext uri="{FF2B5EF4-FFF2-40B4-BE49-F238E27FC236}">
              <a16:creationId xmlns:a16="http://schemas.microsoft.com/office/drawing/2014/main" id="{021E8026-35B7-4782-8396-5C76CD5415D6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0" name="TextBox 94">
          <a:extLst>
            <a:ext uri="{FF2B5EF4-FFF2-40B4-BE49-F238E27FC236}">
              <a16:creationId xmlns:a16="http://schemas.microsoft.com/office/drawing/2014/main" id="{9715C024-7C8F-4FC1-9283-6689EF260A83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1" name="TextBox 95">
          <a:extLst>
            <a:ext uri="{FF2B5EF4-FFF2-40B4-BE49-F238E27FC236}">
              <a16:creationId xmlns:a16="http://schemas.microsoft.com/office/drawing/2014/main" id="{B10369B2-F943-49C4-8E39-2138D0CD84E5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2" name="TextBox 120">
          <a:extLst>
            <a:ext uri="{FF2B5EF4-FFF2-40B4-BE49-F238E27FC236}">
              <a16:creationId xmlns:a16="http://schemas.microsoft.com/office/drawing/2014/main" id="{7339EDDD-F0A6-4311-8D32-91B92C5595D7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3" name="TextBox 121">
          <a:extLst>
            <a:ext uri="{FF2B5EF4-FFF2-40B4-BE49-F238E27FC236}">
              <a16:creationId xmlns:a16="http://schemas.microsoft.com/office/drawing/2014/main" id="{C664BF93-BF22-4776-9ABB-67F744D06C55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4" name="TextBox 122">
          <a:extLst>
            <a:ext uri="{FF2B5EF4-FFF2-40B4-BE49-F238E27FC236}">
              <a16:creationId xmlns:a16="http://schemas.microsoft.com/office/drawing/2014/main" id="{60D357C6-D41C-43E9-A54F-F53D26FCD4D8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5" name="TextBox 123">
          <a:extLst>
            <a:ext uri="{FF2B5EF4-FFF2-40B4-BE49-F238E27FC236}">
              <a16:creationId xmlns:a16="http://schemas.microsoft.com/office/drawing/2014/main" id="{737BE560-4428-4D47-8CD0-5AF810EBF548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6" name="TextBox 124">
          <a:extLst>
            <a:ext uri="{FF2B5EF4-FFF2-40B4-BE49-F238E27FC236}">
              <a16:creationId xmlns:a16="http://schemas.microsoft.com/office/drawing/2014/main" id="{C5CE1E3D-5C93-4F7F-B982-07CE3C74075A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7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8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9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90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91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37782500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37782500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37782500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37782500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96" name="TextBox 106">
          <a:extLst>
            <a:ext uri="{FF2B5EF4-FFF2-40B4-BE49-F238E27FC236}">
              <a16:creationId xmlns:a16="http://schemas.microsoft.com/office/drawing/2014/main" id="{1E5ED1DD-25FE-439F-B1D3-2892DB5F1DFB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97" name="TextBox 107">
          <a:extLst>
            <a:ext uri="{FF2B5EF4-FFF2-40B4-BE49-F238E27FC236}">
              <a16:creationId xmlns:a16="http://schemas.microsoft.com/office/drawing/2014/main" id="{42C4A165-E850-4681-B950-FB51F1629523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98" name="TextBox 108">
          <a:extLst>
            <a:ext uri="{FF2B5EF4-FFF2-40B4-BE49-F238E27FC236}">
              <a16:creationId xmlns:a16="http://schemas.microsoft.com/office/drawing/2014/main" id="{395EB09D-D1B1-429A-AD74-8C0CEEDF1C72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99" name="TextBox 109">
          <a:extLst>
            <a:ext uri="{FF2B5EF4-FFF2-40B4-BE49-F238E27FC236}">
              <a16:creationId xmlns:a16="http://schemas.microsoft.com/office/drawing/2014/main" id="{933BD4E1-ABEF-4ED4-B1B8-2BB24722FBF4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0" name="TextBox 110">
          <a:extLst>
            <a:ext uri="{FF2B5EF4-FFF2-40B4-BE49-F238E27FC236}">
              <a16:creationId xmlns:a16="http://schemas.microsoft.com/office/drawing/2014/main" id="{2526DDAC-A37B-4DE7-A1A4-8E854A2B6351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1" name="TextBox 101">
          <a:extLst>
            <a:ext uri="{FF2B5EF4-FFF2-40B4-BE49-F238E27FC236}">
              <a16:creationId xmlns:a16="http://schemas.microsoft.com/office/drawing/2014/main" id="{D3621B4D-EF95-4F37-97D5-A149AF4C92A6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2" name="TextBox 102">
          <a:extLst>
            <a:ext uri="{FF2B5EF4-FFF2-40B4-BE49-F238E27FC236}">
              <a16:creationId xmlns:a16="http://schemas.microsoft.com/office/drawing/2014/main" id="{FBF9EB8A-F1A3-454F-B1AE-EBD7BD58E6D9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3" name="TextBox 103">
          <a:extLst>
            <a:ext uri="{FF2B5EF4-FFF2-40B4-BE49-F238E27FC236}">
              <a16:creationId xmlns:a16="http://schemas.microsoft.com/office/drawing/2014/main" id="{7638EA05-2399-432E-B3FF-F55BEF8FDF14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4" name="TextBox 104">
          <a:extLst>
            <a:ext uri="{FF2B5EF4-FFF2-40B4-BE49-F238E27FC236}">
              <a16:creationId xmlns:a16="http://schemas.microsoft.com/office/drawing/2014/main" id="{51A6CE60-D45B-439B-BBD8-CCFF47501B82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5" name="TextBox 105">
          <a:extLst>
            <a:ext uri="{FF2B5EF4-FFF2-40B4-BE49-F238E27FC236}">
              <a16:creationId xmlns:a16="http://schemas.microsoft.com/office/drawing/2014/main" id="{3150E7F6-FE2B-4C8D-94BD-898A55ADC2CA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6" name="TextBox 96">
          <a:extLst>
            <a:ext uri="{FF2B5EF4-FFF2-40B4-BE49-F238E27FC236}">
              <a16:creationId xmlns:a16="http://schemas.microsoft.com/office/drawing/2014/main" id="{00E2193A-0DC1-4646-8915-DC09DB8C9DD4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7" name="TextBox 97">
          <a:extLst>
            <a:ext uri="{FF2B5EF4-FFF2-40B4-BE49-F238E27FC236}">
              <a16:creationId xmlns:a16="http://schemas.microsoft.com/office/drawing/2014/main" id="{87B24255-F8C1-45CA-BF4E-AC782B1B7038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8" name="TextBox 98">
          <a:extLst>
            <a:ext uri="{FF2B5EF4-FFF2-40B4-BE49-F238E27FC236}">
              <a16:creationId xmlns:a16="http://schemas.microsoft.com/office/drawing/2014/main" id="{F765D0CE-B72C-4B2A-82D2-09D42E89EEA7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9" name="TextBox 99">
          <a:extLst>
            <a:ext uri="{FF2B5EF4-FFF2-40B4-BE49-F238E27FC236}">
              <a16:creationId xmlns:a16="http://schemas.microsoft.com/office/drawing/2014/main" id="{D7F9A973-73D0-47B6-ABF0-703117B44809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0" name="TextBox 100">
          <a:extLst>
            <a:ext uri="{FF2B5EF4-FFF2-40B4-BE49-F238E27FC236}">
              <a16:creationId xmlns:a16="http://schemas.microsoft.com/office/drawing/2014/main" id="{453CCD33-800D-4A0D-85E8-61C6E8FA3E9B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1" name="TextBox 91">
          <a:extLst>
            <a:ext uri="{FF2B5EF4-FFF2-40B4-BE49-F238E27FC236}">
              <a16:creationId xmlns:a16="http://schemas.microsoft.com/office/drawing/2014/main" id="{9D61B7CA-7D78-45DF-AE0F-95D50C596C45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2" name="TextBox 92">
          <a:extLst>
            <a:ext uri="{FF2B5EF4-FFF2-40B4-BE49-F238E27FC236}">
              <a16:creationId xmlns:a16="http://schemas.microsoft.com/office/drawing/2014/main" id="{B0A9FB78-50C2-442A-B9DD-F203EFE6F735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3" name="TextBox 93">
          <a:extLst>
            <a:ext uri="{FF2B5EF4-FFF2-40B4-BE49-F238E27FC236}">
              <a16:creationId xmlns:a16="http://schemas.microsoft.com/office/drawing/2014/main" id="{021E8026-35B7-4782-8396-5C76CD5415D6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4" name="TextBox 94">
          <a:extLst>
            <a:ext uri="{FF2B5EF4-FFF2-40B4-BE49-F238E27FC236}">
              <a16:creationId xmlns:a16="http://schemas.microsoft.com/office/drawing/2014/main" id="{9715C024-7C8F-4FC1-9283-6689EF260A83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5" name="TextBox 95">
          <a:extLst>
            <a:ext uri="{FF2B5EF4-FFF2-40B4-BE49-F238E27FC236}">
              <a16:creationId xmlns:a16="http://schemas.microsoft.com/office/drawing/2014/main" id="{B10369B2-F943-49C4-8E39-2138D0CD84E5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6" name="TextBox 120">
          <a:extLst>
            <a:ext uri="{FF2B5EF4-FFF2-40B4-BE49-F238E27FC236}">
              <a16:creationId xmlns:a16="http://schemas.microsoft.com/office/drawing/2014/main" id="{7339EDDD-F0A6-4311-8D32-91B92C5595D7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7" name="TextBox 121">
          <a:extLst>
            <a:ext uri="{FF2B5EF4-FFF2-40B4-BE49-F238E27FC236}">
              <a16:creationId xmlns:a16="http://schemas.microsoft.com/office/drawing/2014/main" id="{C664BF93-BF22-4776-9ABB-67F744D06C55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8" name="TextBox 122">
          <a:extLst>
            <a:ext uri="{FF2B5EF4-FFF2-40B4-BE49-F238E27FC236}">
              <a16:creationId xmlns:a16="http://schemas.microsoft.com/office/drawing/2014/main" id="{60D357C6-D41C-43E9-A54F-F53D26FCD4D8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9" name="TextBox 123">
          <a:extLst>
            <a:ext uri="{FF2B5EF4-FFF2-40B4-BE49-F238E27FC236}">
              <a16:creationId xmlns:a16="http://schemas.microsoft.com/office/drawing/2014/main" id="{737BE560-4428-4D47-8CD0-5AF810EBF548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20" name="TextBox 124">
          <a:extLst>
            <a:ext uri="{FF2B5EF4-FFF2-40B4-BE49-F238E27FC236}">
              <a16:creationId xmlns:a16="http://schemas.microsoft.com/office/drawing/2014/main" id="{C5CE1E3D-5C93-4F7F-B982-07CE3C74075A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21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22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23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24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25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53582455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53582455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53582455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53582455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1200-000012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1200-000017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1200-000019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1200-00001A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1200-00001B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1200-00001C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1200-00001D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1200-00001E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1200-00001F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1200-000020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1200-000021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1200-000022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1200-000023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1200-000024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1200-000025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1200-000026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1200-000027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1200-000028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1200-000029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1200-00002A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1200-00002B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1200-00002C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1200-00002D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1200-00002E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1200-00002F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1200-000030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1200-000031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1200-000032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1200-000033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1200-000034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1200-000035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1200-000036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1200-000037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1200-000038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1200-000039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1200-00003A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1200-00003B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1200-00003C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1200-00003D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1200-00003E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1200-00003F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1200-000040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1200-000041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1200-000042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1200-000043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1200-000044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1200-000045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1200-000046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1200-000047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1200-000048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1200-000049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1200-00004A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1200-00004B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1200-00004C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1200-00004D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1200-00004E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00000000-0008-0000-1200-00004F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00000000-0008-0000-1200-000050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0000000-0008-0000-1200-000051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0000000-0008-0000-1200-000052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1200-000053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0000000-0008-0000-1200-000054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0000000-0008-0000-1200-000055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0000000-0008-0000-1200-000056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00000000-0008-0000-1200-000057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00000000-0008-0000-1200-000058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00000000-0008-0000-1200-000059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00000000-0008-0000-1200-00005A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000000-0008-0000-1200-00005B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0000000-0008-0000-1200-00005C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0000000-0008-0000-1200-00005D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0000-0008-0000-1200-00005E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0000000-0008-0000-1200-00005F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00000000-0008-0000-1200-000060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00000000-0008-0000-1200-000061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0000000-0008-0000-1200-000062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00000000-0008-0000-1200-000063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00000000-0008-0000-1200-000064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00000000-0008-0000-1200-000065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00000000-0008-0000-1200-000066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00000000-0008-0000-1200-000067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00000000-0008-0000-1200-000068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00000000-0008-0000-1200-000069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00000000-0008-0000-1200-00006A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00000000-0008-0000-1200-00006B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00000000-0008-0000-1200-00006C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00000000-0008-0000-1200-00006D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00000000-0008-0000-1200-00006E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00000000-0008-0000-1200-00006F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00000000-0008-0000-1200-000070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00000000-0008-0000-1200-000071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00000000-0008-0000-1200-000072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00000000-0008-0000-1200-000073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00000000-0008-0000-1200-000074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17" name="TextBox 91">
          <a:extLst>
            <a:ext uri="{FF2B5EF4-FFF2-40B4-BE49-F238E27FC236}">
              <a16:creationId xmlns:a16="http://schemas.microsoft.com/office/drawing/2014/main" id="{F2D60A73-9E98-4A91-9AD6-F4DA0433FBB3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18" name="TextBox 92">
          <a:extLst>
            <a:ext uri="{FF2B5EF4-FFF2-40B4-BE49-F238E27FC236}">
              <a16:creationId xmlns:a16="http://schemas.microsoft.com/office/drawing/2014/main" id="{A1D0FE92-765A-441F-9E51-C2FA7AD85444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19" name="TextBox 93">
          <a:extLst>
            <a:ext uri="{FF2B5EF4-FFF2-40B4-BE49-F238E27FC236}">
              <a16:creationId xmlns:a16="http://schemas.microsoft.com/office/drawing/2014/main" id="{1658F965-E4D0-4D3E-8956-5930B0A4C5C7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20" name="TextBox 94">
          <a:extLst>
            <a:ext uri="{FF2B5EF4-FFF2-40B4-BE49-F238E27FC236}">
              <a16:creationId xmlns:a16="http://schemas.microsoft.com/office/drawing/2014/main" id="{D3E0A1F1-4C42-4052-B217-E01E2AD42243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21" name="TextBox 95">
          <a:extLst>
            <a:ext uri="{FF2B5EF4-FFF2-40B4-BE49-F238E27FC236}">
              <a16:creationId xmlns:a16="http://schemas.microsoft.com/office/drawing/2014/main" id="{90E9CF62-06B3-4E9A-BDE2-D025A1F5B07D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22" name="TextBox 96">
          <a:extLst>
            <a:ext uri="{FF2B5EF4-FFF2-40B4-BE49-F238E27FC236}">
              <a16:creationId xmlns:a16="http://schemas.microsoft.com/office/drawing/2014/main" id="{2CF40A41-6711-462A-93F6-AD888A0EFF9F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23" name="TextBox 97">
          <a:extLst>
            <a:ext uri="{FF2B5EF4-FFF2-40B4-BE49-F238E27FC236}">
              <a16:creationId xmlns:a16="http://schemas.microsoft.com/office/drawing/2014/main" id="{4B5D51C8-58E0-4038-8B1E-BC9C5B082C71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24" name="TextBox 98">
          <a:extLst>
            <a:ext uri="{FF2B5EF4-FFF2-40B4-BE49-F238E27FC236}">
              <a16:creationId xmlns:a16="http://schemas.microsoft.com/office/drawing/2014/main" id="{85522068-01AB-4FA5-B45C-9C8508C21007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25" name="TextBox 99">
          <a:extLst>
            <a:ext uri="{FF2B5EF4-FFF2-40B4-BE49-F238E27FC236}">
              <a16:creationId xmlns:a16="http://schemas.microsoft.com/office/drawing/2014/main" id="{FDD909A6-E52E-4CDA-A705-90EDFE7FA844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26" name="TextBox 100">
          <a:extLst>
            <a:ext uri="{FF2B5EF4-FFF2-40B4-BE49-F238E27FC236}">
              <a16:creationId xmlns:a16="http://schemas.microsoft.com/office/drawing/2014/main" id="{64FF73BE-4742-4CF9-9ED8-CFF2A464ECE2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27" name="TextBox 101">
          <a:extLst>
            <a:ext uri="{FF2B5EF4-FFF2-40B4-BE49-F238E27FC236}">
              <a16:creationId xmlns:a16="http://schemas.microsoft.com/office/drawing/2014/main" id="{99483E8E-DD4C-494D-B281-6E27DEC5BCE4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28" name="TextBox 102">
          <a:extLst>
            <a:ext uri="{FF2B5EF4-FFF2-40B4-BE49-F238E27FC236}">
              <a16:creationId xmlns:a16="http://schemas.microsoft.com/office/drawing/2014/main" id="{BD949A90-AE66-44D6-ACD0-C782C7CEE3AE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29" name="TextBox 103">
          <a:extLst>
            <a:ext uri="{FF2B5EF4-FFF2-40B4-BE49-F238E27FC236}">
              <a16:creationId xmlns:a16="http://schemas.microsoft.com/office/drawing/2014/main" id="{21701EA4-A16B-4C07-ABCD-1A66FD9A3E29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30" name="TextBox 104">
          <a:extLst>
            <a:ext uri="{FF2B5EF4-FFF2-40B4-BE49-F238E27FC236}">
              <a16:creationId xmlns:a16="http://schemas.microsoft.com/office/drawing/2014/main" id="{0B0DE16C-8550-4889-B340-CE8556BEC81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31" name="TextBox 105">
          <a:extLst>
            <a:ext uri="{FF2B5EF4-FFF2-40B4-BE49-F238E27FC236}">
              <a16:creationId xmlns:a16="http://schemas.microsoft.com/office/drawing/2014/main" id="{ACF09181-FD2B-403D-86AC-0449D267BC48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32" name="TextBox 106">
          <a:extLst>
            <a:ext uri="{FF2B5EF4-FFF2-40B4-BE49-F238E27FC236}">
              <a16:creationId xmlns:a16="http://schemas.microsoft.com/office/drawing/2014/main" id="{B47EDDFA-39DF-4E81-84B7-21AF55416024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33" name="TextBox 107">
          <a:extLst>
            <a:ext uri="{FF2B5EF4-FFF2-40B4-BE49-F238E27FC236}">
              <a16:creationId xmlns:a16="http://schemas.microsoft.com/office/drawing/2014/main" id="{5CA09C6F-A868-4413-A989-B002FDC79721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34" name="TextBox 108">
          <a:extLst>
            <a:ext uri="{FF2B5EF4-FFF2-40B4-BE49-F238E27FC236}">
              <a16:creationId xmlns:a16="http://schemas.microsoft.com/office/drawing/2014/main" id="{BD9BFBDD-15D9-4901-B751-63ECBAAA978D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35" name="TextBox 109">
          <a:extLst>
            <a:ext uri="{FF2B5EF4-FFF2-40B4-BE49-F238E27FC236}">
              <a16:creationId xmlns:a16="http://schemas.microsoft.com/office/drawing/2014/main" id="{17988DE2-A49D-4CF4-92FB-23E3FE8DD239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36" name="TextBox 110">
          <a:extLst>
            <a:ext uri="{FF2B5EF4-FFF2-40B4-BE49-F238E27FC236}">
              <a16:creationId xmlns:a16="http://schemas.microsoft.com/office/drawing/2014/main" id="{AAFCC39A-43BE-404B-B9E2-63C5E748582E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37" name="TextBox 111">
          <a:extLst>
            <a:ext uri="{FF2B5EF4-FFF2-40B4-BE49-F238E27FC236}">
              <a16:creationId xmlns:a16="http://schemas.microsoft.com/office/drawing/2014/main" id="{CFB373D7-E2F6-401E-9EC9-A51C051CEB0E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38" name="TextBox 112">
          <a:extLst>
            <a:ext uri="{FF2B5EF4-FFF2-40B4-BE49-F238E27FC236}">
              <a16:creationId xmlns:a16="http://schemas.microsoft.com/office/drawing/2014/main" id="{1E279CCF-2145-40FA-9A07-4B38984FB78A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39" name="TextBox 113">
          <a:extLst>
            <a:ext uri="{FF2B5EF4-FFF2-40B4-BE49-F238E27FC236}">
              <a16:creationId xmlns:a16="http://schemas.microsoft.com/office/drawing/2014/main" id="{9513B1F8-BB29-4F4E-8D7A-AEEDFB2F3BF3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40" name="TextBox 114">
          <a:extLst>
            <a:ext uri="{FF2B5EF4-FFF2-40B4-BE49-F238E27FC236}">
              <a16:creationId xmlns:a16="http://schemas.microsoft.com/office/drawing/2014/main" id="{9C9F4158-CDC3-4A64-98F4-61DE5951646E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41" name="TextBox 115">
          <a:extLst>
            <a:ext uri="{FF2B5EF4-FFF2-40B4-BE49-F238E27FC236}">
              <a16:creationId xmlns:a16="http://schemas.microsoft.com/office/drawing/2014/main" id="{D0BC9C49-AA68-4A1F-8CE3-4EA063017434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00000000-0008-0000-1200-00002F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00000000-0008-0000-1200-000030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00000000-0008-0000-1200-000031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00000000-0008-0000-1200-000032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00000000-0008-0000-1200-00002F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00000000-0008-0000-1200-000030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00000000-0008-0000-1200-000031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00000000-0008-0000-1200-000032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00000000-0008-0000-1200-00002F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00000000-0008-0000-1200-000030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00000000-0008-0000-1200-000031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00000000-0008-0000-1200-000032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00000000-0008-0000-1200-00002F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00000000-0008-0000-1200-000030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00000000-0008-0000-1200-000031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00000000-0008-0000-1200-000032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78" name="TextBox 91">
          <a:extLst>
            <a:ext uri="{FF2B5EF4-FFF2-40B4-BE49-F238E27FC236}">
              <a16:creationId xmlns:a16="http://schemas.microsoft.com/office/drawing/2014/main" id="{9D61B7CA-7D78-45DF-AE0F-95D50C596C45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79" name="TextBox 92">
          <a:extLst>
            <a:ext uri="{FF2B5EF4-FFF2-40B4-BE49-F238E27FC236}">
              <a16:creationId xmlns:a16="http://schemas.microsoft.com/office/drawing/2014/main" id="{B0A9FB78-50C2-442A-B9DD-F203EFE6F735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80" name="TextBox 93">
          <a:extLst>
            <a:ext uri="{FF2B5EF4-FFF2-40B4-BE49-F238E27FC236}">
              <a16:creationId xmlns:a16="http://schemas.microsoft.com/office/drawing/2014/main" id="{021E8026-35B7-4782-8396-5C76CD5415D6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81" name="TextBox 94">
          <a:extLst>
            <a:ext uri="{FF2B5EF4-FFF2-40B4-BE49-F238E27FC236}">
              <a16:creationId xmlns:a16="http://schemas.microsoft.com/office/drawing/2014/main" id="{9715C024-7C8F-4FC1-9283-6689EF260A83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82" name="TextBox 95">
          <a:extLst>
            <a:ext uri="{FF2B5EF4-FFF2-40B4-BE49-F238E27FC236}">
              <a16:creationId xmlns:a16="http://schemas.microsoft.com/office/drawing/2014/main" id="{B10369B2-F943-49C4-8E39-2138D0CD84E5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83" name="TextBox 120">
          <a:extLst>
            <a:ext uri="{FF2B5EF4-FFF2-40B4-BE49-F238E27FC236}">
              <a16:creationId xmlns:a16="http://schemas.microsoft.com/office/drawing/2014/main" id="{7339EDDD-F0A6-4311-8D32-91B92C5595D7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84" name="TextBox 121">
          <a:extLst>
            <a:ext uri="{FF2B5EF4-FFF2-40B4-BE49-F238E27FC236}">
              <a16:creationId xmlns:a16="http://schemas.microsoft.com/office/drawing/2014/main" id="{C664BF93-BF22-4776-9ABB-67F744D06C55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85" name="TextBox 122">
          <a:extLst>
            <a:ext uri="{FF2B5EF4-FFF2-40B4-BE49-F238E27FC236}">
              <a16:creationId xmlns:a16="http://schemas.microsoft.com/office/drawing/2014/main" id="{60D357C6-D41C-43E9-A54F-F53D26FCD4D8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86" name="TextBox 123">
          <a:extLst>
            <a:ext uri="{FF2B5EF4-FFF2-40B4-BE49-F238E27FC236}">
              <a16:creationId xmlns:a16="http://schemas.microsoft.com/office/drawing/2014/main" id="{737BE560-4428-4D47-8CD0-5AF810EBF548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87" name="TextBox 124">
          <a:extLst>
            <a:ext uri="{FF2B5EF4-FFF2-40B4-BE49-F238E27FC236}">
              <a16:creationId xmlns:a16="http://schemas.microsoft.com/office/drawing/2014/main" id="{C5CE1E3D-5C93-4F7F-B982-07CE3C74075A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88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89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90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91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92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97" name="TextBox 91">
          <a:extLst>
            <a:ext uri="{FF2B5EF4-FFF2-40B4-BE49-F238E27FC236}">
              <a16:creationId xmlns:a16="http://schemas.microsoft.com/office/drawing/2014/main" id="{F2D60A73-9E98-4A91-9AD6-F4DA0433FBB3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98" name="TextBox 92">
          <a:extLst>
            <a:ext uri="{FF2B5EF4-FFF2-40B4-BE49-F238E27FC236}">
              <a16:creationId xmlns:a16="http://schemas.microsoft.com/office/drawing/2014/main" id="{A1D0FE92-765A-441F-9E51-C2FA7AD85444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99" name="TextBox 93">
          <a:extLst>
            <a:ext uri="{FF2B5EF4-FFF2-40B4-BE49-F238E27FC236}">
              <a16:creationId xmlns:a16="http://schemas.microsoft.com/office/drawing/2014/main" id="{1658F965-E4D0-4D3E-8956-5930B0A4C5C7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00" name="TextBox 94">
          <a:extLst>
            <a:ext uri="{FF2B5EF4-FFF2-40B4-BE49-F238E27FC236}">
              <a16:creationId xmlns:a16="http://schemas.microsoft.com/office/drawing/2014/main" id="{D3E0A1F1-4C42-4052-B217-E01E2AD42243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01" name="TextBox 95">
          <a:extLst>
            <a:ext uri="{FF2B5EF4-FFF2-40B4-BE49-F238E27FC236}">
              <a16:creationId xmlns:a16="http://schemas.microsoft.com/office/drawing/2014/main" id="{90E9CF62-06B3-4E9A-BDE2-D025A1F5B07D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02" name="TextBox 91">
          <a:extLst>
            <a:ext uri="{FF2B5EF4-FFF2-40B4-BE49-F238E27FC236}">
              <a16:creationId xmlns:a16="http://schemas.microsoft.com/office/drawing/2014/main" id="{9D61B7CA-7D78-45DF-AE0F-95D50C596C4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03" name="TextBox 92">
          <a:extLst>
            <a:ext uri="{FF2B5EF4-FFF2-40B4-BE49-F238E27FC236}">
              <a16:creationId xmlns:a16="http://schemas.microsoft.com/office/drawing/2014/main" id="{B0A9FB78-50C2-442A-B9DD-F203EFE6F73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04" name="TextBox 93">
          <a:extLst>
            <a:ext uri="{FF2B5EF4-FFF2-40B4-BE49-F238E27FC236}">
              <a16:creationId xmlns:a16="http://schemas.microsoft.com/office/drawing/2014/main" id="{021E8026-35B7-4782-8396-5C76CD5415D6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05" name="TextBox 94">
          <a:extLst>
            <a:ext uri="{FF2B5EF4-FFF2-40B4-BE49-F238E27FC236}">
              <a16:creationId xmlns:a16="http://schemas.microsoft.com/office/drawing/2014/main" id="{9715C024-7C8F-4FC1-9283-6689EF260A83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06" name="TextBox 95">
          <a:extLst>
            <a:ext uri="{FF2B5EF4-FFF2-40B4-BE49-F238E27FC236}">
              <a16:creationId xmlns:a16="http://schemas.microsoft.com/office/drawing/2014/main" id="{B10369B2-F943-49C4-8E39-2138D0CD84E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07" name="TextBox 120">
          <a:extLst>
            <a:ext uri="{FF2B5EF4-FFF2-40B4-BE49-F238E27FC236}">
              <a16:creationId xmlns:a16="http://schemas.microsoft.com/office/drawing/2014/main" id="{7339EDDD-F0A6-4311-8D32-91B92C5595D7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08" name="TextBox 121">
          <a:extLst>
            <a:ext uri="{FF2B5EF4-FFF2-40B4-BE49-F238E27FC236}">
              <a16:creationId xmlns:a16="http://schemas.microsoft.com/office/drawing/2014/main" id="{C664BF93-BF22-4776-9ABB-67F744D06C5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09" name="TextBox 122">
          <a:extLst>
            <a:ext uri="{FF2B5EF4-FFF2-40B4-BE49-F238E27FC236}">
              <a16:creationId xmlns:a16="http://schemas.microsoft.com/office/drawing/2014/main" id="{60D357C6-D41C-43E9-A54F-F53D26FCD4D8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10" name="TextBox 123">
          <a:extLst>
            <a:ext uri="{FF2B5EF4-FFF2-40B4-BE49-F238E27FC236}">
              <a16:creationId xmlns:a16="http://schemas.microsoft.com/office/drawing/2014/main" id="{737BE560-4428-4D47-8CD0-5AF810EBF548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11" name="TextBox 124">
          <a:extLst>
            <a:ext uri="{FF2B5EF4-FFF2-40B4-BE49-F238E27FC236}">
              <a16:creationId xmlns:a16="http://schemas.microsoft.com/office/drawing/2014/main" id="{C5CE1E3D-5C93-4F7F-B982-07CE3C74075A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12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13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14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15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16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21" name="TextBox 91">
          <a:extLst>
            <a:ext uri="{FF2B5EF4-FFF2-40B4-BE49-F238E27FC236}">
              <a16:creationId xmlns:a16="http://schemas.microsoft.com/office/drawing/2014/main" id="{F2D60A73-9E98-4A91-9AD6-F4DA0433FBB3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22" name="TextBox 92">
          <a:extLst>
            <a:ext uri="{FF2B5EF4-FFF2-40B4-BE49-F238E27FC236}">
              <a16:creationId xmlns:a16="http://schemas.microsoft.com/office/drawing/2014/main" id="{A1D0FE92-765A-441F-9E51-C2FA7AD85444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23" name="TextBox 93">
          <a:extLst>
            <a:ext uri="{FF2B5EF4-FFF2-40B4-BE49-F238E27FC236}">
              <a16:creationId xmlns:a16="http://schemas.microsoft.com/office/drawing/2014/main" id="{1658F965-E4D0-4D3E-8956-5930B0A4C5C7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24" name="TextBox 94">
          <a:extLst>
            <a:ext uri="{FF2B5EF4-FFF2-40B4-BE49-F238E27FC236}">
              <a16:creationId xmlns:a16="http://schemas.microsoft.com/office/drawing/2014/main" id="{D3E0A1F1-4C42-4052-B217-E01E2AD42243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25" name="TextBox 95">
          <a:extLst>
            <a:ext uri="{FF2B5EF4-FFF2-40B4-BE49-F238E27FC236}">
              <a16:creationId xmlns:a16="http://schemas.microsoft.com/office/drawing/2014/main" id="{90E9CF62-06B3-4E9A-BDE2-D025A1F5B07D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26" name="TextBox 91">
          <a:extLst>
            <a:ext uri="{FF2B5EF4-FFF2-40B4-BE49-F238E27FC236}">
              <a16:creationId xmlns:a16="http://schemas.microsoft.com/office/drawing/2014/main" id="{9D61B7CA-7D78-45DF-AE0F-95D50C596C4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27" name="TextBox 92">
          <a:extLst>
            <a:ext uri="{FF2B5EF4-FFF2-40B4-BE49-F238E27FC236}">
              <a16:creationId xmlns:a16="http://schemas.microsoft.com/office/drawing/2014/main" id="{B0A9FB78-50C2-442A-B9DD-F203EFE6F73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28" name="TextBox 93">
          <a:extLst>
            <a:ext uri="{FF2B5EF4-FFF2-40B4-BE49-F238E27FC236}">
              <a16:creationId xmlns:a16="http://schemas.microsoft.com/office/drawing/2014/main" id="{021E8026-35B7-4782-8396-5C76CD5415D6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29" name="TextBox 94">
          <a:extLst>
            <a:ext uri="{FF2B5EF4-FFF2-40B4-BE49-F238E27FC236}">
              <a16:creationId xmlns:a16="http://schemas.microsoft.com/office/drawing/2014/main" id="{9715C024-7C8F-4FC1-9283-6689EF260A83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30" name="TextBox 95">
          <a:extLst>
            <a:ext uri="{FF2B5EF4-FFF2-40B4-BE49-F238E27FC236}">
              <a16:creationId xmlns:a16="http://schemas.microsoft.com/office/drawing/2014/main" id="{B10369B2-F943-49C4-8E39-2138D0CD84E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31" name="TextBox 120">
          <a:extLst>
            <a:ext uri="{FF2B5EF4-FFF2-40B4-BE49-F238E27FC236}">
              <a16:creationId xmlns:a16="http://schemas.microsoft.com/office/drawing/2014/main" id="{7339EDDD-F0A6-4311-8D32-91B92C5595D7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32" name="TextBox 121">
          <a:extLst>
            <a:ext uri="{FF2B5EF4-FFF2-40B4-BE49-F238E27FC236}">
              <a16:creationId xmlns:a16="http://schemas.microsoft.com/office/drawing/2014/main" id="{C664BF93-BF22-4776-9ABB-67F744D06C5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33" name="TextBox 122">
          <a:extLst>
            <a:ext uri="{FF2B5EF4-FFF2-40B4-BE49-F238E27FC236}">
              <a16:creationId xmlns:a16="http://schemas.microsoft.com/office/drawing/2014/main" id="{60D357C6-D41C-43E9-A54F-F53D26FCD4D8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34" name="TextBox 123">
          <a:extLst>
            <a:ext uri="{FF2B5EF4-FFF2-40B4-BE49-F238E27FC236}">
              <a16:creationId xmlns:a16="http://schemas.microsoft.com/office/drawing/2014/main" id="{737BE560-4428-4D47-8CD0-5AF810EBF548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35" name="TextBox 124">
          <a:extLst>
            <a:ext uri="{FF2B5EF4-FFF2-40B4-BE49-F238E27FC236}">
              <a16:creationId xmlns:a16="http://schemas.microsoft.com/office/drawing/2014/main" id="{C5CE1E3D-5C93-4F7F-B982-07CE3C74075A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36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37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38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39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40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45" name="TextBox 91">
          <a:extLst>
            <a:ext uri="{FF2B5EF4-FFF2-40B4-BE49-F238E27FC236}">
              <a16:creationId xmlns:a16="http://schemas.microsoft.com/office/drawing/2014/main" id="{F2D60A73-9E98-4A91-9AD6-F4DA0433FBB3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46" name="TextBox 92">
          <a:extLst>
            <a:ext uri="{FF2B5EF4-FFF2-40B4-BE49-F238E27FC236}">
              <a16:creationId xmlns:a16="http://schemas.microsoft.com/office/drawing/2014/main" id="{A1D0FE92-765A-441F-9E51-C2FA7AD85444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47" name="TextBox 93">
          <a:extLst>
            <a:ext uri="{FF2B5EF4-FFF2-40B4-BE49-F238E27FC236}">
              <a16:creationId xmlns:a16="http://schemas.microsoft.com/office/drawing/2014/main" id="{1658F965-E4D0-4D3E-8956-5930B0A4C5C7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48" name="TextBox 94">
          <a:extLst>
            <a:ext uri="{FF2B5EF4-FFF2-40B4-BE49-F238E27FC236}">
              <a16:creationId xmlns:a16="http://schemas.microsoft.com/office/drawing/2014/main" id="{D3E0A1F1-4C42-4052-B217-E01E2AD42243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49" name="TextBox 95">
          <a:extLst>
            <a:ext uri="{FF2B5EF4-FFF2-40B4-BE49-F238E27FC236}">
              <a16:creationId xmlns:a16="http://schemas.microsoft.com/office/drawing/2014/main" id="{90E9CF62-06B3-4E9A-BDE2-D025A1F5B07D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50" name="TextBox 91">
          <a:extLst>
            <a:ext uri="{FF2B5EF4-FFF2-40B4-BE49-F238E27FC236}">
              <a16:creationId xmlns:a16="http://schemas.microsoft.com/office/drawing/2014/main" id="{9D61B7CA-7D78-45DF-AE0F-95D50C596C4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51" name="TextBox 92">
          <a:extLst>
            <a:ext uri="{FF2B5EF4-FFF2-40B4-BE49-F238E27FC236}">
              <a16:creationId xmlns:a16="http://schemas.microsoft.com/office/drawing/2014/main" id="{B0A9FB78-50C2-442A-B9DD-F203EFE6F73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52" name="TextBox 93">
          <a:extLst>
            <a:ext uri="{FF2B5EF4-FFF2-40B4-BE49-F238E27FC236}">
              <a16:creationId xmlns:a16="http://schemas.microsoft.com/office/drawing/2014/main" id="{021E8026-35B7-4782-8396-5C76CD5415D6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53" name="TextBox 94">
          <a:extLst>
            <a:ext uri="{FF2B5EF4-FFF2-40B4-BE49-F238E27FC236}">
              <a16:creationId xmlns:a16="http://schemas.microsoft.com/office/drawing/2014/main" id="{9715C024-7C8F-4FC1-9283-6689EF260A83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54" name="TextBox 95">
          <a:extLst>
            <a:ext uri="{FF2B5EF4-FFF2-40B4-BE49-F238E27FC236}">
              <a16:creationId xmlns:a16="http://schemas.microsoft.com/office/drawing/2014/main" id="{B10369B2-F943-49C4-8E39-2138D0CD84E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55" name="TextBox 120">
          <a:extLst>
            <a:ext uri="{FF2B5EF4-FFF2-40B4-BE49-F238E27FC236}">
              <a16:creationId xmlns:a16="http://schemas.microsoft.com/office/drawing/2014/main" id="{7339EDDD-F0A6-4311-8D32-91B92C5595D7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56" name="TextBox 121">
          <a:extLst>
            <a:ext uri="{FF2B5EF4-FFF2-40B4-BE49-F238E27FC236}">
              <a16:creationId xmlns:a16="http://schemas.microsoft.com/office/drawing/2014/main" id="{C664BF93-BF22-4776-9ABB-67F744D06C5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57" name="TextBox 122">
          <a:extLst>
            <a:ext uri="{FF2B5EF4-FFF2-40B4-BE49-F238E27FC236}">
              <a16:creationId xmlns:a16="http://schemas.microsoft.com/office/drawing/2014/main" id="{60D357C6-D41C-43E9-A54F-F53D26FCD4D8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58" name="TextBox 123">
          <a:extLst>
            <a:ext uri="{FF2B5EF4-FFF2-40B4-BE49-F238E27FC236}">
              <a16:creationId xmlns:a16="http://schemas.microsoft.com/office/drawing/2014/main" id="{737BE560-4428-4D47-8CD0-5AF810EBF548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59" name="TextBox 124">
          <a:extLst>
            <a:ext uri="{FF2B5EF4-FFF2-40B4-BE49-F238E27FC236}">
              <a16:creationId xmlns:a16="http://schemas.microsoft.com/office/drawing/2014/main" id="{C5CE1E3D-5C93-4F7F-B982-07CE3C74075A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60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61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62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63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64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69" name="TextBox 91">
          <a:extLst>
            <a:ext uri="{FF2B5EF4-FFF2-40B4-BE49-F238E27FC236}">
              <a16:creationId xmlns:a16="http://schemas.microsoft.com/office/drawing/2014/main" id="{F2D60A73-9E98-4A91-9AD6-F4DA0433FBB3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70" name="TextBox 92">
          <a:extLst>
            <a:ext uri="{FF2B5EF4-FFF2-40B4-BE49-F238E27FC236}">
              <a16:creationId xmlns:a16="http://schemas.microsoft.com/office/drawing/2014/main" id="{A1D0FE92-765A-441F-9E51-C2FA7AD85444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71" name="TextBox 93">
          <a:extLst>
            <a:ext uri="{FF2B5EF4-FFF2-40B4-BE49-F238E27FC236}">
              <a16:creationId xmlns:a16="http://schemas.microsoft.com/office/drawing/2014/main" id="{1658F965-E4D0-4D3E-8956-5930B0A4C5C7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72" name="TextBox 94">
          <a:extLst>
            <a:ext uri="{FF2B5EF4-FFF2-40B4-BE49-F238E27FC236}">
              <a16:creationId xmlns:a16="http://schemas.microsoft.com/office/drawing/2014/main" id="{D3E0A1F1-4C42-4052-B217-E01E2AD42243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73" name="TextBox 95">
          <a:extLst>
            <a:ext uri="{FF2B5EF4-FFF2-40B4-BE49-F238E27FC236}">
              <a16:creationId xmlns:a16="http://schemas.microsoft.com/office/drawing/2014/main" id="{90E9CF62-06B3-4E9A-BDE2-D025A1F5B07D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74" name="TextBox 91">
          <a:extLst>
            <a:ext uri="{FF2B5EF4-FFF2-40B4-BE49-F238E27FC236}">
              <a16:creationId xmlns:a16="http://schemas.microsoft.com/office/drawing/2014/main" id="{9D61B7CA-7D78-45DF-AE0F-95D50C596C4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75" name="TextBox 92">
          <a:extLst>
            <a:ext uri="{FF2B5EF4-FFF2-40B4-BE49-F238E27FC236}">
              <a16:creationId xmlns:a16="http://schemas.microsoft.com/office/drawing/2014/main" id="{B0A9FB78-50C2-442A-B9DD-F203EFE6F73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76" name="TextBox 93">
          <a:extLst>
            <a:ext uri="{FF2B5EF4-FFF2-40B4-BE49-F238E27FC236}">
              <a16:creationId xmlns:a16="http://schemas.microsoft.com/office/drawing/2014/main" id="{021E8026-35B7-4782-8396-5C76CD5415D6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77" name="TextBox 94">
          <a:extLst>
            <a:ext uri="{FF2B5EF4-FFF2-40B4-BE49-F238E27FC236}">
              <a16:creationId xmlns:a16="http://schemas.microsoft.com/office/drawing/2014/main" id="{9715C024-7C8F-4FC1-9283-6689EF260A83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78" name="TextBox 95">
          <a:extLst>
            <a:ext uri="{FF2B5EF4-FFF2-40B4-BE49-F238E27FC236}">
              <a16:creationId xmlns:a16="http://schemas.microsoft.com/office/drawing/2014/main" id="{B10369B2-F943-49C4-8E39-2138D0CD84E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79" name="TextBox 120">
          <a:extLst>
            <a:ext uri="{FF2B5EF4-FFF2-40B4-BE49-F238E27FC236}">
              <a16:creationId xmlns:a16="http://schemas.microsoft.com/office/drawing/2014/main" id="{7339EDDD-F0A6-4311-8D32-91B92C5595D7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80" name="TextBox 121">
          <a:extLst>
            <a:ext uri="{FF2B5EF4-FFF2-40B4-BE49-F238E27FC236}">
              <a16:creationId xmlns:a16="http://schemas.microsoft.com/office/drawing/2014/main" id="{C664BF93-BF22-4776-9ABB-67F744D06C5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81" name="TextBox 122">
          <a:extLst>
            <a:ext uri="{FF2B5EF4-FFF2-40B4-BE49-F238E27FC236}">
              <a16:creationId xmlns:a16="http://schemas.microsoft.com/office/drawing/2014/main" id="{60D357C6-D41C-43E9-A54F-F53D26FCD4D8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82" name="TextBox 123">
          <a:extLst>
            <a:ext uri="{FF2B5EF4-FFF2-40B4-BE49-F238E27FC236}">
              <a16:creationId xmlns:a16="http://schemas.microsoft.com/office/drawing/2014/main" id="{737BE560-4428-4D47-8CD0-5AF810EBF548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83" name="TextBox 124">
          <a:extLst>
            <a:ext uri="{FF2B5EF4-FFF2-40B4-BE49-F238E27FC236}">
              <a16:creationId xmlns:a16="http://schemas.microsoft.com/office/drawing/2014/main" id="{C5CE1E3D-5C93-4F7F-B982-07CE3C74075A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84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85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86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87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88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95250</xdr:colOff>
      <xdr:row>16</xdr:row>
      <xdr:rowOff>88900</xdr:rowOff>
    </xdr:from>
    <xdr:to>
      <xdr:col>16</xdr:col>
      <xdr:colOff>52050</xdr:colOff>
      <xdr:row>26</xdr:row>
      <xdr:rowOff>110900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1390</xdr:colOff>
      <xdr:row>13</xdr:row>
      <xdr:rowOff>10499</xdr:rowOff>
    </xdr:from>
    <xdr:to>
      <xdr:col>22</xdr:col>
      <xdr:colOff>643990</xdr:colOff>
      <xdr:row>23</xdr:row>
      <xdr:rowOff>32499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684611</xdr:colOff>
      <xdr:row>45</xdr:row>
      <xdr:rowOff>78215</xdr:rowOff>
    </xdr:from>
    <xdr:to>
      <xdr:col>22</xdr:col>
      <xdr:colOff>641411</xdr:colOff>
      <xdr:row>55</xdr:row>
      <xdr:rowOff>100215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65443</xdr:colOff>
      <xdr:row>45</xdr:row>
      <xdr:rowOff>19051</xdr:rowOff>
    </xdr:from>
    <xdr:to>
      <xdr:col>16</xdr:col>
      <xdr:colOff>22243</xdr:colOff>
      <xdr:row>55</xdr:row>
      <xdr:rowOff>41051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535517</xdr:colOff>
      <xdr:row>76</xdr:row>
      <xdr:rowOff>108528</xdr:rowOff>
    </xdr:from>
    <xdr:to>
      <xdr:col>18</xdr:col>
      <xdr:colOff>80232</xdr:colOff>
      <xdr:row>97</xdr:row>
      <xdr:rowOff>142875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670846</xdr:colOff>
      <xdr:row>77</xdr:row>
      <xdr:rowOff>45381</xdr:rowOff>
    </xdr:from>
    <xdr:to>
      <xdr:col>25</xdr:col>
      <xdr:colOff>668514</xdr:colOff>
      <xdr:row>98</xdr:row>
      <xdr:rowOff>70204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656167</xdr:colOff>
      <xdr:row>76</xdr:row>
      <xdr:rowOff>105833</xdr:rowOff>
    </xdr:from>
    <xdr:to>
      <xdr:col>33</xdr:col>
      <xdr:colOff>651718</xdr:colOff>
      <xdr:row>97</xdr:row>
      <xdr:rowOff>130656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35</xdr:col>
      <xdr:colOff>63500</xdr:colOff>
      <xdr:row>76</xdr:row>
      <xdr:rowOff>148167</xdr:rowOff>
    </xdr:from>
    <xdr:to>
      <xdr:col>42</xdr:col>
      <xdr:colOff>64343</xdr:colOff>
      <xdr:row>97</xdr:row>
      <xdr:rowOff>172990</xdr:rowOff>
    </xdr:to>
    <xdr:graphicFrame macro="">
      <xdr:nvGraphicFramePr>
        <xdr:cNvPr id="9" name="Chart 7">
          <a:extLst>
            <a:ext uri="{FF2B5EF4-FFF2-40B4-BE49-F238E27FC236}">
              <a16:creationId xmlns:a16="http://schemas.microsoft.com/office/drawing/2014/main" id="{5104026D-AF51-4C60-8CD4-80C9F3F45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42</xdr:col>
      <xdr:colOff>666750</xdr:colOff>
      <xdr:row>76</xdr:row>
      <xdr:rowOff>127000</xdr:rowOff>
    </xdr:from>
    <xdr:to>
      <xdr:col>49</xdr:col>
      <xdr:colOff>667594</xdr:colOff>
      <xdr:row>97</xdr:row>
      <xdr:rowOff>151823</xdr:rowOff>
    </xdr:to>
    <xdr:graphicFrame macro="">
      <xdr:nvGraphicFramePr>
        <xdr:cNvPr id="10" name="Chart 7">
          <a:extLst>
            <a:ext uri="{FF2B5EF4-FFF2-40B4-BE49-F238E27FC236}">
              <a16:creationId xmlns:a16="http://schemas.microsoft.com/office/drawing/2014/main" id="{C2641DE4-3350-4242-BF1C-1E67BC530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50</xdr:col>
      <xdr:colOff>656167</xdr:colOff>
      <xdr:row>76</xdr:row>
      <xdr:rowOff>105833</xdr:rowOff>
    </xdr:from>
    <xdr:to>
      <xdr:col>57</xdr:col>
      <xdr:colOff>657009</xdr:colOff>
      <xdr:row>97</xdr:row>
      <xdr:rowOff>130656</xdr:rowOff>
    </xdr:to>
    <xdr:graphicFrame macro="">
      <xdr:nvGraphicFramePr>
        <xdr:cNvPr id="11" name="Chart 7">
          <a:extLst>
            <a:ext uri="{FF2B5EF4-FFF2-40B4-BE49-F238E27FC236}">
              <a16:creationId xmlns:a16="http://schemas.microsoft.com/office/drawing/2014/main" id="{0B6E1231-A2DB-4C55-B6CD-6F9568196C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Q89"/>
  <sheetViews>
    <sheetView topLeftCell="A19" workbookViewId="0">
      <selection activeCell="F34" sqref="F34"/>
    </sheetView>
  </sheetViews>
  <sheetFormatPr defaultColWidth="9" defaultRowHeight="14" x14ac:dyDescent="0.3"/>
  <cols>
    <col min="10" max="10" width="17.58203125" customWidth="1"/>
    <col min="11" max="11" width="10.58203125" customWidth="1"/>
    <col min="12" max="12" width="14.08203125" customWidth="1"/>
    <col min="13" max="13" width="29.5" customWidth="1"/>
    <col min="14" max="14" width="21" bestFit="1" customWidth="1"/>
    <col min="16" max="16" width="10" customWidth="1"/>
  </cols>
  <sheetData>
    <row r="3" spans="2:13" x14ac:dyDescent="0.3">
      <c r="B3" s="674" t="s">
        <v>374</v>
      </c>
      <c r="C3" s="674"/>
      <c r="D3" s="674" t="s">
        <v>360</v>
      </c>
      <c r="E3" s="366"/>
      <c r="F3" s="366"/>
      <c r="G3" s="366"/>
      <c r="H3" s="366"/>
      <c r="I3" s="366"/>
      <c r="J3" s="366"/>
      <c r="L3" s="366"/>
      <c r="M3" s="366"/>
    </row>
    <row r="4" spans="2:13" x14ac:dyDescent="0.3">
      <c r="B4" s="675" t="s">
        <v>375</v>
      </c>
      <c r="C4" s="675"/>
      <c r="D4" s="675">
        <v>1</v>
      </c>
      <c r="E4" s="366"/>
      <c r="F4" s="366"/>
      <c r="G4" s="366"/>
      <c r="H4" s="366"/>
      <c r="I4" s="366"/>
      <c r="J4" s="366"/>
      <c r="L4" s="366"/>
      <c r="M4" s="366"/>
    </row>
    <row r="5" spans="2:13" ht="14.5" x14ac:dyDescent="0.35">
      <c r="B5" s="377" t="s">
        <v>359</v>
      </c>
      <c r="C5" s="377"/>
      <c r="D5" s="366"/>
      <c r="E5" s="366"/>
      <c r="F5" s="366"/>
      <c r="G5" s="366"/>
      <c r="H5" s="366"/>
      <c r="I5" s="775"/>
      <c r="J5" s="366"/>
      <c r="L5" s="366"/>
      <c r="M5" s="366"/>
    </row>
    <row r="6" spans="2:13" x14ac:dyDescent="0.3">
      <c r="B6" s="366"/>
      <c r="C6" s="366"/>
      <c r="D6" s="366"/>
      <c r="E6" s="366"/>
      <c r="F6" s="366"/>
      <c r="G6" s="366"/>
      <c r="H6" s="366"/>
      <c r="I6" s="366"/>
      <c r="J6" s="366"/>
      <c r="L6" s="366"/>
      <c r="M6" s="366"/>
    </row>
    <row r="7" spans="2:13" x14ac:dyDescent="0.3">
      <c r="B7" s="368" t="s">
        <v>355</v>
      </c>
      <c r="C7" s="366"/>
      <c r="D7" s="366"/>
      <c r="E7" s="366"/>
      <c r="F7" s="366"/>
      <c r="G7" s="366"/>
      <c r="H7" s="366"/>
      <c r="I7" s="366"/>
      <c r="J7" s="366"/>
      <c r="K7" s="367"/>
      <c r="L7" s="366"/>
      <c r="M7" s="366"/>
    </row>
    <row r="8" spans="2:13" x14ac:dyDescent="0.3">
      <c r="B8" s="368"/>
      <c r="C8" s="366"/>
      <c r="D8" s="366"/>
      <c r="E8" s="366"/>
      <c r="F8" s="366"/>
      <c r="G8" s="366"/>
      <c r="H8" s="366"/>
      <c r="I8" s="366"/>
      <c r="J8" s="366"/>
      <c r="K8" s="367"/>
      <c r="L8" s="366"/>
      <c r="M8" s="366"/>
    </row>
    <row r="9" spans="2:13" x14ac:dyDescent="0.3">
      <c r="B9" s="367" t="s">
        <v>380</v>
      </c>
      <c r="C9" s="366"/>
      <c r="D9" s="366"/>
      <c r="E9" s="366"/>
      <c r="F9" s="366"/>
      <c r="G9" s="366"/>
      <c r="H9" s="366"/>
      <c r="I9" s="366"/>
      <c r="J9" s="366"/>
      <c r="K9" s="367"/>
      <c r="L9" s="366"/>
      <c r="M9" s="366"/>
    </row>
    <row r="10" spans="2:13" x14ac:dyDescent="0.3">
      <c r="B10" s="367" t="s">
        <v>354</v>
      </c>
      <c r="C10" s="366"/>
      <c r="D10" s="366"/>
      <c r="E10" s="366"/>
      <c r="F10" s="366"/>
      <c r="G10" s="366"/>
      <c r="H10" s="366"/>
      <c r="I10" s="366"/>
      <c r="J10" s="366"/>
      <c r="K10" s="367"/>
      <c r="L10" s="366"/>
      <c r="M10" s="366"/>
    </row>
    <row r="11" spans="2:13" x14ac:dyDescent="0.3">
      <c r="B11" s="367" t="s">
        <v>381</v>
      </c>
      <c r="C11" s="366"/>
      <c r="D11" s="366"/>
      <c r="E11" s="366"/>
      <c r="F11" s="366"/>
      <c r="G11" s="366"/>
      <c r="H11" s="366"/>
      <c r="I11" s="366"/>
      <c r="J11" s="366"/>
      <c r="K11" s="367"/>
      <c r="L11" s="366"/>
      <c r="M11" s="366"/>
    </row>
    <row r="12" spans="2:13" x14ac:dyDescent="0.3">
      <c r="B12" s="366"/>
      <c r="C12" s="366"/>
      <c r="D12" s="366"/>
      <c r="E12" s="366"/>
      <c r="F12" s="366"/>
      <c r="G12" s="366"/>
      <c r="H12" s="366"/>
      <c r="I12" s="366"/>
      <c r="J12" s="366"/>
      <c r="K12" s="367"/>
      <c r="L12" s="366"/>
      <c r="M12" s="366"/>
    </row>
    <row r="13" spans="2:13" x14ac:dyDescent="0.3">
      <c r="B13" s="376" t="s">
        <v>358</v>
      </c>
      <c r="C13" s="375"/>
      <c r="D13" s="375"/>
      <c r="E13" s="366"/>
      <c r="F13" s="366"/>
      <c r="G13" s="366"/>
      <c r="H13" s="366"/>
      <c r="I13" s="366"/>
      <c r="J13" s="366"/>
      <c r="K13" s="366"/>
      <c r="L13" s="366"/>
      <c r="M13" s="366"/>
    </row>
    <row r="14" spans="2:13" x14ac:dyDescent="0.3"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  <c r="M14" s="366"/>
    </row>
    <row r="15" spans="2:13" x14ac:dyDescent="0.3">
      <c r="B15" s="367" t="s">
        <v>357</v>
      </c>
      <c r="C15" s="366"/>
      <c r="D15" s="366"/>
      <c r="E15" s="366"/>
      <c r="F15" s="366"/>
      <c r="G15" s="366"/>
      <c r="H15" s="366"/>
      <c r="I15" s="366"/>
      <c r="K15" s="366"/>
      <c r="L15" s="366"/>
      <c r="M15" s="366"/>
    </row>
    <row r="16" spans="2:13" x14ac:dyDescent="0.3">
      <c r="B16" s="367"/>
      <c r="C16" s="366"/>
      <c r="D16" s="366"/>
      <c r="E16" s="366"/>
      <c r="F16" s="366"/>
      <c r="G16" s="366"/>
      <c r="H16" s="366"/>
      <c r="I16" s="366"/>
      <c r="J16" s="366"/>
      <c r="K16" s="366"/>
      <c r="L16" s="366"/>
      <c r="M16" s="366"/>
    </row>
    <row r="17" spans="2:15" x14ac:dyDescent="0.3">
      <c r="B17" s="367" t="s">
        <v>356</v>
      </c>
      <c r="C17" s="366"/>
      <c r="D17" s="366"/>
      <c r="E17" s="366"/>
      <c r="F17" s="366"/>
      <c r="G17" s="366"/>
      <c r="H17" s="366"/>
      <c r="I17" s="366"/>
      <c r="J17" s="366"/>
      <c r="K17" s="366"/>
      <c r="L17" s="366"/>
      <c r="M17" s="366"/>
    </row>
    <row r="18" spans="2:15" x14ac:dyDescent="0.3">
      <c r="B18" s="367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19" spans="2:15" x14ac:dyDescent="0.3">
      <c r="B19" s="367"/>
      <c r="C19" s="366"/>
      <c r="D19" s="366"/>
      <c r="E19" s="366"/>
      <c r="F19" s="366"/>
      <c r="G19" s="366"/>
      <c r="H19" s="366"/>
      <c r="I19" s="366"/>
      <c r="J19" s="366"/>
      <c r="K19" s="366"/>
      <c r="L19" s="366"/>
      <c r="M19" s="366"/>
    </row>
    <row r="20" spans="2:15" x14ac:dyDescent="0.3">
      <c r="B20" s="367"/>
      <c r="C20" s="370" t="s">
        <v>667</v>
      </c>
      <c r="D20" s="366"/>
      <c r="E20" s="366"/>
      <c r="F20" s="370" t="s">
        <v>534</v>
      </c>
      <c r="G20" s="366"/>
      <c r="H20" s="370" t="s">
        <v>433</v>
      </c>
      <c r="I20" s="366"/>
      <c r="N20" s="372">
        <v>4.9000000000000004</v>
      </c>
      <c r="O20" s="369" t="s">
        <v>645</v>
      </c>
    </row>
    <row r="21" spans="2:15" x14ac:dyDescent="0.3">
      <c r="B21" s="367"/>
      <c r="C21" s="370"/>
      <c r="D21" s="366"/>
      <c r="E21" s="366"/>
      <c r="F21" s="563"/>
      <c r="G21" s="366"/>
      <c r="H21" s="370" t="s">
        <v>591</v>
      </c>
      <c r="I21" s="366"/>
      <c r="N21" s="372">
        <v>471.64</v>
      </c>
      <c r="O21" s="578" t="s">
        <v>592</v>
      </c>
    </row>
    <row r="22" spans="2:15" x14ac:dyDescent="0.3">
      <c r="B22" s="367"/>
      <c r="C22" s="370"/>
      <c r="D22" s="366"/>
      <c r="E22" s="366"/>
      <c r="F22" s="563"/>
      <c r="G22" s="366"/>
      <c r="H22" s="370" t="s">
        <v>671</v>
      </c>
      <c r="I22" s="366"/>
      <c r="N22" s="372" t="s">
        <v>593</v>
      </c>
      <c r="O22" s="578" t="s">
        <v>484</v>
      </c>
    </row>
    <row r="23" spans="2:15" x14ac:dyDescent="0.3">
      <c r="B23" s="367"/>
      <c r="C23" s="370"/>
      <c r="D23" s="366"/>
      <c r="E23" s="366"/>
      <c r="F23" s="563"/>
      <c r="G23" s="366"/>
      <c r="H23" s="370" t="s">
        <v>594</v>
      </c>
      <c r="I23" s="366"/>
      <c r="N23" s="369" t="s">
        <v>595</v>
      </c>
      <c r="O23" s="369" t="s">
        <v>484</v>
      </c>
    </row>
    <row r="24" spans="2:15" x14ac:dyDescent="0.3">
      <c r="B24" s="367"/>
      <c r="C24" s="370"/>
      <c r="D24" s="366"/>
      <c r="E24" s="366"/>
      <c r="F24" s="563"/>
      <c r="G24" s="366"/>
      <c r="H24" s="370" t="s">
        <v>646</v>
      </c>
      <c r="I24" s="366"/>
      <c r="N24" s="369" t="s">
        <v>596</v>
      </c>
      <c r="O24" s="369" t="s">
        <v>597</v>
      </c>
    </row>
    <row r="25" spans="2:15" x14ac:dyDescent="0.3">
      <c r="B25" s="367"/>
      <c r="C25" s="370"/>
      <c r="D25" s="366"/>
      <c r="E25" s="366"/>
      <c r="F25" s="563"/>
      <c r="G25" s="366"/>
      <c r="H25" s="370" t="s">
        <v>598</v>
      </c>
      <c r="I25" s="366"/>
      <c r="N25" s="372" t="s">
        <v>599</v>
      </c>
      <c r="O25" s="369" t="s">
        <v>597</v>
      </c>
    </row>
    <row r="26" spans="2:15" x14ac:dyDescent="0.3">
      <c r="B26" s="367"/>
      <c r="C26" s="370"/>
      <c r="D26" s="366"/>
      <c r="E26" s="366"/>
      <c r="F26" s="563"/>
      <c r="G26" s="366"/>
      <c r="H26" s="370" t="s">
        <v>38</v>
      </c>
      <c r="I26" s="366"/>
      <c r="N26" s="982">
        <v>17</v>
      </c>
      <c r="O26" s="369" t="s">
        <v>600</v>
      </c>
    </row>
    <row r="27" spans="2:15" ht="14.5" x14ac:dyDescent="0.35">
      <c r="B27" s="367"/>
      <c r="C27" s="370"/>
      <c r="D27" s="366"/>
      <c r="E27" s="366"/>
      <c r="F27" s="563"/>
      <c r="G27" s="366"/>
      <c r="H27" s="370" t="s">
        <v>601</v>
      </c>
      <c r="I27" s="366"/>
      <c r="N27" s="369" t="s">
        <v>602</v>
      </c>
      <c r="O27" s="369" t="s">
        <v>603</v>
      </c>
    </row>
    <row r="28" spans="2:15" x14ac:dyDescent="0.3">
      <c r="B28" s="367"/>
      <c r="C28" s="370"/>
      <c r="D28" s="366"/>
      <c r="E28" s="366"/>
      <c r="F28" s="563"/>
      <c r="G28" s="366"/>
      <c r="H28" s="370" t="s">
        <v>604</v>
      </c>
      <c r="I28" s="366"/>
      <c r="N28" s="369" t="s">
        <v>670</v>
      </c>
      <c r="O28" s="369" t="s">
        <v>603</v>
      </c>
    </row>
    <row r="29" spans="2:15" x14ac:dyDescent="0.3">
      <c r="B29" s="367"/>
      <c r="C29" s="370"/>
      <c r="D29" s="366"/>
      <c r="E29" s="366"/>
      <c r="F29" s="563"/>
      <c r="G29" s="366"/>
      <c r="H29" s="370" t="s">
        <v>605</v>
      </c>
      <c r="I29" s="366"/>
      <c r="N29" s="369">
        <v>49.6</v>
      </c>
      <c r="O29" s="369" t="s">
        <v>606</v>
      </c>
    </row>
    <row r="30" spans="2:15" x14ac:dyDescent="0.3">
      <c r="B30" s="367"/>
      <c r="C30" s="370"/>
      <c r="D30" s="366"/>
      <c r="E30" s="366"/>
      <c r="F30" s="563"/>
      <c r="G30" s="366"/>
      <c r="H30" s="370" t="s">
        <v>607</v>
      </c>
      <c r="I30" s="366"/>
      <c r="N30" s="991">
        <v>62.85</v>
      </c>
      <c r="O30" s="369" t="s">
        <v>597</v>
      </c>
    </row>
    <row r="31" spans="2:15" x14ac:dyDescent="0.3">
      <c r="B31" s="367"/>
      <c r="C31" s="370"/>
      <c r="D31" s="366"/>
      <c r="E31" s="366"/>
      <c r="F31" s="563"/>
      <c r="G31" s="366"/>
      <c r="H31" s="370" t="s">
        <v>608</v>
      </c>
      <c r="I31" s="366"/>
      <c r="N31" s="369" t="s">
        <v>669</v>
      </c>
      <c r="O31" s="369" t="s">
        <v>378</v>
      </c>
    </row>
    <row r="32" spans="2:15" x14ac:dyDescent="0.3">
      <c r="B32" s="367"/>
      <c r="C32" s="370"/>
      <c r="D32" s="366"/>
      <c r="E32" s="366"/>
      <c r="F32" s="563"/>
      <c r="G32" s="366"/>
      <c r="H32" s="370" t="s">
        <v>609</v>
      </c>
      <c r="I32" s="366"/>
      <c r="N32" s="372" t="s">
        <v>610</v>
      </c>
      <c r="O32" s="369" t="s">
        <v>378</v>
      </c>
    </row>
    <row r="33" spans="2:15" x14ac:dyDescent="0.3">
      <c r="B33" s="367"/>
      <c r="C33" s="370"/>
      <c r="D33" s="366"/>
      <c r="E33" s="366"/>
      <c r="F33" s="563"/>
      <c r="G33" s="366"/>
      <c r="H33" s="370" t="s">
        <v>611</v>
      </c>
      <c r="I33" s="366"/>
      <c r="N33" s="372" t="s">
        <v>612</v>
      </c>
      <c r="O33" s="369" t="s">
        <v>378</v>
      </c>
    </row>
    <row r="34" spans="2:15" x14ac:dyDescent="0.3">
      <c r="B34" s="367"/>
      <c r="C34" s="370"/>
      <c r="D34" s="366"/>
      <c r="E34" s="366"/>
      <c r="F34" s="563"/>
      <c r="G34" s="366"/>
      <c r="H34" s="370" t="s">
        <v>613</v>
      </c>
      <c r="I34" s="366"/>
      <c r="N34" s="372" t="s">
        <v>614</v>
      </c>
      <c r="O34" s="369" t="s">
        <v>378</v>
      </c>
    </row>
    <row r="35" spans="2:15" x14ac:dyDescent="0.3">
      <c r="B35" s="367"/>
      <c r="C35" s="370"/>
      <c r="D35" s="366"/>
      <c r="E35" s="366"/>
      <c r="F35" s="563"/>
      <c r="G35" s="366"/>
      <c r="H35" s="370" t="s">
        <v>615</v>
      </c>
      <c r="I35" s="366"/>
      <c r="N35" s="372" t="s">
        <v>616</v>
      </c>
      <c r="O35" s="369" t="s">
        <v>378</v>
      </c>
    </row>
    <row r="36" spans="2:15" x14ac:dyDescent="0.3">
      <c r="B36" s="367"/>
      <c r="C36" s="370"/>
      <c r="D36" s="366"/>
      <c r="E36" s="366"/>
      <c r="F36" s="563"/>
      <c r="G36" s="366"/>
      <c r="H36" s="370" t="s">
        <v>617</v>
      </c>
      <c r="I36" s="366"/>
      <c r="N36" s="372" t="s">
        <v>618</v>
      </c>
      <c r="O36" s="369" t="s">
        <v>378</v>
      </c>
    </row>
    <row r="37" spans="2:15" x14ac:dyDescent="0.3">
      <c r="B37" s="367"/>
      <c r="C37" s="370"/>
      <c r="D37" s="366"/>
      <c r="E37" s="366"/>
      <c r="F37" s="563"/>
      <c r="G37" s="366"/>
      <c r="H37" s="370" t="s">
        <v>619</v>
      </c>
      <c r="I37" s="366"/>
      <c r="N37" s="372" t="s">
        <v>620</v>
      </c>
      <c r="O37" s="369" t="s">
        <v>621</v>
      </c>
    </row>
    <row r="38" spans="2:15" x14ac:dyDescent="0.3">
      <c r="B38" s="367"/>
      <c r="C38" s="370"/>
      <c r="D38" s="366"/>
      <c r="E38" s="366"/>
      <c r="F38" s="563"/>
      <c r="G38" s="366"/>
      <c r="H38" s="563"/>
      <c r="I38" s="366"/>
      <c r="N38" s="578"/>
      <c r="O38" s="578"/>
    </row>
    <row r="39" spans="2:15" x14ac:dyDescent="0.3">
      <c r="B39" s="367"/>
      <c r="C39" s="370"/>
      <c r="D39" s="366"/>
      <c r="E39" s="366"/>
      <c r="F39" s="370" t="s">
        <v>367</v>
      </c>
      <c r="G39" s="366"/>
      <c r="H39" s="370" t="s">
        <v>672</v>
      </c>
      <c r="I39" s="366"/>
      <c r="N39" s="372" t="s">
        <v>673</v>
      </c>
      <c r="O39" s="369" t="s">
        <v>649</v>
      </c>
    </row>
    <row r="40" spans="2:15" x14ac:dyDescent="0.3">
      <c r="B40" s="367"/>
      <c r="C40" s="370"/>
      <c r="D40" s="366"/>
      <c r="E40" s="366"/>
      <c r="F40" s="563"/>
      <c r="G40" s="366"/>
      <c r="H40" s="370" t="s">
        <v>652</v>
      </c>
      <c r="I40" s="366"/>
      <c r="N40" s="372" t="s">
        <v>653</v>
      </c>
      <c r="O40" s="369" t="s">
        <v>378</v>
      </c>
    </row>
    <row r="41" spans="2:15" x14ac:dyDescent="0.3">
      <c r="B41" s="367"/>
      <c r="C41" s="370"/>
      <c r="D41" s="366"/>
      <c r="E41" s="366"/>
      <c r="F41" s="563"/>
      <c r="G41" s="366"/>
      <c r="H41" s="370" t="s">
        <v>655</v>
      </c>
      <c r="I41" s="366"/>
      <c r="N41" s="372" t="s">
        <v>654</v>
      </c>
      <c r="O41" s="369" t="s">
        <v>378</v>
      </c>
    </row>
    <row r="42" spans="2:15" x14ac:dyDescent="0.3">
      <c r="B42" s="367"/>
      <c r="C42" s="370"/>
      <c r="D42" s="366"/>
      <c r="E42" s="366"/>
      <c r="F42" s="563"/>
      <c r="G42" s="366"/>
      <c r="H42" s="370" t="s">
        <v>681</v>
      </c>
      <c r="I42" s="366"/>
      <c r="N42" s="863">
        <v>812</v>
      </c>
      <c r="O42" s="578" t="s">
        <v>592</v>
      </c>
    </row>
    <row r="43" spans="2:15" x14ac:dyDescent="0.3">
      <c r="B43" s="367"/>
      <c r="C43" s="370"/>
      <c r="D43" s="366"/>
      <c r="E43" s="366"/>
      <c r="F43" s="563"/>
      <c r="G43" s="366"/>
      <c r="H43" s="370" t="s">
        <v>680</v>
      </c>
      <c r="I43" s="366"/>
      <c r="N43" s="982">
        <v>327</v>
      </c>
      <c r="O43" s="578" t="s">
        <v>592</v>
      </c>
    </row>
    <row r="44" spans="2:15" x14ac:dyDescent="0.3">
      <c r="B44" s="367"/>
      <c r="C44" s="370"/>
      <c r="D44" s="366"/>
      <c r="E44" s="366"/>
      <c r="F44" s="563"/>
      <c r="G44" s="366"/>
      <c r="H44" s="370" t="s">
        <v>657</v>
      </c>
      <c r="I44" s="366"/>
      <c r="N44" s="982">
        <v>450</v>
      </c>
      <c r="O44" s="369" t="s">
        <v>592</v>
      </c>
    </row>
    <row r="45" spans="2:15" x14ac:dyDescent="0.3">
      <c r="B45" s="367"/>
      <c r="C45" s="370"/>
      <c r="D45" s="366"/>
      <c r="E45" s="366"/>
      <c r="F45" s="563"/>
      <c r="G45" s="366"/>
      <c r="H45" s="370" t="s">
        <v>658</v>
      </c>
      <c r="I45" s="366"/>
      <c r="N45" s="982" t="s">
        <v>659</v>
      </c>
      <c r="O45" s="369" t="s">
        <v>592</v>
      </c>
    </row>
    <row r="46" spans="2:15" x14ac:dyDescent="0.3">
      <c r="B46" s="367"/>
      <c r="C46" s="370"/>
      <c r="D46" s="366"/>
      <c r="E46" s="366"/>
      <c r="F46" s="563"/>
      <c r="G46" s="366"/>
      <c r="H46" s="370" t="s">
        <v>683</v>
      </c>
      <c r="I46" s="366"/>
      <c r="N46" s="863" t="s">
        <v>682</v>
      </c>
      <c r="O46" s="369" t="s">
        <v>592</v>
      </c>
    </row>
    <row r="47" spans="2:15" x14ac:dyDescent="0.3">
      <c r="B47" s="367"/>
      <c r="C47" s="370"/>
      <c r="D47" s="366"/>
      <c r="E47" s="366"/>
      <c r="F47" s="563"/>
      <c r="G47" s="366"/>
      <c r="H47" s="370" t="s">
        <v>660</v>
      </c>
      <c r="I47" s="366"/>
      <c r="N47" s="863" t="s">
        <v>661</v>
      </c>
      <c r="O47" s="369" t="s">
        <v>592</v>
      </c>
    </row>
    <row r="48" spans="2:15" x14ac:dyDescent="0.3">
      <c r="B48" s="367"/>
      <c r="C48" s="366"/>
      <c r="D48" s="366"/>
      <c r="E48" s="366"/>
      <c r="F48" s="366"/>
      <c r="G48" s="366"/>
      <c r="H48" s="366"/>
      <c r="I48" s="366"/>
      <c r="J48" s="366"/>
      <c r="K48" s="366"/>
      <c r="L48" s="366"/>
      <c r="M48" s="366"/>
    </row>
    <row r="49" spans="2:16" x14ac:dyDescent="0.3">
      <c r="B49" s="367"/>
      <c r="C49" s="366"/>
      <c r="D49" s="366"/>
      <c r="E49" s="366"/>
      <c r="F49" s="366"/>
      <c r="G49" s="366"/>
      <c r="H49" s="366"/>
      <c r="I49" s="366"/>
      <c r="J49" s="366"/>
      <c r="K49" s="366"/>
      <c r="L49" s="366"/>
      <c r="M49" s="366"/>
    </row>
    <row r="50" spans="2:16" x14ac:dyDescent="0.3">
      <c r="B50" s="367"/>
      <c r="C50" s="370" t="s">
        <v>212</v>
      </c>
      <c r="D50" s="366"/>
      <c r="E50" s="366"/>
      <c r="F50" s="370" t="s">
        <v>367</v>
      </c>
      <c r="G50" s="366"/>
      <c r="H50" s="370" t="s">
        <v>485</v>
      </c>
      <c r="I50" s="366"/>
      <c r="N50" s="369">
        <v>55</v>
      </c>
      <c r="O50" s="369" t="s">
        <v>486</v>
      </c>
      <c r="P50" s="366"/>
    </row>
    <row r="51" spans="2:16" x14ac:dyDescent="0.3">
      <c r="B51" s="367"/>
      <c r="C51" s="374"/>
      <c r="D51" s="366"/>
      <c r="E51" s="366"/>
      <c r="F51" s="563"/>
      <c r="G51" s="366"/>
      <c r="H51" s="370" t="s">
        <v>492</v>
      </c>
      <c r="I51" s="366"/>
      <c r="N51" s="372" t="s">
        <v>490</v>
      </c>
      <c r="O51" s="369" t="s">
        <v>486</v>
      </c>
      <c r="P51" s="366"/>
    </row>
    <row r="52" spans="2:16" x14ac:dyDescent="0.3">
      <c r="B52" s="367"/>
      <c r="C52" s="374"/>
      <c r="D52" s="366"/>
      <c r="E52" s="366"/>
      <c r="F52" s="563"/>
      <c r="G52" s="366"/>
      <c r="H52" s="865" t="s">
        <v>499</v>
      </c>
      <c r="I52" s="366"/>
      <c r="N52" s="863">
        <v>50</v>
      </c>
      <c r="O52" s="369" t="s">
        <v>379</v>
      </c>
      <c r="P52" s="463"/>
    </row>
    <row r="53" spans="2:16" x14ac:dyDescent="0.3">
      <c r="B53" s="367"/>
      <c r="C53" s="374"/>
      <c r="D53" s="366"/>
      <c r="E53" s="366"/>
      <c r="F53" s="563"/>
      <c r="G53" s="366"/>
      <c r="P53" s="463"/>
    </row>
    <row r="54" spans="2:16" x14ac:dyDescent="0.3">
      <c r="B54" s="367"/>
      <c r="C54" s="374"/>
      <c r="D54" s="366"/>
      <c r="E54" s="366"/>
      <c r="F54" s="563"/>
      <c r="G54" s="366"/>
      <c r="H54" s="910"/>
      <c r="I54" s="366"/>
      <c r="J54" s="366"/>
      <c r="K54" s="366"/>
      <c r="L54" s="366"/>
      <c r="M54" s="366"/>
      <c r="N54" s="911"/>
      <c r="O54" s="578"/>
      <c r="P54" s="463"/>
    </row>
    <row r="55" spans="2:16" x14ac:dyDescent="0.3">
      <c r="B55" s="367"/>
      <c r="C55" s="373" t="s">
        <v>533</v>
      </c>
      <c r="D55" s="366"/>
      <c r="E55" s="366"/>
      <c r="F55" s="303" t="s">
        <v>534</v>
      </c>
      <c r="G55" s="366"/>
      <c r="H55" s="865" t="s">
        <v>535</v>
      </c>
      <c r="I55" s="366"/>
      <c r="J55" s="366"/>
      <c r="K55" s="366"/>
      <c r="L55" s="366"/>
      <c r="M55" s="366"/>
      <c r="N55" s="218">
        <v>107.1</v>
      </c>
      <c r="O55" s="218" t="s">
        <v>515</v>
      </c>
      <c r="P55" s="463"/>
    </row>
    <row r="56" spans="2:16" x14ac:dyDescent="0.3">
      <c r="B56" s="367"/>
      <c r="C56" s="373"/>
      <c r="D56" s="366"/>
      <c r="E56" s="366"/>
      <c r="F56" s="304"/>
      <c r="G56" s="366"/>
      <c r="H56" s="910"/>
      <c r="I56" s="366"/>
      <c r="J56" s="366"/>
      <c r="K56" s="366"/>
      <c r="L56" s="366"/>
      <c r="M56" s="366"/>
      <c r="N56" s="868"/>
      <c r="O56" s="868"/>
      <c r="P56" s="463"/>
    </row>
    <row r="57" spans="2:16" x14ac:dyDescent="0.3">
      <c r="B57" s="367"/>
      <c r="C57" s="374"/>
      <c r="D57" s="366"/>
      <c r="E57" s="366"/>
      <c r="F57" s="563"/>
      <c r="G57" s="366"/>
      <c r="H57" s="867"/>
      <c r="I57" s="366"/>
      <c r="J57" s="366"/>
      <c r="K57" s="366"/>
      <c r="L57" s="366"/>
      <c r="M57" s="366"/>
      <c r="N57" s="868"/>
      <c r="O57" s="578"/>
      <c r="P57" s="463"/>
    </row>
    <row r="58" spans="2:16" x14ac:dyDescent="0.3">
      <c r="B58" s="367"/>
      <c r="C58" s="373" t="s">
        <v>493</v>
      </c>
      <c r="D58" s="366"/>
      <c r="E58" s="366"/>
      <c r="F58" s="303" t="s">
        <v>494</v>
      </c>
      <c r="G58" s="366"/>
      <c r="H58" s="370" t="s">
        <v>495</v>
      </c>
      <c r="I58" s="366"/>
      <c r="J58" s="366"/>
      <c r="K58" s="366"/>
      <c r="L58" s="366"/>
      <c r="M58" s="366"/>
      <c r="N58" s="218">
        <v>14000</v>
      </c>
      <c r="O58" s="369" t="s">
        <v>496</v>
      </c>
      <c r="P58" s="463"/>
    </row>
    <row r="59" spans="2:16" x14ac:dyDescent="0.3">
      <c r="B59" s="367"/>
      <c r="C59" s="373"/>
      <c r="D59" s="366"/>
      <c r="E59" s="366"/>
      <c r="F59" s="304"/>
      <c r="G59" s="366"/>
      <c r="H59" s="370" t="s">
        <v>677</v>
      </c>
      <c r="I59" s="366"/>
      <c r="J59" s="366"/>
      <c r="K59" s="366"/>
      <c r="L59" s="366"/>
      <c r="M59" s="366"/>
      <c r="N59" s="218">
        <v>590</v>
      </c>
      <c r="O59" s="369" t="s">
        <v>678</v>
      </c>
      <c r="P59" s="463"/>
    </row>
    <row r="60" spans="2:16" x14ac:dyDescent="0.3">
      <c r="B60" s="367"/>
      <c r="C60" s="373"/>
      <c r="D60" s="366"/>
      <c r="E60" s="366"/>
      <c r="F60" s="304"/>
      <c r="G60" s="366"/>
      <c r="H60" s="370" t="s">
        <v>497</v>
      </c>
      <c r="I60" s="366"/>
      <c r="J60" s="366"/>
      <c r="K60" s="366"/>
      <c r="L60" s="366"/>
      <c r="M60" s="366"/>
      <c r="N60" s="218">
        <v>2.5</v>
      </c>
      <c r="O60" s="369" t="s">
        <v>378</v>
      </c>
      <c r="P60" s="463"/>
    </row>
    <row r="61" spans="2:16" x14ac:dyDescent="0.3">
      <c r="B61" s="367"/>
      <c r="C61" s="373"/>
      <c r="D61" s="366"/>
      <c r="E61" s="366"/>
      <c r="F61" s="304"/>
      <c r="G61" s="366"/>
      <c r="H61" s="563"/>
      <c r="I61" s="366"/>
      <c r="J61" s="366"/>
      <c r="K61" s="366"/>
      <c r="L61" s="366"/>
      <c r="M61" s="366"/>
      <c r="N61" s="868"/>
      <c r="O61" s="578"/>
      <c r="P61" s="463"/>
    </row>
    <row r="62" spans="2:16" x14ac:dyDescent="0.3">
      <c r="B62" s="367"/>
      <c r="C62" s="374"/>
      <c r="D62" s="366"/>
      <c r="E62" s="366"/>
      <c r="G62" s="366"/>
      <c r="H62" s="563"/>
      <c r="I62" s="366"/>
      <c r="N62" s="578"/>
      <c r="O62" s="578"/>
      <c r="P62" s="366"/>
    </row>
    <row r="63" spans="2:16" x14ac:dyDescent="0.3">
      <c r="B63" s="367"/>
      <c r="C63" s="303" t="s">
        <v>651</v>
      </c>
      <c r="D63" s="366"/>
      <c r="E63" s="366"/>
      <c r="F63" s="370" t="s">
        <v>367</v>
      </c>
      <c r="G63" s="366"/>
      <c r="H63" s="865" t="s">
        <v>650</v>
      </c>
      <c r="I63" s="366"/>
      <c r="N63" s="982">
        <v>90</v>
      </c>
      <c r="O63" s="369" t="s">
        <v>378</v>
      </c>
      <c r="P63" s="366"/>
    </row>
    <row r="64" spans="2:16" x14ac:dyDescent="0.3">
      <c r="B64" s="367"/>
      <c r="C64" s="303"/>
      <c r="D64" s="366"/>
      <c r="E64" s="366"/>
      <c r="F64" s="563"/>
      <c r="G64" s="366"/>
      <c r="H64" s="910"/>
      <c r="I64" s="366"/>
      <c r="N64" s="578"/>
      <c r="O64" s="578"/>
      <c r="P64" s="366"/>
    </row>
    <row r="65" spans="2:17" x14ac:dyDescent="0.3">
      <c r="B65" s="367"/>
      <c r="C65" s="303"/>
      <c r="D65" s="366"/>
      <c r="E65" s="366"/>
      <c r="F65" s="563"/>
      <c r="G65" s="366"/>
      <c r="H65" s="910"/>
      <c r="I65" s="366"/>
      <c r="N65" s="578"/>
      <c r="O65" s="578"/>
      <c r="P65" s="366"/>
    </row>
    <row r="66" spans="2:17" x14ac:dyDescent="0.3">
      <c r="B66" s="367"/>
      <c r="C66" s="303" t="s">
        <v>674</v>
      </c>
      <c r="D66" s="366"/>
      <c r="E66" s="366"/>
      <c r="F66" s="563" t="s">
        <v>367</v>
      </c>
      <c r="G66" s="366"/>
      <c r="H66" s="865" t="s">
        <v>675</v>
      </c>
      <c r="I66" s="366"/>
      <c r="N66" s="369">
        <f>350/1000</f>
        <v>0.35</v>
      </c>
      <c r="O66" s="369" t="s">
        <v>676</v>
      </c>
      <c r="P66" s="366"/>
    </row>
    <row r="67" spans="2:17" x14ac:dyDescent="0.3">
      <c r="B67" s="367"/>
      <c r="C67" s="304"/>
      <c r="D67" s="366"/>
      <c r="E67" s="366"/>
      <c r="F67" s="304"/>
      <c r="G67" s="366"/>
      <c r="H67" s="563"/>
      <c r="I67" s="366"/>
      <c r="N67" s="578"/>
      <c r="O67" s="371"/>
      <c r="P67" s="366"/>
    </row>
    <row r="68" spans="2:17" x14ac:dyDescent="0.3">
      <c r="B68" s="367"/>
      <c r="C68" s="367"/>
      <c r="D68" s="366"/>
      <c r="E68" s="366"/>
      <c r="F68" s="367"/>
      <c r="G68" s="366"/>
      <c r="H68" s="366"/>
      <c r="I68" s="366"/>
      <c r="N68" s="371"/>
      <c r="O68" s="371"/>
      <c r="P68" s="366"/>
    </row>
    <row r="69" spans="2:17" ht="14.5" x14ac:dyDescent="0.35">
      <c r="B69" s="367" t="s">
        <v>370</v>
      </c>
      <c r="C69" s="367"/>
      <c r="D69" s="366"/>
      <c r="E69" s="366"/>
      <c r="F69" s="416" t="s">
        <v>365</v>
      </c>
      <c r="G69" s="366"/>
      <c r="H69" s="416" t="s">
        <v>516</v>
      </c>
      <c r="I69" s="366"/>
      <c r="N69" s="369" t="s">
        <v>517</v>
      </c>
      <c r="O69" s="369" t="s">
        <v>379</v>
      </c>
      <c r="P69" s="367" t="s">
        <v>522</v>
      </c>
    </row>
    <row r="70" spans="2:17" x14ac:dyDescent="0.3">
      <c r="B70" s="367"/>
      <c r="C70" s="367"/>
      <c r="D70" s="366"/>
      <c r="E70" s="366"/>
      <c r="F70" s="367"/>
      <c r="G70" s="366"/>
      <c r="H70" s="366"/>
      <c r="I70" s="366"/>
      <c r="N70" s="371"/>
      <c r="O70" s="371"/>
      <c r="P70" s="366"/>
    </row>
    <row r="71" spans="2:17" x14ac:dyDescent="0.3">
      <c r="C71" s="367"/>
      <c r="D71" s="366"/>
      <c r="E71" s="366"/>
      <c r="F71" s="370" t="s">
        <v>367</v>
      </c>
      <c r="G71" s="366"/>
      <c r="H71" s="416" t="s">
        <v>559</v>
      </c>
      <c r="I71" s="366"/>
      <c r="N71" s="369" t="s">
        <v>560</v>
      </c>
      <c r="O71" s="369" t="s">
        <v>376</v>
      </c>
      <c r="P71" s="367" t="s">
        <v>514</v>
      </c>
    </row>
    <row r="72" spans="2:17" x14ac:dyDescent="0.3">
      <c r="C72" s="367"/>
      <c r="D72" s="366"/>
      <c r="E72" s="366"/>
      <c r="F72" s="563"/>
      <c r="G72" s="366"/>
      <c r="H72" s="416" t="s">
        <v>563</v>
      </c>
      <c r="I72" s="366"/>
      <c r="N72" s="369">
        <v>12.54</v>
      </c>
      <c r="O72" s="369" t="s">
        <v>376</v>
      </c>
      <c r="P72" s="367" t="s">
        <v>564</v>
      </c>
    </row>
    <row r="73" spans="2:17" ht="14.5" x14ac:dyDescent="0.35">
      <c r="B73" s="367"/>
      <c r="C73" s="367"/>
      <c r="D73" s="366"/>
      <c r="E73" s="366"/>
      <c r="F73" s="367"/>
      <c r="G73" s="366"/>
      <c r="H73" s="865" t="s">
        <v>518</v>
      </c>
      <c r="I73" s="366"/>
      <c r="N73" s="369" t="s">
        <v>524</v>
      </c>
      <c r="O73" s="369" t="s">
        <v>379</v>
      </c>
      <c r="P73" s="367" t="s">
        <v>522</v>
      </c>
    </row>
    <row r="74" spans="2:17" ht="14.5" x14ac:dyDescent="0.35">
      <c r="B74" s="367"/>
      <c r="C74" s="367"/>
      <c r="D74" s="366"/>
      <c r="E74" s="366"/>
      <c r="F74" s="367"/>
      <c r="G74" s="366"/>
      <c r="H74" s="865" t="s">
        <v>519</v>
      </c>
      <c r="I74" s="366"/>
      <c r="N74" s="369" t="s">
        <v>523</v>
      </c>
      <c r="O74" s="369" t="s">
        <v>379</v>
      </c>
      <c r="P74" s="367" t="s">
        <v>522</v>
      </c>
    </row>
    <row r="75" spans="2:17" x14ac:dyDescent="0.3">
      <c r="B75" s="367"/>
      <c r="C75" s="367"/>
      <c r="D75" s="366"/>
      <c r="E75" s="366"/>
      <c r="F75" s="367"/>
      <c r="G75" s="366"/>
      <c r="H75" s="865" t="s">
        <v>502</v>
      </c>
      <c r="I75" s="976"/>
      <c r="J75" s="976"/>
      <c r="K75" s="976"/>
      <c r="L75" s="976"/>
      <c r="M75" s="976"/>
      <c r="N75" s="977">
        <v>240.7</v>
      </c>
      <c r="O75" s="978" t="s">
        <v>561</v>
      </c>
      <c r="P75" s="367" t="s">
        <v>562</v>
      </c>
    </row>
    <row r="76" spans="2:17" x14ac:dyDescent="0.3">
      <c r="B76" s="367"/>
      <c r="C76" s="367"/>
      <c r="D76" s="366"/>
      <c r="E76" s="366"/>
      <c r="F76" s="367"/>
      <c r="G76" s="366"/>
      <c r="H76" s="563"/>
      <c r="I76" s="366"/>
      <c r="N76" s="371"/>
      <c r="O76" s="371"/>
      <c r="P76" s="366"/>
    </row>
    <row r="77" spans="2:17" x14ac:dyDescent="0.3">
      <c r="B77" s="367" t="s">
        <v>371</v>
      </c>
      <c r="C77" s="367"/>
      <c r="D77" s="366"/>
      <c r="E77" s="366"/>
      <c r="F77" s="416" t="s">
        <v>365</v>
      </c>
      <c r="G77" s="366"/>
      <c r="H77" s="370" t="s">
        <v>648</v>
      </c>
      <c r="I77" s="366"/>
      <c r="N77" s="369">
        <v>3.5</v>
      </c>
      <c r="O77" s="369" t="s">
        <v>377</v>
      </c>
      <c r="P77" s="367" t="s">
        <v>364</v>
      </c>
      <c r="Q77" s="303" t="s">
        <v>211</v>
      </c>
    </row>
    <row r="78" spans="2:17" x14ac:dyDescent="0.3">
      <c r="B78" s="367"/>
      <c r="C78" s="367"/>
      <c r="D78" s="366"/>
      <c r="E78" s="366"/>
      <c r="F78" s="415"/>
      <c r="G78" s="366"/>
      <c r="H78" s="563"/>
      <c r="I78" s="366"/>
      <c r="N78" s="578"/>
      <c r="O78" s="578"/>
      <c r="P78" s="367"/>
      <c r="Q78" s="304"/>
    </row>
    <row r="79" spans="2:17" x14ac:dyDescent="0.3">
      <c r="B79" s="367"/>
      <c r="C79" s="366"/>
      <c r="D79" s="366"/>
      <c r="E79" s="366"/>
      <c r="F79" s="416" t="s">
        <v>366</v>
      </c>
      <c r="G79" s="366"/>
      <c r="H79" s="865" t="s">
        <v>362</v>
      </c>
      <c r="I79" s="366"/>
      <c r="J79" s="366"/>
      <c r="K79" s="366"/>
      <c r="N79" s="417" t="s">
        <v>363</v>
      </c>
      <c r="O79" s="369" t="s">
        <v>379</v>
      </c>
      <c r="Q79" s="303" t="s">
        <v>211</v>
      </c>
    </row>
    <row r="80" spans="2:17" x14ac:dyDescent="0.3">
      <c r="B80" s="367"/>
      <c r="C80" s="366"/>
      <c r="D80" s="366"/>
      <c r="E80" s="366"/>
      <c r="F80" s="366"/>
      <c r="G80" s="366"/>
      <c r="H80" s="366"/>
      <c r="I80" s="366"/>
      <c r="J80" s="366"/>
      <c r="K80" s="366"/>
      <c r="L80" s="366"/>
      <c r="M80" s="366"/>
      <c r="Q80" s="63"/>
    </row>
    <row r="81" spans="2:17" x14ac:dyDescent="0.3">
      <c r="B81" s="367"/>
      <c r="C81" s="366"/>
      <c r="D81" s="366"/>
      <c r="E81" s="366"/>
      <c r="F81" s="370" t="s">
        <v>367</v>
      </c>
      <c r="G81" s="366"/>
      <c r="H81" s="370" t="s">
        <v>487</v>
      </c>
      <c r="I81" s="366"/>
      <c r="J81" s="366"/>
      <c r="K81" s="366"/>
      <c r="L81" s="366"/>
      <c r="M81" s="366"/>
      <c r="N81" s="301" t="s">
        <v>488</v>
      </c>
      <c r="O81" s="369" t="s">
        <v>489</v>
      </c>
      <c r="Q81" s="303" t="s">
        <v>212</v>
      </c>
    </row>
    <row r="82" spans="2:17" x14ac:dyDescent="0.3">
      <c r="B82" s="367"/>
      <c r="C82" s="366"/>
      <c r="D82" s="366"/>
      <c r="E82" s="366"/>
      <c r="F82" s="366"/>
      <c r="G82" s="366"/>
      <c r="H82" s="865" t="s">
        <v>491</v>
      </c>
      <c r="I82" s="366"/>
      <c r="J82" s="366"/>
      <c r="K82" s="366"/>
      <c r="L82" s="366"/>
      <c r="M82" s="366"/>
      <c r="N82" s="866">
        <v>180</v>
      </c>
      <c r="O82" s="369" t="s">
        <v>379</v>
      </c>
      <c r="Q82" s="303" t="s">
        <v>212</v>
      </c>
    </row>
    <row r="83" spans="2:17" x14ac:dyDescent="0.3">
      <c r="B83" s="367"/>
      <c r="C83" s="366"/>
      <c r="D83" s="366"/>
      <c r="E83" s="366"/>
      <c r="F83" s="366"/>
      <c r="G83" s="366"/>
      <c r="H83" s="865" t="s">
        <v>656</v>
      </c>
      <c r="I83" s="366"/>
      <c r="J83" s="366"/>
      <c r="K83" s="366"/>
      <c r="L83" s="366"/>
      <c r="M83" s="366"/>
      <c r="N83" s="866">
        <v>120</v>
      </c>
      <c r="O83" s="369" t="s">
        <v>379</v>
      </c>
      <c r="Q83" s="303" t="s">
        <v>212</v>
      </c>
    </row>
    <row r="84" spans="2:17" x14ac:dyDescent="0.3">
      <c r="C84" s="366"/>
      <c r="D84" s="366"/>
      <c r="E84" s="366"/>
      <c r="F84" s="366"/>
      <c r="G84" s="366"/>
      <c r="H84" s="865" t="s">
        <v>498</v>
      </c>
      <c r="I84" s="366"/>
      <c r="J84" s="366"/>
      <c r="K84" s="366"/>
      <c r="L84" s="366"/>
      <c r="M84" s="366"/>
      <c r="N84" s="1004">
        <v>45</v>
      </c>
      <c r="O84" s="369" t="s">
        <v>379</v>
      </c>
      <c r="Q84" s="303" t="s">
        <v>212</v>
      </c>
    </row>
    <row r="85" spans="2:17" x14ac:dyDescent="0.3">
      <c r="C85" s="366"/>
      <c r="D85" s="366"/>
      <c r="E85" s="366"/>
      <c r="F85" s="366"/>
      <c r="G85" s="366"/>
      <c r="H85" s="865" t="s">
        <v>500</v>
      </c>
      <c r="N85" s="579">
        <v>20</v>
      </c>
      <c r="O85" s="369" t="s">
        <v>379</v>
      </c>
      <c r="Q85" s="303" t="s">
        <v>211</v>
      </c>
    </row>
    <row r="86" spans="2:17" x14ac:dyDescent="0.3">
      <c r="C86" s="366"/>
      <c r="D86" s="366"/>
      <c r="E86" s="366"/>
      <c r="F86" s="366"/>
      <c r="G86" s="366"/>
      <c r="H86" s="865" t="s">
        <v>501</v>
      </c>
      <c r="I86" s="366"/>
      <c r="J86" s="366"/>
      <c r="K86" s="366"/>
      <c r="L86" s="366"/>
      <c r="M86" s="366"/>
      <c r="N86" s="579">
        <v>40.299999999999997</v>
      </c>
      <c r="O86" s="369" t="s">
        <v>379</v>
      </c>
      <c r="Q86" s="303" t="s">
        <v>211</v>
      </c>
    </row>
    <row r="87" spans="2:17" x14ac:dyDescent="0.3">
      <c r="C87" s="366"/>
      <c r="D87" s="366"/>
      <c r="E87" s="366"/>
      <c r="F87" s="366"/>
      <c r="G87" s="366"/>
      <c r="H87" s="865" t="s">
        <v>684</v>
      </c>
      <c r="I87" s="366"/>
      <c r="J87" s="366"/>
      <c r="K87" s="366"/>
      <c r="L87" s="366"/>
      <c r="M87" s="366"/>
      <c r="N87" s="579" t="s">
        <v>685</v>
      </c>
      <c r="O87" s="369" t="s">
        <v>379</v>
      </c>
      <c r="Q87" s="303" t="s">
        <v>212</v>
      </c>
    </row>
    <row r="88" spans="2:17" x14ac:dyDescent="0.3">
      <c r="H88" s="16" t="s">
        <v>504</v>
      </c>
      <c r="N88" s="218">
        <v>170</v>
      </c>
      <c r="O88" s="369" t="s">
        <v>379</v>
      </c>
      <c r="Q88" s="210" t="s">
        <v>503</v>
      </c>
    </row>
    <row r="89" spans="2:17" x14ac:dyDescent="0.3">
      <c r="H89" s="16" t="s">
        <v>526</v>
      </c>
      <c r="N89" s="218" t="s">
        <v>525</v>
      </c>
      <c r="O89" s="369" t="s">
        <v>379</v>
      </c>
      <c r="Q89" s="303" t="s">
        <v>212</v>
      </c>
    </row>
  </sheetData>
  <sheetProtection selectLockedCells="1" selectUnlockedCells="1"/>
  <pageMargins left="0.7" right="0.7" top="0.75" bottom="0.75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P69"/>
  <sheetViews>
    <sheetView topLeftCell="A3" workbookViewId="0">
      <selection activeCell="E4" sqref="E4"/>
    </sheetView>
  </sheetViews>
  <sheetFormatPr defaultColWidth="9" defaultRowHeight="14" x14ac:dyDescent="0.3"/>
  <cols>
    <col min="2" max="2" width="17.75" customWidth="1"/>
  </cols>
  <sheetData>
    <row r="3" spans="2:16" x14ac:dyDescent="0.3">
      <c r="B3" s="366"/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</row>
    <row r="4" spans="2:16" x14ac:dyDescent="0.3">
      <c r="B4" s="503"/>
      <c r="C4" s="432"/>
      <c r="D4" s="511" t="s">
        <v>4</v>
      </c>
      <c r="E4" s="511" t="s">
        <v>647</v>
      </c>
      <c r="F4" s="511" t="s">
        <v>5</v>
      </c>
      <c r="G4" s="511" t="s">
        <v>6</v>
      </c>
      <c r="H4" s="511" t="s">
        <v>258</v>
      </c>
      <c r="I4" s="366"/>
      <c r="J4" s="366"/>
      <c r="K4" s="366"/>
      <c r="L4" s="366"/>
      <c r="M4" s="366"/>
      <c r="N4" s="366"/>
      <c r="O4" s="366"/>
      <c r="P4" s="366"/>
    </row>
    <row r="5" spans="2:16" x14ac:dyDescent="0.3">
      <c r="B5" s="722" t="s">
        <v>220</v>
      </c>
      <c r="C5" s="722" t="s">
        <v>337</v>
      </c>
      <c r="D5" s="154">
        <f>'Arable Inputs'!D18</f>
        <v>4.5999999999999996</v>
      </c>
      <c r="E5" s="154">
        <f>'Arable Inputs'!E18</f>
        <v>2.5</v>
      </c>
      <c r="F5" s="154">
        <f>'Arable Inputs'!F18</f>
        <v>3.5</v>
      </c>
      <c r="G5" s="154">
        <f>'Arable Inputs'!G18</f>
        <v>56.8</v>
      </c>
      <c r="H5" s="154">
        <f>'Arable Inputs'!H18</f>
        <v>12</v>
      </c>
      <c r="I5" s="366"/>
      <c r="J5" s="366"/>
      <c r="K5" s="366"/>
      <c r="L5" s="366"/>
      <c r="M5" s="366"/>
      <c r="N5" s="366"/>
      <c r="O5" s="366"/>
      <c r="P5" s="366"/>
    </row>
    <row r="6" spans="2:16" x14ac:dyDescent="0.3">
      <c r="B6" s="366"/>
      <c r="C6" s="366"/>
      <c r="D6" s="366"/>
      <c r="E6" s="366"/>
      <c r="F6" s="366"/>
      <c r="G6" s="366"/>
      <c r="H6" s="366"/>
      <c r="I6" s="366"/>
      <c r="J6" s="366"/>
      <c r="K6" s="366"/>
      <c r="L6" s="366"/>
      <c r="M6" s="366"/>
      <c r="N6" s="366"/>
      <c r="O6" s="366"/>
      <c r="P6" s="366"/>
    </row>
    <row r="7" spans="2:16" x14ac:dyDescent="0.3">
      <c r="B7" s="366"/>
      <c r="C7" s="366"/>
      <c r="D7" s="366"/>
      <c r="E7" s="366"/>
      <c r="F7" s="366"/>
      <c r="G7" s="366"/>
      <c r="H7" s="366"/>
      <c r="I7" s="366"/>
      <c r="J7" s="366"/>
      <c r="K7" s="366"/>
      <c r="L7" s="366"/>
      <c r="M7" s="366"/>
      <c r="N7" s="366"/>
      <c r="O7" s="366"/>
      <c r="P7" s="366"/>
    </row>
    <row r="8" spans="2:16" x14ac:dyDescent="0.3">
      <c r="B8" s="503"/>
      <c r="C8" s="432"/>
      <c r="D8" s="511" t="s">
        <v>4</v>
      </c>
      <c r="E8" s="511" t="s">
        <v>647</v>
      </c>
      <c r="F8" s="511" t="s">
        <v>5</v>
      </c>
      <c r="G8" s="511" t="s">
        <v>6</v>
      </c>
      <c r="H8" s="511" t="s">
        <v>258</v>
      </c>
      <c r="I8" s="366"/>
      <c r="J8" s="366"/>
      <c r="K8" s="366"/>
      <c r="L8" s="366"/>
      <c r="M8" s="366"/>
      <c r="N8" s="366"/>
      <c r="O8" s="366"/>
      <c r="P8" s="366"/>
    </row>
    <row r="9" spans="2:16" x14ac:dyDescent="0.3">
      <c r="B9" s="722" t="s">
        <v>222</v>
      </c>
      <c r="C9" s="722" t="s">
        <v>568</v>
      </c>
      <c r="D9" s="155">
        <f>'Arable Inputs'!D25</f>
        <v>867</v>
      </c>
      <c r="E9" s="155">
        <f>'Arable Inputs'!E25</f>
        <v>721</v>
      </c>
      <c r="F9" s="155">
        <f>'Arable Inputs'!F25</f>
        <v>1645</v>
      </c>
      <c r="G9" s="155">
        <f>'Arable Inputs'!G25</f>
        <v>120</v>
      </c>
      <c r="H9" s="155">
        <f>'Arable Inputs'!H25</f>
        <v>724</v>
      </c>
      <c r="I9" s="366"/>
      <c r="J9" s="366"/>
      <c r="K9" s="366"/>
      <c r="L9" s="366"/>
      <c r="M9" s="366"/>
      <c r="N9" s="366"/>
      <c r="O9" s="366"/>
      <c r="P9" s="366"/>
    </row>
    <row r="10" spans="2:16" x14ac:dyDescent="0.3">
      <c r="B10" s="366"/>
      <c r="C10" s="366"/>
      <c r="D10" s="366"/>
      <c r="E10" s="366"/>
      <c r="F10" s="366"/>
      <c r="G10" s="366"/>
      <c r="H10" s="366"/>
      <c r="I10" s="366"/>
      <c r="J10" s="366"/>
      <c r="K10" s="366"/>
      <c r="L10" s="366"/>
      <c r="M10" s="366"/>
      <c r="N10" s="366"/>
      <c r="O10" s="366"/>
      <c r="P10" s="366"/>
    </row>
    <row r="11" spans="2:16" x14ac:dyDescent="0.3">
      <c r="B11" s="366"/>
      <c r="C11" s="366"/>
      <c r="D11" s="366"/>
      <c r="E11" s="366"/>
      <c r="F11" s="366"/>
      <c r="G11" s="366"/>
      <c r="H11" s="366"/>
      <c r="I11" s="366"/>
      <c r="J11" s="366"/>
      <c r="K11" s="366"/>
      <c r="L11" s="366"/>
      <c r="M11" s="366"/>
      <c r="N11" s="366"/>
      <c r="O11" s="366"/>
      <c r="P11" s="366"/>
    </row>
    <row r="12" spans="2:16" x14ac:dyDescent="0.3">
      <c r="B12" s="722" t="s">
        <v>217</v>
      </c>
      <c r="C12" s="723" t="s">
        <v>567</v>
      </c>
      <c r="D12" s="155">
        <f>'Arable Inputs'!D10</f>
        <v>471.64</v>
      </c>
      <c r="E12" s="366"/>
      <c r="F12" s="366"/>
      <c r="G12" s="366"/>
      <c r="H12" s="366"/>
      <c r="I12" s="366"/>
      <c r="J12" s="366"/>
      <c r="K12" s="366"/>
      <c r="L12" s="366"/>
      <c r="M12" s="366"/>
      <c r="N12" s="366"/>
      <c r="O12" s="366"/>
      <c r="P12" s="366"/>
    </row>
    <row r="13" spans="2:16" x14ac:dyDescent="0.3">
      <c r="B13" s="366"/>
      <c r="C13" s="366"/>
      <c r="D13" s="366"/>
      <c r="E13" s="366"/>
      <c r="F13" s="366"/>
      <c r="G13" s="366"/>
      <c r="H13" s="366"/>
      <c r="I13" s="366"/>
      <c r="J13" s="366"/>
      <c r="K13" s="366"/>
      <c r="L13" s="366"/>
      <c r="M13" s="366"/>
      <c r="N13" s="366"/>
      <c r="O13" s="366"/>
      <c r="P13" s="366"/>
    </row>
    <row r="14" spans="2:16" x14ac:dyDescent="0.3"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  <c r="M14" s="366"/>
      <c r="N14" s="366"/>
      <c r="O14" s="366"/>
      <c r="P14" s="366"/>
    </row>
    <row r="15" spans="2:16" x14ac:dyDescent="0.3">
      <c r="B15" s="515" t="s">
        <v>334</v>
      </c>
      <c r="C15" s="678"/>
      <c r="D15" s="511" t="s">
        <v>4</v>
      </c>
      <c r="E15" s="511" t="s">
        <v>647</v>
      </c>
      <c r="F15" s="511" t="s">
        <v>5</v>
      </c>
      <c r="G15" s="511" t="s">
        <v>6</v>
      </c>
      <c r="H15" s="511" t="s">
        <v>258</v>
      </c>
      <c r="I15" s="366"/>
      <c r="J15" s="366"/>
      <c r="K15" s="366"/>
      <c r="L15" s="366"/>
      <c r="M15" s="366"/>
      <c r="N15" s="366"/>
      <c r="O15" s="366"/>
      <c r="P15" s="366"/>
    </row>
    <row r="16" spans="2:16" x14ac:dyDescent="0.3">
      <c r="B16" s="355" t="s">
        <v>10</v>
      </c>
      <c r="C16" s="356" t="s">
        <v>571</v>
      </c>
      <c r="D16" s="111">
        <f>'Arable margins'!E47</f>
        <v>2731.3292000000006</v>
      </c>
      <c r="E16" s="111">
        <f>'Arable margins'!F47</f>
        <v>1959.4805899999999</v>
      </c>
      <c r="F16" s="111">
        <f>'Arable margins'!G47</f>
        <v>3562.03775</v>
      </c>
      <c r="G16" s="111">
        <f>'Arable margins'!H47</f>
        <v>3648.3062999999997</v>
      </c>
      <c r="H16" s="111">
        <f>'Arable margins'!I47</f>
        <v>2474.37212</v>
      </c>
      <c r="I16" s="366"/>
      <c r="J16" s="366"/>
      <c r="K16" s="366"/>
      <c r="L16" s="366"/>
      <c r="M16" s="366"/>
      <c r="N16" s="366"/>
      <c r="O16" s="366"/>
      <c r="P16" s="366"/>
    </row>
    <row r="17" spans="2:16" x14ac:dyDescent="0.3">
      <c r="B17" s="366"/>
      <c r="C17" s="366"/>
      <c r="D17" s="366"/>
      <c r="E17" s="366"/>
      <c r="F17" s="366"/>
      <c r="G17" s="366"/>
      <c r="H17" s="366"/>
      <c r="I17" s="366"/>
      <c r="J17" s="366"/>
      <c r="K17" s="366"/>
      <c r="L17" s="366"/>
      <c r="M17" s="366"/>
      <c r="N17" s="366"/>
      <c r="O17" s="366"/>
      <c r="P17" s="366"/>
    </row>
    <row r="18" spans="2:16" x14ac:dyDescent="0.3"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  <c r="N18" s="366"/>
      <c r="O18" s="366"/>
      <c r="P18" s="366"/>
    </row>
    <row r="19" spans="2:16" x14ac:dyDescent="0.3">
      <c r="B19" s="515" t="s">
        <v>20</v>
      </c>
      <c r="C19" s="678"/>
      <c r="D19" s="511" t="s">
        <v>4</v>
      </c>
      <c r="E19" s="511" t="s">
        <v>647</v>
      </c>
      <c r="F19" s="511" t="s">
        <v>5</v>
      </c>
      <c r="G19" s="511" t="s">
        <v>6</v>
      </c>
      <c r="H19" s="511" t="s">
        <v>258</v>
      </c>
      <c r="I19" s="366"/>
      <c r="J19" s="366"/>
      <c r="K19" s="366"/>
      <c r="L19" s="366"/>
      <c r="M19" s="366"/>
      <c r="N19" s="366"/>
      <c r="O19" s="366"/>
      <c r="P19" s="366"/>
    </row>
    <row r="20" spans="2:16" x14ac:dyDescent="0.3">
      <c r="B20" s="357" t="s">
        <v>10</v>
      </c>
      <c r="C20" s="356" t="s">
        <v>571</v>
      </c>
      <c r="D20" s="100">
        <f>'Arable margins'!E76</f>
        <v>4055.6064000000006</v>
      </c>
      <c r="E20" s="100">
        <f>'Arable margins'!F76</f>
        <v>3608.9468000000006</v>
      </c>
      <c r="F20" s="100">
        <f>'Arable margins'!G76</f>
        <v>2542.6675999999998</v>
      </c>
      <c r="G20" s="100">
        <f>'Arable margins'!H76</f>
        <v>3375.8132000000005</v>
      </c>
      <c r="H20" s="100">
        <f>'Arable margins'!I76</f>
        <v>3226.3624</v>
      </c>
      <c r="I20" s="366"/>
      <c r="J20" s="366"/>
      <c r="K20" s="366"/>
      <c r="L20" s="366"/>
      <c r="M20" s="366"/>
      <c r="N20" s="366"/>
      <c r="O20" s="366"/>
      <c r="P20" s="366"/>
    </row>
    <row r="21" spans="2:16" x14ac:dyDescent="0.3">
      <c r="B21" s="366"/>
      <c r="C21" s="366"/>
      <c r="D21" s="366"/>
      <c r="E21" s="366"/>
      <c r="F21" s="366"/>
      <c r="G21" s="366"/>
      <c r="H21" s="366"/>
      <c r="I21" s="366"/>
      <c r="J21" s="366"/>
      <c r="K21" s="366"/>
      <c r="L21" s="366"/>
      <c r="M21" s="366"/>
      <c r="N21" s="366"/>
      <c r="O21" s="366"/>
      <c r="P21" s="366"/>
    </row>
    <row r="22" spans="2:16" x14ac:dyDescent="0.3">
      <c r="B22" s="366"/>
      <c r="C22" s="366"/>
      <c r="D22" s="366"/>
      <c r="E22" s="366"/>
      <c r="F22" s="366"/>
      <c r="G22" s="366"/>
      <c r="H22" s="366"/>
      <c r="I22" s="366"/>
      <c r="J22" s="366"/>
      <c r="K22" s="366"/>
      <c r="L22" s="366"/>
      <c r="M22" s="366"/>
      <c r="N22" s="366"/>
      <c r="O22" s="366"/>
      <c r="P22" s="366"/>
    </row>
    <row r="23" spans="2:16" x14ac:dyDescent="0.3">
      <c r="B23" s="515" t="s">
        <v>640</v>
      </c>
      <c r="C23" s="678"/>
      <c r="D23" s="511" t="s">
        <v>4</v>
      </c>
      <c r="E23" s="511" t="s">
        <v>647</v>
      </c>
      <c r="F23" s="511" t="s">
        <v>5</v>
      </c>
      <c r="G23" s="511" t="s">
        <v>6</v>
      </c>
      <c r="H23" s="511" t="s">
        <v>258</v>
      </c>
      <c r="I23" s="366"/>
      <c r="J23" s="366"/>
      <c r="K23" s="366"/>
      <c r="L23" s="366"/>
      <c r="M23" s="366"/>
      <c r="N23" s="366"/>
      <c r="O23" s="366"/>
      <c r="P23" s="366"/>
    </row>
    <row r="24" spans="2:16" x14ac:dyDescent="0.3">
      <c r="B24" s="331" t="s">
        <v>10</v>
      </c>
      <c r="C24" s="333" t="s">
        <v>571</v>
      </c>
      <c r="D24" s="691">
        <f>'Margins summary'!E12</f>
        <v>4674.2</v>
      </c>
      <c r="E24" s="691">
        <f>'Margins summary'!F12</f>
        <v>2162.5</v>
      </c>
      <c r="F24" s="691">
        <f>'Margins summary'!G12</f>
        <v>6429.5</v>
      </c>
      <c r="G24" s="691">
        <f>'Margins summary'!H12</f>
        <v>6816</v>
      </c>
      <c r="H24" s="691">
        <f>'Margins summary'!I12</f>
        <v>8688</v>
      </c>
      <c r="I24" s="366"/>
      <c r="J24" s="366"/>
      <c r="K24" s="366"/>
      <c r="L24" s="366"/>
      <c r="M24" s="366"/>
      <c r="N24" s="366"/>
      <c r="O24" s="366"/>
      <c r="P24" s="366"/>
    </row>
    <row r="25" spans="2:16" x14ac:dyDescent="0.3"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6" spans="2:16" x14ac:dyDescent="0.3">
      <c r="B26" s="366"/>
      <c r="C26" s="366"/>
      <c r="D26" s="366"/>
      <c r="E26" s="366"/>
      <c r="F26" s="366"/>
      <c r="G26" s="366"/>
      <c r="H26" s="366"/>
      <c r="I26" s="366"/>
      <c r="J26" s="366"/>
      <c r="K26" s="366"/>
      <c r="L26" s="366"/>
      <c r="M26" s="366"/>
      <c r="N26" s="366"/>
      <c r="O26" s="366"/>
      <c r="P26" s="366"/>
    </row>
    <row r="27" spans="2:16" x14ac:dyDescent="0.3">
      <c r="B27" s="515" t="s">
        <v>641</v>
      </c>
      <c r="C27" s="678"/>
      <c r="D27" s="511" t="s">
        <v>4</v>
      </c>
      <c r="E27" s="511" t="s">
        <v>647</v>
      </c>
      <c r="F27" s="511" t="s">
        <v>5</v>
      </c>
      <c r="G27" s="511" t="s">
        <v>6</v>
      </c>
      <c r="H27" s="511" t="s">
        <v>258</v>
      </c>
      <c r="I27" s="366"/>
      <c r="J27" s="366"/>
      <c r="K27" s="366"/>
      <c r="L27" s="366"/>
      <c r="M27" s="366"/>
      <c r="N27" s="366"/>
      <c r="O27" s="366"/>
      <c r="P27" s="366"/>
    </row>
    <row r="28" spans="2:16" x14ac:dyDescent="0.3">
      <c r="B28" s="331" t="s">
        <v>10</v>
      </c>
      <c r="C28" s="333" t="s">
        <v>571</v>
      </c>
      <c r="D28" s="691">
        <f>'Margins summary'!E18</f>
        <v>5145.84</v>
      </c>
      <c r="E28" s="691">
        <f>'Margins summary'!F18</f>
        <v>2634.14</v>
      </c>
      <c r="F28" s="691">
        <f>'Margins summary'!G18</f>
        <v>6901.14</v>
      </c>
      <c r="G28" s="691">
        <f>'Margins summary'!H18</f>
        <v>7287.64</v>
      </c>
      <c r="H28" s="691">
        <f>'Margins summary'!I18</f>
        <v>9159.64</v>
      </c>
      <c r="I28" s="366"/>
      <c r="J28" s="366"/>
      <c r="K28" s="366"/>
      <c r="L28" s="366"/>
      <c r="M28" s="366"/>
      <c r="N28" s="366"/>
      <c r="O28" s="366"/>
      <c r="P28" s="366"/>
    </row>
    <row r="29" spans="2:16" x14ac:dyDescent="0.3">
      <c r="B29" s="366"/>
      <c r="C29" s="366"/>
      <c r="D29" s="366"/>
      <c r="E29" s="366"/>
      <c r="F29" s="366"/>
      <c r="G29" s="366"/>
      <c r="H29" s="366"/>
      <c r="I29" s="366"/>
      <c r="J29" s="366"/>
      <c r="K29" s="366"/>
      <c r="L29" s="366"/>
      <c r="M29" s="366"/>
      <c r="N29" s="366"/>
      <c r="O29" s="366"/>
      <c r="P29" s="366"/>
    </row>
    <row r="30" spans="2:16" x14ac:dyDescent="0.3">
      <c r="B30" s="366"/>
      <c r="C30" s="366"/>
      <c r="D30" s="366"/>
      <c r="E30" s="366"/>
      <c r="F30" s="366"/>
      <c r="G30" s="366"/>
      <c r="H30" s="366"/>
      <c r="I30" s="366"/>
      <c r="J30" s="366"/>
      <c r="K30" s="366"/>
      <c r="L30" s="366"/>
      <c r="M30" s="366"/>
      <c r="N30" s="366"/>
      <c r="O30" s="366"/>
      <c r="P30" s="366"/>
    </row>
    <row r="31" spans="2:16" x14ac:dyDescent="0.3">
      <c r="B31" s="366"/>
      <c r="C31" s="515" t="s">
        <v>642</v>
      </c>
      <c r="D31" s="677"/>
      <c r="E31" s="677"/>
      <c r="F31" s="677"/>
      <c r="G31" s="677"/>
      <c r="H31" s="678"/>
      <c r="I31" s="366"/>
      <c r="J31" s="515" t="s">
        <v>643</v>
      </c>
      <c r="K31" s="677"/>
      <c r="L31" s="677"/>
      <c r="M31" s="677"/>
      <c r="N31" s="677"/>
      <c r="O31" s="678"/>
      <c r="P31" s="366"/>
    </row>
    <row r="32" spans="2:16" x14ac:dyDescent="0.3">
      <c r="B32" s="358"/>
      <c r="C32" s="561"/>
      <c r="D32" s="724" t="s">
        <v>4</v>
      </c>
      <c r="E32" s="724" t="s">
        <v>647</v>
      </c>
      <c r="F32" s="724" t="s">
        <v>5</v>
      </c>
      <c r="G32" s="724" t="s">
        <v>6</v>
      </c>
      <c r="H32" s="724" t="s">
        <v>258</v>
      </c>
      <c r="I32" s="366"/>
      <c r="J32" s="561"/>
      <c r="K32" s="724" t="s">
        <v>4</v>
      </c>
      <c r="L32" s="724" t="s">
        <v>647</v>
      </c>
      <c r="M32" s="724" t="s">
        <v>5</v>
      </c>
      <c r="N32" s="724" t="s">
        <v>6</v>
      </c>
      <c r="O32" s="724" t="s">
        <v>258</v>
      </c>
      <c r="P32" s="366"/>
    </row>
    <row r="33" spans="2:16" x14ac:dyDescent="0.3">
      <c r="B33" s="366"/>
      <c r="C33" s="725">
        <v>1</v>
      </c>
      <c r="D33" s="556">
        <f>'Arable NPV'!N13</f>
        <v>-2112.7356000000009</v>
      </c>
      <c r="E33" s="556">
        <f>'Arable NPV'!N39</f>
        <v>-3405.9273900000007</v>
      </c>
      <c r="F33" s="556">
        <f>'Arable NPV'!N65</f>
        <v>324.79464999999982</v>
      </c>
      <c r="G33" s="556">
        <f>'Arable NPV'!N91</f>
        <v>-208.1195000000007</v>
      </c>
      <c r="H33" s="556">
        <f>'Arable NPV'!N117</f>
        <v>2987.26548</v>
      </c>
      <c r="I33" s="366"/>
      <c r="J33" s="725">
        <v>1</v>
      </c>
      <c r="K33" s="556">
        <f>'Arable NPV'!O13</f>
        <v>-1641.095600000001</v>
      </c>
      <c r="L33" s="556">
        <f>'Arable NPV'!O39</f>
        <v>-2934.2873900000009</v>
      </c>
      <c r="M33" s="556">
        <f>'Arable NPV'!O65</f>
        <v>796.43464999999981</v>
      </c>
      <c r="N33" s="556">
        <f>'Arable NPV'!O91</f>
        <v>263.52049999999929</v>
      </c>
      <c r="O33" s="556">
        <f>'Arable NPV'!O117</f>
        <v>3458.9054799999994</v>
      </c>
      <c r="P33" s="366"/>
    </row>
    <row r="34" spans="2:16" x14ac:dyDescent="0.3">
      <c r="B34" s="366"/>
      <c r="C34" s="417">
        <v>2</v>
      </c>
      <c r="D34" s="557">
        <f>'Arable NPV'!N14</f>
        <v>-2031.4765384615393</v>
      </c>
      <c r="E34" s="557">
        <f>'Arable NPV'!N40</f>
        <v>-3274.9301826923083</v>
      </c>
      <c r="F34" s="557">
        <f>'Arable NPV'!N66</f>
        <v>312.3025480769229</v>
      </c>
      <c r="G34" s="557">
        <f>'Arable NPV'!N92</f>
        <v>-200.11490384615445</v>
      </c>
      <c r="H34" s="557">
        <f>'Arable NPV'!N118</f>
        <v>2872.3706538461538</v>
      </c>
      <c r="I34" s="366"/>
      <c r="J34" s="417">
        <v>2</v>
      </c>
      <c r="K34" s="557">
        <f>'Arable NPV'!O14</f>
        <v>-1577.9765384615393</v>
      </c>
      <c r="L34" s="557">
        <f>'Arable NPV'!O40</f>
        <v>-2821.4301826923083</v>
      </c>
      <c r="M34" s="557">
        <f>'Arable NPV'!O66</f>
        <v>765.8025480769229</v>
      </c>
      <c r="N34" s="557">
        <f>'Arable NPV'!O92</f>
        <v>253.3850961538455</v>
      </c>
      <c r="O34" s="557">
        <f>'Arable NPV'!O118</f>
        <v>3325.8706538461533</v>
      </c>
      <c r="P34" s="366"/>
    </row>
    <row r="35" spans="2:16" x14ac:dyDescent="0.3">
      <c r="B35" s="366"/>
      <c r="C35" s="417">
        <v>3</v>
      </c>
      <c r="D35" s="557">
        <f>'Arable NPV'!N15</f>
        <v>-1953.3428254437877</v>
      </c>
      <c r="E35" s="557">
        <f>'Arable NPV'!N41</f>
        <v>-3148.9713295118345</v>
      </c>
      <c r="F35" s="557">
        <f>'Arable NPV'!N67</f>
        <v>300.29091161242559</v>
      </c>
      <c r="G35" s="557">
        <f>'Arable NPV'!N93</f>
        <v>-192.41817677514791</v>
      </c>
      <c r="H35" s="557">
        <f>'Arable NPV'!N119</f>
        <v>2761.8948594674553</v>
      </c>
      <c r="I35" s="366"/>
      <c r="J35" s="417">
        <v>3</v>
      </c>
      <c r="K35" s="557">
        <f>'Arable NPV'!O15</f>
        <v>-1517.2851331360953</v>
      </c>
      <c r="L35" s="557">
        <f>'Arable NPV'!O41</f>
        <v>-2712.9136372041421</v>
      </c>
      <c r="M35" s="557">
        <f>'Arable NPV'!O67</f>
        <v>736.34860392011785</v>
      </c>
      <c r="N35" s="557">
        <f>'Arable NPV'!O93</f>
        <v>243.63951553254435</v>
      </c>
      <c r="O35" s="557">
        <f>'Arable NPV'!O119</f>
        <v>3197.9525517751472</v>
      </c>
      <c r="P35" s="366"/>
    </row>
    <row r="36" spans="2:16" x14ac:dyDescent="0.3">
      <c r="B36" s="366"/>
      <c r="C36" s="417">
        <v>4</v>
      </c>
      <c r="D36" s="557">
        <f>'Arable NPV'!N16</f>
        <v>-1878.2142552344112</v>
      </c>
      <c r="E36" s="557">
        <f>'Arable NPV'!N42</f>
        <v>-3027.8570476075329</v>
      </c>
      <c r="F36" s="557">
        <f>'Arable NPV'!N68</f>
        <v>288.74126116579464</v>
      </c>
      <c r="G36" s="557">
        <f>'Arable NPV'!N94</f>
        <v>-185.01747766841254</v>
      </c>
      <c r="H36" s="557">
        <f>'Arable NPV'!N120</f>
        <v>2655.6681341033227</v>
      </c>
      <c r="I36" s="366"/>
      <c r="J36" s="417">
        <v>4</v>
      </c>
      <c r="K36" s="557">
        <f>'Arable NPV'!O16</f>
        <v>-1458.9280126308608</v>
      </c>
      <c r="L36" s="557">
        <f>'Arable NPV'!O42</f>
        <v>-2608.5708050039825</v>
      </c>
      <c r="M36" s="557">
        <f>'Arable NPV'!O68</f>
        <v>708.02750376934489</v>
      </c>
      <c r="N36" s="557">
        <f>'Arable NPV'!O94</f>
        <v>234.26876493513771</v>
      </c>
      <c r="O36" s="557">
        <f>'Arable NPV'!O120</f>
        <v>3074.9543767068722</v>
      </c>
      <c r="P36" s="366"/>
    </row>
    <row r="37" spans="2:16" x14ac:dyDescent="0.3">
      <c r="B37" s="366"/>
      <c r="C37" s="417">
        <v>5</v>
      </c>
      <c r="D37" s="557">
        <f>'Arable NPV'!N17</f>
        <v>-1805.9752454177028</v>
      </c>
      <c r="E37" s="557">
        <f>'Arable NPV'!N43</f>
        <v>-2911.4010073149357</v>
      </c>
      <c r="F37" s="557">
        <f>'Arable NPV'!N69</f>
        <v>277.63582804403268</v>
      </c>
      <c r="G37" s="557">
        <f>'Arable NPV'!N95</f>
        <v>-177.90142083501178</v>
      </c>
      <c r="H37" s="557">
        <f>'Arable NPV'!N121</f>
        <v>2553.5270520224253</v>
      </c>
      <c r="I37" s="366"/>
      <c r="J37" s="417">
        <v>5</v>
      </c>
      <c r="K37" s="557">
        <f>'Arable NPV'!O17</f>
        <v>-1402.815396760443</v>
      </c>
      <c r="L37" s="557">
        <f>'Arable NPV'!O43</f>
        <v>-2508.2411586576759</v>
      </c>
      <c r="M37" s="557">
        <f>'Arable NPV'!O69</f>
        <v>680.79567670129245</v>
      </c>
      <c r="N37" s="557">
        <f>'Arable NPV'!O95</f>
        <v>225.25842782224805</v>
      </c>
      <c r="O37" s="557">
        <f>'Arable NPV'!O121</f>
        <v>2956.6869006796846</v>
      </c>
      <c r="P37" s="366"/>
    </row>
    <row r="38" spans="2:16" x14ac:dyDescent="0.3">
      <c r="B38" s="366"/>
      <c r="C38" s="417">
        <v>6</v>
      </c>
      <c r="D38" s="557">
        <f>'Arable NPV'!N18</f>
        <v>-1736.5146590554832</v>
      </c>
      <c r="E38" s="557">
        <f>'Arable NPV'!N44</f>
        <v>-2799.4240454951296</v>
      </c>
      <c r="F38" s="557">
        <f>'Arable NPV'!N70</f>
        <v>266.95752696541604</v>
      </c>
      <c r="G38" s="557">
        <f>'Arable NPV'!N96</f>
        <v>-171.05905849520332</v>
      </c>
      <c r="H38" s="557">
        <f>'Arable NPV'!N122</f>
        <v>2455.3144730984855</v>
      </c>
      <c r="I38" s="366"/>
      <c r="J38" s="417">
        <v>6</v>
      </c>
      <c r="K38" s="557">
        <f>'Arable NPV'!O18</f>
        <v>-1348.8609584235028</v>
      </c>
      <c r="L38" s="557">
        <f>'Arable NPV'!O44</f>
        <v>-2411.7703448631491</v>
      </c>
      <c r="M38" s="557">
        <f>'Arable NPV'!O70</f>
        <v>654.61122759739658</v>
      </c>
      <c r="N38" s="557">
        <f>'Arable NPV'!O96</f>
        <v>216.59464213677722</v>
      </c>
      <c r="O38" s="557">
        <f>'Arable NPV'!O122</f>
        <v>2842.9681737304654</v>
      </c>
      <c r="P38" s="366"/>
    </row>
    <row r="39" spans="2:16" x14ac:dyDescent="0.3">
      <c r="B39" s="366"/>
      <c r="C39" s="417">
        <v>7</v>
      </c>
      <c r="D39" s="557">
        <f>'Arable NPV'!N19</f>
        <v>-1669.7256337071958</v>
      </c>
      <c r="E39" s="557">
        <f>'Arable NPV'!N45</f>
        <v>-2691.7538898991638</v>
      </c>
      <c r="F39" s="557">
        <f>'Arable NPV'!N71</f>
        <v>256.6899297744385</v>
      </c>
      <c r="G39" s="557">
        <f>'Arable NPV'!N97</f>
        <v>-164.47986393769497</v>
      </c>
      <c r="H39" s="557">
        <f>'Arable NPV'!N123</f>
        <v>2360.8793010562363</v>
      </c>
      <c r="I39" s="366"/>
      <c r="J39" s="417">
        <v>7</v>
      </c>
      <c r="K39" s="557">
        <f>'Arable NPV'!O19</f>
        <v>-1296.9816907918298</v>
      </c>
      <c r="L39" s="557">
        <f>'Arable NPV'!O45</f>
        <v>-2319.0099469837978</v>
      </c>
      <c r="M39" s="557">
        <f>'Arable NPV'!O71</f>
        <v>629.43387268980439</v>
      </c>
      <c r="N39" s="557">
        <f>'Arable NPV'!O97</f>
        <v>208.26407897767092</v>
      </c>
      <c r="O39" s="557">
        <f>'Arable NPV'!O123</f>
        <v>2733.6232439716014</v>
      </c>
      <c r="P39" s="366"/>
    </row>
    <row r="40" spans="2:16" x14ac:dyDescent="0.3">
      <c r="B40" s="366"/>
      <c r="C40" s="417">
        <v>8</v>
      </c>
      <c r="D40" s="557">
        <f>'Arable NPV'!N20</f>
        <v>-1605.5054170261496</v>
      </c>
      <c r="E40" s="557">
        <f>'Arable NPV'!N46</f>
        <v>-2588.2248941338112</v>
      </c>
      <c r="F40" s="557">
        <f>'Arable NPV'!N72</f>
        <v>246.81724016772932</v>
      </c>
      <c r="G40" s="557">
        <f>'Arable NPV'!N98</f>
        <v>-158.15371532470726</v>
      </c>
      <c r="H40" s="557">
        <f>'Arable NPV'!N124</f>
        <v>2270.0762510156119</v>
      </c>
      <c r="I40" s="366"/>
      <c r="J40" s="417">
        <v>8</v>
      </c>
      <c r="K40" s="557">
        <f>'Arable NPV'!O20</f>
        <v>-1247.0977796075285</v>
      </c>
      <c r="L40" s="557">
        <f>'Arable NPV'!O46</f>
        <v>-2229.8172567151901</v>
      </c>
      <c r="M40" s="557">
        <f>'Arable NPV'!O72</f>
        <v>605.22487758635043</v>
      </c>
      <c r="N40" s="557">
        <f>'Arable NPV'!O98</f>
        <v>200.25392209391384</v>
      </c>
      <c r="O40" s="557">
        <f>'Arable NPV'!O124</f>
        <v>2628.4838884342325</v>
      </c>
      <c r="P40" s="366"/>
    </row>
    <row r="41" spans="2:16" x14ac:dyDescent="0.3">
      <c r="B41" s="366"/>
      <c r="C41" s="417">
        <v>9</v>
      </c>
      <c r="D41" s="557">
        <f>'Arable NPV'!N21</f>
        <v>-1543.7552086789901</v>
      </c>
      <c r="E41" s="557">
        <f>'Arable NPV'!N47</f>
        <v>-2488.677782820972</v>
      </c>
      <c r="F41" s="557">
        <f>'Arable NPV'!N73</f>
        <v>237.32426939204743</v>
      </c>
      <c r="G41" s="557">
        <f>'Arable NPV'!N99</f>
        <v>-152.07088011991073</v>
      </c>
      <c r="H41" s="557">
        <f>'Arable NPV'!N125</f>
        <v>2182.7656259765495</v>
      </c>
      <c r="I41" s="366"/>
      <c r="J41" s="417">
        <v>9</v>
      </c>
      <c r="K41" s="557">
        <f>'Arable NPV'!O21</f>
        <v>-1199.1324803918546</v>
      </c>
      <c r="L41" s="557">
        <f>'Arable NPV'!O47</f>
        <v>-2144.0550545338365</v>
      </c>
      <c r="M41" s="557">
        <f>'Arable NPV'!O73</f>
        <v>581.94699767918303</v>
      </c>
      <c r="N41" s="557">
        <f>'Arable NPV'!O99</f>
        <v>192.55184816722488</v>
      </c>
      <c r="O41" s="557">
        <f>'Arable NPV'!O125</f>
        <v>2527.3883542636845</v>
      </c>
      <c r="P41" s="366"/>
    </row>
    <row r="42" spans="2:16" x14ac:dyDescent="0.3">
      <c r="B42" s="366"/>
      <c r="C42" s="417">
        <v>10</v>
      </c>
      <c r="D42" s="557">
        <f>'Arable NPV'!N22</f>
        <v>-1484.380008345182</v>
      </c>
      <c r="E42" s="557">
        <f>'Arable NPV'!N48</f>
        <v>-2392.9594065586271</v>
      </c>
      <c r="F42" s="557">
        <f>'Arable NPV'!N74</f>
        <v>228.19641287696868</v>
      </c>
      <c r="G42" s="557">
        <f>'Arable NPV'!N100</f>
        <v>-146.22200011529821</v>
      </c>
      <c r="H42" s="557">
        <f>'Arable NPV'!N126</f>
        <v>2098.8131019005282</v>
      </c>
      <c r="I42" s="366"/>
      <c r="J42" s="417">
        <v>10</v>
      </c>
      <c r="K42" s="557">
        <f>'Arable NPV'!O22</f>
        <v>-1153.0120003767825</v>
      </c>
      <c r="L42" s="557">
        <f>'Arable NPV'!O48</f>
        <v>-2061.5913985902275</v>
      </c>
      <c r="M42" s="557">
        <f>'Arable NPV'!O74</f>
        <v>559.5644208453682</v>
      </c>
      <c r="N42" s="557">
        <f>'Arable NPV'!O100</f>
        <v>185.14600785310137</v>
      </c>
      <c r="O42" s="557">
        <f>'Arable NPV'!O126</f>
        <v>2430.1811098689273</v>
      </c>
      <c r="P42" s="366"/>
    </row>
    <row r="43" spans="2:16" x14ac:dyDescent="0.3">
      <c r="B43" s="366"/>
      <c r="C43" s="417">
        <v>11</v>
      </c>
      <c r="D43" s="557">
        <f>'Arable NPV'!N23</f>
        <v>-1427.2884695626758</v>
      </c>
      <c r="E43" s="557">
        <f>'Arable NPV'!N49</f>
        <v>-2300.9225063063718</v>
      </c>
      <c r="F43" s="557">
        <f>'Arable NPV'!N75</f>
        <v>219.41962776631681</v>
      </c>
      <c r="G43" s="557">
        <f>'Arable NPV'!N101</f>
        <v>-140.59807703394108</v>
      </c>
      <c r="H43" s="557">
        <f>'Arable NPV'!N127</f>
        <v>2018.0895210582003</v>
      </c>
      <c r="I43" s="366"/>
      <c r="J43" s="417">
        <v>11</v>
      </c>
      <c r="K43" s="557">
        <f>'Arable NPV'!O23</f>
        <v>-1108.6653849776762</v>
      </c>
      <c r="L43" s="557">
        <f>'Arable NPV'!O49</f>
        <v>-1982.2994217213723</v>
      </c>
      <c r="M43" s="557">
        <f>'Arable NPV'!O75</f>
        <v>538.04271235131637</v>
      </c>
      <c r="N43" s="557">
        <f>'Arable NPV'!O101</f>
        <v>178.02500755105854</v>
      </c>
      <c r="O43" s="557">
        <f>'Arable NPV'!O127</f>
        <v>2336.7126056431994</v>
      </c>
      <c r="P43" s="366"/>
    </row>
    <row r="44" spans="2:16" x14ac:dyDescent="0.3">
      <c r="B44" s="366"/>
      <c r="C44" s="417">
        <v>12</v>
      </c>
      <c r="D44" s="557">
        <f>'Arable NPV'!N24</f>
        <v>-1372.3927591948805</v>
      </c>
      <c r="E44" s="557">
        <f>'Arable NPV'!N50</f>
        <v>-2212.4254868330499</v>
      </c>
      <c r="F44" s="557">
        <f>'Arable NPV'!N76</f>
        <v>210.98041131376522</v>
      </c>
      <c r="G44" s="557">
        <f>'Arable NPV'!N102</f>
        <v>-135.19045868648209</v>
      </c>
      <c r="H44" s="557">
        <f>'Arable NPV'!N128</f>
        <v>1940.4706933251925</v>
      </c>
      <c r="I44" s="366"/>
      <c r="J44" s="417">
        <v>12</v>
      </c>
      <c r="K44" s="557">
        <f>'Arable NPV'!O24</f>
        <v>-1066.0244086323808</v>
      </c>
      <c r="L44" s="557">
        <f>'Arable NPV'!O50</f>
        <v>-1906.0571362705502</v>
      </c>
      <c r="M44" s="557">
        <f>'Arable NPV'!O76</f>
        <v>517.34876187626492</v>
      </c>
      <c r="N44" s="557">
        <f>'Arable NPV'!O102</f>
        <v>171.17789187601755</v>
      </c>
      <c r="O44" s="557">
        <f>'Arable NPV'!O128</f>
        <v>2246.8390438876918</v>
      </c>
      <c r="P44" s="366"/>
    </row>
    <row r="45" spans="2:16" x14ac:dyDescent="0.3">
      <c r="B45" s="366"/>
      <c r="C45" s="417">
        <v>13</v>
      </c>
      <c r="D45" s="557">
        <f>'Arable NPV'!N25</f>
        <v>-1319.6084223027697</v>
      </c>
      <c r="E45" s="557">
        <f>'Arable NPV'!N51</f>
        <v>-2127.3321988779326</v>
      </c>
      <c r="F45" s="557">
        <f>'Arable NPV'!N77</f>
        <v>202.86578010938956</v>
      </c>
      <c r="G45" s="557">
        <f>'Arable NPV'!N103</f>
        <v>-129.99082566007837</v>
      </c>
      <c r="H45" s="557">
        <f>'Arable NPV'!N129</f>
        <v>1865.8372051203771</v>
      </c>
      <c r="I45" s="366"/>
      <c r="J45" s="417">
        <v>13</v>
      </c>
      <c r="K45" s="557">
        <f>'Arable NPV'!O25</f>
        <v>-1025.0234698388276</v>
      </c>
      <c r="L45" s="557">
        <f>'Arable NPV'!O51</f>
        <v>-1832.7472464139905</v>
      </c>
      <c r="M45" s="557">
        <f>'Arable NPV'!O77</f>
        <v>497.45073257333149</v>
      </c>
      <c r="N45" s="557">
        <f>'Arable NPV'!O103</f>
        <v>164.59412680386356</v>
      </c>
      <c r="O45" s="557">
        <f>'Arable NPV'!O129</f>
        <v>2160.4221575843185</v>
      </c>
      <c r="P45" s="366"/>
    </row>
    <row r="46" spans="2:16" x14ac:dyDescent="0.3">
      <c r="B46" s="366"/>
      <c r="C46" s="417">
        <v>14</v>
      </c>
      <c r="D46" s="557">
        <f>'Arable NPV'!N26</f>
        <v>-1268.8542522142011</v>
      </c>
      <c r="E46" s="557">
        <f>'Arable NPV'!N52</f>
        <v>-2045.5117296903193</v>
      </c>
      <c r="F46" s="557">
        <f>'Arable NPV'!N78</f>
        <v>195.06325010518231</v>
      </c>
      <c r="G46" s="557">
        <f>'Arable NPV'!N104</f>
        <v>-124.99117851930623</v>
      </c>
      <c r="H46" s="557">
        <f>'Arable NPV'!N130</f>
        <v>1794.0742356926703</v>
      </c>
      <c r="I46" s="366"/>
      <c r="J46" s="417">
        <v>14</v>
      </c>
      <c r="K46" s="557">
        <f>'Arable NPV'!O26</f>
        <v>-985.59949022964156</v>
      </c>
      <c r="L46" s="557">
        <f>'Arable NPV'!O52</f>
        <v>-1762.2569677057597</v>
      </c>
      <c r="M46" s="557">
        <f>'Arable NPV'!O78</f>
        <v>478.31801208974184</v>
      </c>
      <c r="N46" s="557">
        <f>'Arable NPV'!O104</f>
        <v>158.2635834652533</v>
      </c>
      <c r="O46" s="557">
        <f>'Arable NPV'!O130</f>
        <v>2077.3289976772294</v>
      </c>
      <c r="P46" s="366"/>
    </row>
    <row r="47" spans="2:16" x14ac:dyDescent="0.3">
      <c r="B47" s="366"/>
      <c r="C47" s="417">
        <v>15</v>
      </c>
      <c r="D47" s="557">
        <f>'Arable NPV'!N27</f>
        <v>-1220.0521655905782</v>
      </c>
      <c r="E47" s="557">
        <f>'Arable NPV'!N53</f>
        <v>-1966.8382016253074</v>
      </c>
      <c r="F47" s="557">
        <f>'Arable NPV'!N79</f>
        <v>187.56081740882928</v>
      </c>
      <c r="G47" s="557">
        <f>'Arable NPV'!N105</f>
        <v>-120.18382549933312</v>
      </c>
      <c r="H47" s="557">
        <f>'Arable NPV'!N131</f>
        <v>1725.0713804737213</v>
      </c>
      <c r="I47" s="366"/>
      <c r="J47" s="417">
        <v>15</v>
      </c>
      <c r="K47" s="557">
        <f>'Arable NPV'!O27</f>
        <v>-947.6918175285017</v>
      </c>
      <c r="L47" s="557">
        <f>'Arable NPV'!O53</f>
        <v>-1694.4778535632308</v>
      </c>
      <c r="M47" s="557">
        <f>'Arable NPV'!O79</f>
        <v>459.92116547090575</v>
      </c>
      <c r="N47" s="557">
        <f>'Arable NPV'!O105</f>
        <v>152.17652256274334</v>
      </c>
      <c r="O47" s="557">
        <f>'Arable NPV'!O131</f>
        <v>1997.4317285357974</v>
      </c>
      <c r="P47" s="366"/>
    </row>
    <row r="48" spans="2:16" x14ac:dyDescent="0.3">
      <c r="B48" s="366"/>
      <c r="C48" s="558">
        <v>16</v>
      </c>
      <c r="D48" s="564">
        <f>'Arable NPV'!N28</f>
        <v>-1173.127082298633</v>
      </c>
      <c r="E48" s="564">
        <f>'Arable NPV'!N54</f>
        <v>-1891.1905784858725</v>
      </c>
      <c r="F48" s="564">
        <f>'Arable NPV'!N80</f>
        <v>180.34693981618193</v>
      </c>
      <c r="G48" s="564">
        <f>'Arable NPV'!N106</f>
        <v>-115.56137067243571</v>
      </c>
      <c r="H48" s="564">
        <f>'Arable NPV'!N132</f>
        <v>1658.7224812247321</v>
      </c>
      <c r="I48" s="366"/>
      <c r="J48" s="558">
        <v>16</v>
      </c>
      <c r="K48" s="564">
        <f>'Arable NPV'!O28</f>
        <v>-911.24213223894412</v>
      </c>
      <c r="L48" s="564">
        <f>'Arable NPV'!O54</f>
        <v>-1629.3056284261836</v>
      </c>
      <c r="M48" s="564">
        <f>'Arable NPV'!O80</f>
        <v>442.23188987587088</v>
      </c>
      <c r="N48" s="564">
        <f>'Arable NPV'!O106</f>
        <v>146.32357938725323</v>
      </c>
      <c r="O48" s="564">
        <f>'Arable NPV'!O132</f>
        <v>1920.6074312844207</v>
      </c>
      <c r="P48" s="366"/>
    </row>
    <row r="49" spans="2:16" x14ac:dyDescent="0.3">
      <c r="B49" s="366"/>
      <c r="C49" s="366"/>
      <c r="D49" s="366"/>
      <c r="E49" s="366"/>
      <c r="F49" s="366"/>
      <c r="G49" s="366"/>
      <c r="H49" s="366"/>
      <c r="I49" s="366"/>
      <c r="J49" s="366"/>
      <c r="K49" s="366"/>
      <c r="L49" s="366"/>
      <c r="M49" s="366"/>
      <c r="N49" s="366"/>
      <c r="O49" s="366"/>
      <c r="P49" s="366"/>
    </row>
    <row r="50" spans="2:16" x14ac:dyDescent="0.3">
      <c r="B50" s="366"/>
      <c r="C50" s="366"/>
      <c r="D50" s="366"/>
      <c r="E50" s="366"/>
      <c r="F50" s="366"/>
      <c r="G50" s="366"/>
      <c r="H50" s="366"/>
      <c r="I50" s="366"/>
      <c r="J50" s="366"/>
      <c r="K50" s="366"/>
      <c r="L50" s="366"/>
      <c r="M50" s="366"/>
      <c r="N50" s="366"/>
      <c r="O50" s="366"/>
      <c r="P50" s="366"/>
    </row>
    <row r="51" spans="2:16" x14ac:dyDescent="0.3">
      <c r="B51" s="366"/>
      <c r="C51" s="515" t="s">
        <v>644</v>
      </c>
      <c r="D51" s="677"/>
      <c r="E51" s="677"/>
      <c r="F51" s="677"/>
      <c r="G51" s="677"/>
      <c r="H51" s="678"/>
      <c r="I51" s="366"/>
      <c r="J51" s="515" t="s">
        <v>642</v>
      </c>
      <c r="K51" s="677"/>
      <c r="L51" s="677"/>
      <c r="M51" s="677"/>
      <c r="N51" s="677"/>
      <c r="O51" s="678"/>
      <c r="P51" s="366"/>
    </row>
    <row r="52" spans="2:16" x14ac:dyDescent="0.3">
      <c r="B52" s="366"/>
      <c r="C52" s="726"/>
      <c r="D52" s="724" t="s">
        <v>4</v>
      </c>
      <c r="E52" s="724" t="s">
        <v>647</v>
      </c>
      <c r="F52" s="724" t="s">
        <v>5</v>
      </c>
      <c r="G52" s="724" t="s">
        <v>6</v>
      </c>
      <c r="H52" s="724" t="s">
        <v>258</v>
      </c>
      <c r="I52" s="366"/>
      <c r="J52" s="726"/>
      <c r="K52" s="724" t="s">
        <v>4</v>
      </c>
      <c r="L52" s="724" t="s">
        <v>647</v>
      </c>
      <c r="M52" s="724" t="s">
        <v>5</v>
      </c>
      <c r="N52" s="724" t="s">
        <v>6</v>
      </c>
      <c r="O52" s="724" t="s">
        <v>258</v>
      </c>
      <c r="P52" s="366"/>
    </row>
    <row r="53" spans="2:16" x14ac:dyDescent="0.3">
      <c r="B53" s="366"/>
      <c r="C53" s="725">
        <v>1</v>
      </c>
      <c r="D53" s="556">
        <f>'Arable NPV'!S13</f>
        <v>-2112.7356000000009</v>
      </c>
      <c r="E53" s="556">
        <f>'Arable NPV'!S39</f>
        <v>-3405.9273900000007</v>
      </c>
      <c r="F53" s="556">
        <f>'Arable NPV'!S65</f>
        <v>324.79464999999982</v>
      </c>
      <c r="G53" s="556">
        <f>'Arable NPV'!S91</f>
        <v>-208.1195000000007</v>
      </c>
      <c r="H53" s="556">
        <f>'Arable NPV'!S117</f>
        <v>2987.26548</v>
      </c>
      <c r="I53" s="366"/>
      <c r="J53" s="725">
        <v>1</v>
      </c>
      <c r="K53" s="556">
        <f>'Arable NPV'!T13</f>
        <v>-1641.095600000001</v>
      </c>
      <c r="L53" s="556">
        <f>'Arable NPV'!T39</f>
        <v>-2934.2873900000009</v>
      </c>
      <c r="M53" s="556">
        <f>'Arable NPV'!T65</f>
        <v>796.43464999999981</v>
      </c>
      <c r="N53" s="556">
        <f>'Arable NPV'!T91</f>
        <v>263.52049999999929</v>
      </c>
      <c r="O53" s="556">
        <f>'Arable NPV'!T117</f>
        <v>3458.9054799999994</v>
      </c>
      <c r="P53" s="366"/>
    </row>
    <row r="54" spans="2:16" x14ac:dyDescent="0.3">
      <c r="B54" s="366"/>
      <c r="C54" s="417">
        <v>2</v>
      </c>
      <c r="D54" s="557">
        <f>'Arable NPV'!S14</f>
        <v>-4144.2121384615402</v>
      </c>
      <c r="E54" s="557">
        <f>'Arable NPV'!S40</f>
        <v>-6680.8575726923091</v>
      </c>
      <c r="F54" s="557">
        <f>'Arable NPV'!S66</f>
        <v>637.09719807692272</v>
      </c>
      <c r="G54" s="557">
        <f>'Arable NPV'!S92</f>
        <v>-408.23440384615515</v>
      </c>
      <c r="H54" s="557">
        <f>'Arable NPV'!S118</f>
        <v>5859.6361338461538</v>
      </c>
      <c r="I54" s="366"/>
      <c r="J54" s="417">
        <v>2</v>
      </c>
      <c r="K54" s="557">
        <f>'Arable NPV'!T14</f>
        <v>-3219.0721384615404</v>
      </c>
      <c r="L54" s="557">
        <f>'Arable NPV'!T40</f>
        <v>-5755.7175726923087</v>
      </c>
      <c r="M54" s="557">
        <f>'Arable NPV'!T66</f>
        <v>1562.2371980769226</v>
      </c>
      <c r="N54" s="557">
        <f>'Arable NPV'!T92</f>
        <v>516.90559615384473</v>
      </c>
      <c r="O54" s="557">
        <f>'Arable NPV'!T118</f>
        <v>6784.7761338461532</v>
      </c>
      <c r="P54" s="366"/>
    </row>
    <row r="55" spans="2:16" x14ac:dyDescent="0.3">
      <c r="B55" s="366"/>
      <c r="C55" s="417">
        <v>3</v>
      </c>
      <c r="D55" s="557">
        <f>'Arable NPV'!S15</f>
        <v>-6097.5549639053279</v>
      </c>
      <c r="E55" s="557">
        <f>'Arable NPV'!S41</f>
        <v>-9829.8289022041427</v>
      </c>
      <c r="F55" s="557">
        <f>'Arable NPV'!S67</f>
        <v>937.38810968934831</v>
      </c>
      <c r="G55" s="557">
        <f>'Arable NPV'!S93</f>
        <v>-600.65258062130306</v>
      </c>
      <c r="H55" s="557">
        <f>'Arable NPV'!S119</f>
        <v>8621.5309933136086</v>
      </c>
      <c r="I55" s="366"/>
      <c r="J55" s="417">
        <v>3</v>
      </c>
      <c r="K55" s="557">
        <f>'Arable NPV'!T15</f>
        <v>-4736.3572715976352</v>
      </c>
      <c r="L55" s="557">
        <f>'Arable NPV'!T41</f>
        <v>-8468.6312098964518</v>
      </c>
      <c r="M55" s="557">
        <f>'Arable NPV'!T67</f>
        <v>2298.5858019970406</v>
      </c>
      <c r="N55" s="557">
        <f>'Arable NPV'!T93</f>
        <v>760.54511168638908</v>
      </c>
      <c r="O55" s="557">
        <f>'Arable NPV'!T119</f>
        <v>9982.7286856212995</v>
      </c>
      <c r="P55" s="366"/>
    </row>
    <row r="56" spans="2:16" x14ac:dyDescent="0.3">
      <c r="B56" s="366"/>
      <c r="C56" s="417">
        <v>4</v>
      </c>
      <c r="D56" s="557">
        <f>'Arable NPV'!S16</f>
        <v>-7975.7692191397391</v>
      </c>
      <c r="E56" s="557">
        <f>'Arable NPV'!S42</f>
        <v>-12857.685949811676</v>
      </c>
      <c r="F56" s="557">
        <f>'Arable NPV'!S68</f>
        <v>1226.129370855143</v>
      </c>
      <c r="G56" s="557">
        <f>'Arable NPV'!S94</f>
        <v>-785.6700582897156</v>
      </c>
      <c r="H56" s="557">
        <f>'Arable NPV'!S120</f>
        <v>11277.19912741693</v>
      </c>
      <c r="I56" s="366"/>
      <c r="J56" s="417">
        <v>4</v>
      </c>
      <c r="K56" s="557">
        <f>'Arable NPV'!T16</f>
        <v>-6195.2852842284956</v>
      </c>
      <c r="L56" s="557">
        <f>'Arable NPV'!T42</f>
        <v>-11077.202014900435</v>
      </c>
      <c r="M56" s="557">
        <f>'Arable NPV'!T68</f>
        <v>3006.6133057663856</v>
      </c>
      <c r="N56" s="557">
        <f>'Arable NPV'!T94</f>
        <v>994.81387662152679</v>
      </c>
      <c r="O56" s="557">
        <f>'Arable NPV'!T120</f>
        <v>13057.683062328171</v>
      </c>
      <c r="P56" s="366"/>
    </row>
    <row r="57" spans="2:16" x14ac:dyDescent="0.3">
      <c r="B57" s="366"/>
      <c r="C57" s="417">
        <v>5</v>
      </c>
      <c r="D57" s="557">
        <f>'Arable NPV'!S17</f>
        <v>-9781.7444645574415</v>
      </c>
      <c r="E57" s="557">
        <f>'Arable NPV'!S43</f>
        <v>-15769.086957126612</v>
      </c>
      <c r="F57" s="557">
        <f>'Arable NPV'!S69</f>
        <v>1503.7651988991756</v>
      </c>
      <c r="G57" s="557">
        <f>'Arable NPV'!S95</f>
        <v>-963.57147912472738</v>
      </c>
      <c r="H57" s="557">
        <f>'Arable NPV'!S121</f>
        <v>13830.726179439356</v>
      </c>
      <c r="I57" s="366"/>
      <c r="J57" s="417">
        <v>5</v>
      </c>
      <c r="K57" s="557">
        <f>'Arable NPV'!T17</f>
        <v>-7598.1006809889386</v>
      </c>
      <c r="L57" s="557">
        <f>'Arable NPV'!T43</f>
        <v>-13585.443173558111</v>
      </c>
      <c r="M57" s="557">
        <f>'Arable NPV'!T69</f>
        <v>3687.408982467678</v>
      </c>
      <c r="N57" s="557">
        <f>'Arable NPV'!T95</f>
        <v>1220.0723044437748</v>
      </c>
      <c r="O57" s="557">
        <f>'Arable NPV'!T121</f>
        <v>16014.369963007855</v>
      </c>
      <c r="P57" s="366"/>
    </row>
    <row r="58" spans="2:16" x14ac:dyDescent="0.3">
      <c r="B58" s="366"/>
      <c r="C58" s="417">
        <v>6</v>
      </c>
      <c r="D58" s="557">
        <f>'Arable NPV'!S18</f>
        <v>-11518.259123612925</v>
      </c>
      <c r="E58" s="557">
        <f>'Arable NPV'!S44</f>
        <v>-18568.511002621741</v>
      </c>
      <c r="F58" s="557">
        <f>'Arable NPV'!S70</f>
        <v>1770.7227258645917</v>
      </c>
      <c r="G58" s="557">
        <f>'Arable NPV'!S96</f>
        <v>-1134.6305376199307</v>
      </c>
      <c r="H58" s="557">
        <f>'Arable NPV'!S122</f>
        <v>16286.040652537842</v>
      </c>
      <c r="I58" s="366"/>
      <c r="J58" s="417">
        <v>6</v>
      </c>
      <c r="K58" s="557">
        <f>'Arable NPV'!T18</f>
        <v>-8946.9616394124423</v>
      </c>
      <c r="L58" s="557">
        <f>'Arable NPV'!T44</f>
        <v>-15997.21351842126</v>
      </c>
      <c r="M58" s="557">
        <f>'Arable NPV'!T70</f>
        <v>4342.0202100650749</v>
      </c>
      <c r="N58" s="557">
        <f>'Arable NPV'!T96</f>
        <v>1436.6669465805521</v>
      </c>
      <c r="O58" s="557">
        <f>'Arable NPV'!T122</f>
        <v>18857.338136738319</v>
      </c>
      <c r="P58" s="366"/>
    </row>
    <row r="59" spans="2:16" x14ac:dyDescent="0.3">
      <c r="B59" s="366"/>
      <c r="C59" s="417">
        <v>7</v>
      </c>
      <c r="D59" s="557">
        <f>'Arable NPV'!S19</f>
        <v>-13187.98475732012</v>
      </c>
      <c r="E59" s="557">
        <f>'Arable NPV'!S45</f>
        <v>-21260.264892520903</v>
      </c>
      <c r="F59" s="557">
        <f>'Arable NPV'!S71</f>
        <v>2027.4126556390302</v>
      </c>
      <c r="G59" s="557">
        <f>'Arable NPV'!S97</f>
        <v>-1299.1104015576257</v>
      </c>
      <c r="H59" s="557">
        <f>'Arable NPV'!S123</f>
        <v>18646.919953594079</v>
      </c>
      <c r="I59" s="366"/>
      <c r="J59" s="417">
        <v>7</v>
      </c>
      <c r="K59" s="557">
        <f>'Arable NPV'!T19</f>
        <v>-10243.943330204273</v>
      </c>
      <c r="L59" s="557">
        <f>'Arable NPV'!T45</f>
        <v>-18316.223465405059</v>
      </c>
      <c r="M59" s="557">
        <f>'Arable NPV'!T71</f>
        <v>4971.454082754879</v>
      </c>
      <c r="N59" s="557">
        <f>'Arable NPV'!T97</f>
        <v>1644.9310255582232</v>
      </c>
      <c r="O59" s="557">
        <f>'Arable NPV'!T123</f>
        <v>21590.961380709919</v>
      </c>
      <c r="P59" s="366"/>
    </row>
    <row r="60" spans="2:16" x14ac:dyDescent="0.3">
      <c r="B60" s="366"/>
      <c r="C60" s="417">
        <v>8</v>
      </c>
      <c r="D60" s="557">
        <f>'Arable NPV'!S20</f>
        <v>-14793.490174346271</v>
      </c>
      <c r="E60" s="557">
        <f>'Arable NPV'!S46</f>
        <v>-23848.489786654714</v>
      </c>
      <c r="F60" s="557">
        <f>'Arable NPV'!S72</f>
        <v>2274.2298958067595</v>
      </c>
      <c r="G60" s="557">
        <f>'Arable NPV'!S98</f>
        <v>-1457.2641168823329</v>
      </c>
      <c r="H60" s="557">
        <f>'Arable NPV'!S124</f>
        <v>20916.996204609692</v>
      </c>
      <c r="I60" s="366"/>
      <c r="J60" s="417">
        <v>8</v>
      </c>
      <c r="K60" s="557">
        <f>'Arable NPV'!T20</f>
        <v>-11491.041109811802</v>
      </c>
      <c r="L60" s="557">
        <f>'Arable NPV'!T46</f>
        <v>-20546.040722120248</v>
      </c>
      <c r="M60" s="557">
        <f>'Arable NPV'!T72</f>
        <v>5576.678960341229</v>
      </c>
      <c r="N60" s="557">
        <f>'Arable NPV'!T98</f>
        <v>1845.184947652137</v>
      </c>
      <c r="O60" s="557">
        <f>'Arable NPV'!T124</f>
        <v>24219.445269144151</v>
      </c>
      <c r="P60" s="366"/>
    </row>
    <row r="61" spans="2:16" x14ac:dyDescent="0.3">
      <c r="B61" s="366"/>
      <c r="C61" s="417">
        <v>9</v>
      </c>
      <c r="D61" s="557">
        <f>'Arable NPV'!S21</f>
        <v>-16337.24538302526</v>
      </c>
      <c r="E61" s="557">
        <f>'Arable NPV'!S47</f>
        <v>-26337.167569475685</v>
      </c>
      <c r="F61" s="557">
        <f>'Arable NPV'!S73</f>
        <v>2511.5541651988069</v>
      </c>
      <c r="G61" s="557">
        <f>'Arable NPV'!S99</f>
        <v>-1609.3349970022437</v>
      </c>
      <c r="H61" s="557">
        <f>'Arable NPV'!S125</f>
        <v>23099.761830586242</v>
      </c>
      <c r="I61" s="366"/>
      <c r="J61" s="417">
        <v>9</v>
      </c>
      <c r="K61" s="557">
        <f>'Arable NPV'!T21</f>
        <v>-12690.173590203656</v>
      </c>
      <c r="L61" s="557">
        <f>'Arable NPV'!T47</f>
        <v>-22690.095776654085</v>
      </c>
      <c r="M61" s="557">
        <f>'Arable NPV'!T73</f>
        <v>6158.6259580204123</v>
      </c>
      <c r="N61" s="557">
        <f>'Arable NPV'!T99</f>
        <v>2037.7367958193618</v>
      </c>
      <c r="O61" s="557">
        <f>'Arable NPV'!T125</f>
        <v>26746.833623407834</v>
      </c>
      <c r="P61" s="366"/>
    </row>
    <row r="62" spans="2:16" x14ac:dyDescent="0.3">
      <c r="B62" s="366"/>
      <c r="C62" s="417">
        <v>10</v>
      </c>
      <c r="D62" s="557">
        <f>'Arable NPV'!S22</f>
        <v>-17821.625391370442</v>
      </c>
      <c r="E62" s="557">
        <f>'Arable NPV'!S48</f>
        <v>-28730.126976034313</v>
      </c>
      <c r="F62" s="557">
        <f>'Arable NPV'!S74</f>
        <v>2739.7505780757756</v>
      </c>
      <c r="G62" s="557">
        <f>'Arable NPV'!S100</f>
        <v>-1755.5569971175419</v>
      </c>
      <c r="H62" s="557">
        <f>'Arable NPV'!S126</f>
        <v>25198.574932486768</v>
      </c>
      <c r="I62" s="366"/>
      <c r="J62" s="417">
        <v>10</v>
      </c>
      <c r="K62" s="557">
        <f>'Arable NPV'!T22</f>
        <v>-13843.185590580439</v>
      </c>
      <c r="L62" s="557">
        <f>'Arable NPV'!T48</f>
        <v>-24751.687175244311</v>
      </c>
      <c r="M62" s="557">
        <f>'Arable NPV'!T74</f>
        <v>6718.1903788657801</v>
      </c>
      <c r="N62" s="557">
        <f>'Arable NPV'!T100</f>
        <v>2222.8828036724631</v>
      </c>
      <c r="O62" s="557">
        <f>'Arable NPV'!T126</f>
        <v>29177.014733276763</v>
      </c>
      <c r="P62" s="366"/>
    </row>
    <row r="63" spans="2:16" x14ac:dyDescent="0.3">
      <c r="B63" s="366"/>
      <c r="C63" s="417">
        <v>11</v>
      </c>
      <c r="D63" s="557">
        <f>'Arable NPV'!S23</f>
        <v>-19248.913860933117</v>
      </c>
      <c r="E63" s="557">
        <f>'Arable NPV'!S49</f>
        <v>-31031.049482340684</v>
      </c>
      <c r="F63" s="557">
        <f>'Arable NPV'!S75</f>
        <v>2959.1702058420924</v>
      </c>
      <c r="G63" s="557">
        <f>'Arable NPV'!S101</f>
        <v>-1896.1550741514829</v>
      </c>
      <c r="H63" s="557">
        <f>'Arable NPV'!S127</f>
        <v>27216.664453544967</v>
      </c>
      <c r="I63" s="366"/>
      <c r="J63" s="417">
        <v>11</v>
      </c>
      <c r="K63" s="557">
        <f>'Arable NPV'!T23</f>
        <v>-14951.850975558114</v>
      </c>
      <c r="L63" s="557">
        <f>'Arable NPV'!T49</f>
        <v>-26733.986596965682</v>
      </c>
      <c r="M63" s="557">
        <f>'Arable NPV'!T75</f>
        <v>7256.2330912170964</v>
      </c>
      <c r="N63" s="557">
        <f>'Arable NPV'!T101</f>
        <v>2400.9078112235215</v>
      </c>
      <c r="O63" s="557">
        <f>'Arable NPV'!T127</f>
        <v>31513.727338919962</v>
      </c>
      <c r="P63" s="366"/>
    </row>
    <row r="64" spans="2:16" x14ac:dyDescent="0.3">
      <c r="B64" s="366"/>
      <c r="C64" s="417">
        <v>12</v>
      </c>
      <c r="D64" s="557">
        <f>'Arable NPV'!S24</f>
        <v>-20621.306620127998</v>
      </c>
      <c r="E64" s="557">
        <f>'Arable NPV'!S50</f>
        <v>-33243.474969173738</v>
      </c>
      <c r="F64" s="557">
        <f>'Arable NPV'!S76</f>
        <v>3170.1506171558576</v>
      </c>
      <c r="G64" s="557">
        <f>'Arable NPV'!S102</f>
        <v>-2031.345532837965</v>
      </c>
      <c r="H64" s="557">
        <f>'Arable NPV'!S128</f>
        <v>29157.135146870158</v>
      </c>
      <c r="I64" s="366"/>
      <c r="J64" s="417">
        <v>12</v>
      </c>
      <c r="K64" s="557">
        <f>'Arable NPV'!T24</f>
        <v>-16017.875384190495</v>
      </c>
      <c r="L64" s="557">
        <f>'Arable NPV'!T50</f>
        <v>-28640.043733236231</v>
      </c>
      <c r="M64" s="557">
        <f>'Arable NPV'!T76</f>
        <v>7773.5818530933611</v>
      </c>
      <c r="N64" s="557">
        <f>'Arable NPV'!T102</f>
        <v>2572.0857030995389</v>
      </c>
      <c r="O64" s="557">
        <f>'Arable NPV'!T128</f>
        <v>33760.56638280765</v>
      </c>
      <c r="P64" s="366"/>
    </row>
    <row r="65" spans="2:16" x14ac:dyDescent="0.3">
      <c r="B65" s="366"/>
      <c r="C65" s="417">
        <v>13</v>
      </c>
      <c r="D65" s="557">
        <f>'Arable NPV'!S25</f>
        <v>-21940.915042430766</v>
      </c>
      <c r="E65" s="557">
        <f>'Arable NPV'!S51</f>
        <v>-35370.807168051673</v>
      </c>
      <c r="F65" s="557">
        <f>'Arable NPV'!S77</f>
        <v>3373.0163972652472</v>
      </c>
      <c r="G65" s="557">
        <f>'Arable NPV'!S103</f>
        <v>-2161.3363584980434</v>
      </c>
      <c r="H65" s="557">
        <f>'Arable NPV'!S129</f>
        <v>31022.972351990535</v>
      </c>
      <c r="I65" s="366"/>
      <c r="J65" s="417">
        <v>13</v>
      </c>
      <c r="K65" s="557">
        <f>'Arable NPV'!T25</f>
        <v>-17042.898854029321</v>
      </c>
      <c r="L65" s="557">
        <f>'Arable NPV'!T51</f>
        <v>-30472.790979650221</v>
      </c>
      <c r="M65" s="557">
        <f>'Arable NPV'!T77</f>
        <v>8271.0325856666932</v>
      </c>
      <c r="N65" s="557">
        <f>'Arable NPV'!T103</f>
        <v>2736.6798299034026</v>
      </c>
      <c r="O65" s="557">
        <f>'Arable NPV'!T129</f>
        <v>35920.988540391969</v>
      </c>
      <c r="P65" s="366"/>
    </row>
    <row r="66" spans="2:16" x14ac:dyDescent="0.3">
      <c r="B66" s="366"/>
      <c r="C66" s="417">
        <v>14</v>
      </c>
      <c r="D66" s="557">
        <f>'Arable NPV'!S26</f>
        <v>-23209.769294644968</v>
      </c>
      <c r="E66" s="557">
        <f>'Arable NPV'!S52</f>
        <v>-37416.318897741992</v>
      </c>
      <c r="F66" s="557">
        <f>'Arable NPV'!S78</f>
        <v>3568.0796473704295</v>
      </c>
      <c r="G66" s="557">
        <f>'Arable NPV'!S104</f>
        <v>-2286.3275370173496</v>
      </c>
      <c r="H66" s="557">
        <f>'Arable NPV'!S130</f>
        <v>32817.046587683202</v>
      </c>
      <c r="I66" s="366"/>
      <c r="J66" s="417">
        <v>14</v>
      </c>
      <c r="K66" s="557">
        <f>'Arable NPV'!T26</f>
        <v>-18028.498344258962</v>
      </c>
      <c r="L66" s="557">
        <f>'Arable NPV'!T52</f>
        <v>-32235.047947355979</v>
      </c>
      <c r="M66" s="557">
        <f>'Arable NPV'!T78</f>
        <v>8749.3505977564346</v>
      </c>
      <c r="N66" s="557">
        <f>'Arable NPV'!T104</f>
        <v>2894.9434133686559</v>
      </c>
      <c r="O66" s="557">
        <f>'Arable NPV'!T130</f>
        <v>37998.317538069197</v>
      </c>
      <c r="P66" s="366"/>
    </row>
    <row r="67" spans="2:16" x14ac:dyDescent="0.3">
      <c r="B67" s="366"/>
      <c r="C67" s="417">
        <v>15</v>
      </c>
      <c r="D67" s="557">
        <f>'Arable NPV'!S27</f>
        <v>-24429.821460235547</v>
      </c>
      <c r="E67" s="557">
        <f>'Arable NPV'!S53</f>
        <v>-39383.157099367301</v>
      </c>
      <c r="F67" s="557">
        <f>'Arable NPV'!S79</f>
        <v>3755.6404647792588</v>
      </c>
      <c r="G67" s="557">
        <f>'Arable NPV'!S105</f>
        <v>-2406.5113625166828</v>
      </c>
      <c r="H67" s="557">
        <f>'Arable NPV'!S131</f>
        <v>34542.117968156927</v>
      </c>
      <c r="I67" s="366"/>
      <c r="J67" s="417">
        <v>15</v>
      </c>
      <c r="K67" s="557">
        <f>'Arable NPV'!T27</f>
        <v>-18976.190161787465</v>
      </c>
      <c r="L67" s="557">
        <f>'Arable NPV'!T53</f>
        <v>-33929.525800919211</v>
      </c>
      <c r="M67" s="557">
        <f>'Arable NPV'!T79</f>
        <v>9209.2717632273398</v>
      </c>
      <c r="N67" s="557">
        <f>'Arable NPV'!T105</f>
        <v>3047.1199359313991</v>
      </c>
      <c r="O67" s="557">
        <f>'Arable NPV'!T131</f>
        <v>39995.749266604995</v>
      </c>
      <c r="P67" s="366"/>
    </row>
    <row r="68" spans="2:16" x14ac:dyDescent="0.3">
      <c r="B68" s="366"/>
      <c r="C68" s="558">
        <v>16</v>
      </c>
      <c r="D68" s="564">
        <f>'Arable NPV'!S28</f>
        <v>-25602.948542534181</v>
      </c>
      <c r="E68" s="564">
        <f>'Arable NPV'!S54</f>
        <v>-41274.347677853177</v>
      </c>
      <c r="F68" s="564">
        <f>'Arable NPV'!S80</f>
        <v>3935.9874045954407</v>
      </c>
      <c r="G68" s="564">
        <f>'Arable NPV'!S106</f>
        <v>-2522.0727331891185</v>
      </c>
      <c r="H68" s="564">
        <f>'Arable NPV'!S132</f>
        <v>36200.840449381656</v>
      </c>
      <c r="I68" s="366"/>
      <c r="J68" s="558">
        <v>16</v>
      </c>
      <c r="K68" s="564">
        <f>'Arable NPV'!T28</f>
        <v>-19887.43229402641</v>
      </c>
      <c r="L68" s="564">
        <f>'Arable NPV'!T54</f>
        <v>-35558.831429345395</v>
      </c>
      <c r="M68" s="564">
        <f>'Arable NPV'!T80</f>
        <v>9651.503653103211</v>
      </c>
      <c r="N68" s="564">
        <f>'Arable NPV'!T106</f>
        <v>3193.4435153186523</v>
      </c>
      <c r="O68" s="564">
        <f>'Arable NPV'!T132</f>
        <v>41916.356697889416</v>
      </c>
      <c r="P68" s="366"/>
    </row>
    <row r="69" spans="2:16" x14ac:dyDescent="0.3">
      <c r="B69" s="366"/>
      <c r="C69" s="366"/>
      <c r="D69" s="366"/>
      <c r="E69" s="366"/>
      <c r="F69" s="366"/>
      <c r="G69" s="366"/>
      <c r="H69" s="366"/>
      <c r="I69" s="366"/>
      <c r="J69" s="366"/>
      <c r="K69" s="366"/>
      <c r="L69" s="366"/>
      <c r="M69" s="366"/>
      <c r="N69" s="366"/>
      <c r="O69" s="366"/>
      <c r="P69" s="366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S30"/>
  <sheetViews>
    <sheetView workbookViewId="0">
      <selection activeCell="F4" sqref="F4"/>
    </sheetView>
  </sheetViews>
  <sheetFormatPr defaultColWidth="9" defaultRowHeight="14" x14ac:dyDescent="0.3"/>
  <cols>
    <col min="2" max="2" width="20.08203125" bestFit="1" customWidth="1"/>
    <col min="3" max="29" width="10.58203125" customWidth="1"/>
  </cols>
  <sheetData>
    <row r="4" spans="1:19" ht="40" x14ac:dyDescent="0.3">
      <c r="B4" s="730" t="s">
        <v>290</v>
      </c>
      <c r="C4" s="731" t="s">
        <v>276</v>
      </c>
      <c r="D4" s="732" t="s">
        <v>304</v>
      </c>
      <c r="E4" s="732" t="s">
        <v>333</v>
      </c>
      <c r="F4" s="732" t="s">
        <v>591</v>
      </c>
      <c r="G4" s="733" t="s">
        <v>334</v>
      </c>
      <c r="H4" s="732" t="s">
        <v>335</v>
      </c>
      <c r="I4" s="732" t="s">
        <v>279</v>
      </c>
      <c r="J4" s="733" t="s">
        <v>438</v>
      </c>
      <c r="K4" s="733" t="s">
        <v>439</v>
      </c>
      <c r="L4" s="733" t="s">
        <v>440</v>
      </c>
      <c r="M4" s="733" t="s">
        <v>441</v>
      </c>
      <c r="N4" s="733" t="s">
        <v>442</v>
      </c>
      <c r="O4" s="733" t="s">
        <v>443</v>
      </c>
      <c r="P4" s="733" t="s">
        <v>444</v>
      </c>
      <c r="Q4" s="733" t="s">
        <v>445</v>
      </c>
      <c r="R4" s="733" t="s">
        <v>446</v>
      </c>
      <c r="S4" s="733" t="s">
        <v>447</v>
      </c>
    </row>
    <row r="5" spans="1:19" x14ac:dyDescent="0.3">
      <c r="B5" s="734"/>
      <c r="C5" s="735"/>
      <c r="D5" s="736"/>
      <c r="E5" s="736"/>
      <c r="F5" s="736"/>
      <c r="G5" s="737"/>
      <c r="H5" s="736"/>
      <c r="I5" s="736"/>
      <c r="J5" s="737"/>
      <c r="K5" s="737"/>
      <c r="L5" s="737"/>
      <c r="M5" s="737"/>
      <c r="N5" s="737"/>
      <c r="O5" s="737"/>
      <c r="P5" s="737"/>
      <c r="Q5" s="737"/>
      <c r="R5" s="737"/>
      <c r="S5" s="737"/>
    </row>
    <row r="6" spans="1:19" x14ac:dyDescent="0.3">
      <c r="A6" s="298"/>
      <c r="B6" s="738"/>
      <c r="C6" s="739"/>
      <c r="D6" s="740" t="s">
        <v>336</v>
      </c>
      <c r="E6" s="740" t="s">
        <v>573</v>
      </c>
      <c r="F6" s="740" t="s">
        <v>571</v>
      </c>
      <c r="G6" s="740" t="s">
        <v>571</v>
      </c>
      <c r="H6" s="740" t="s">
        <v>571</v>
      </c>
      <c r="I6" s="740" t="s">
        <v>571</v>
      </c>
      <c r="J6" s="740" t="s">
        <v>571</v>
      </c>
      <c r="K6" s="740" t="s">
        <v>571</v>
      </c>
      <c r="L6" s="740" t="s">
        <v>571</v>
      </c>
      <c r="M6" s="740" t="s">
        <v>571</v>
      </c>
      <c r="N6" s="740" t="s">
        <v>571</v>
      </c>
      <c r="O6" s="740" t="s">
        <v>571</v>
      </c>
      <c r="P6" s="740" t="s">
        <v>571</v>
      </c>
      <c r="Q6" s="740" t="s">
        <v>571</v>
      </c>
      <c r="R6" s="740" t="s">
        <v>571</v>
      </c>
      <c r="S6" s="740" t="s">
        <v>571</v>
      </c>
    </row>
    <row r="7" spans="1:19" x14ac:dyDescent="0.3">
      <c r="B7" s="741">
        <v>1</v>
      </c>
      <c r="C7" s="1087" t="s">
        <v>4</v>
      </c>
      <c r="D7" s="744">
        <f>HLOOKUP($C$7,'Arable Model tables'!$D$4:$H$5,2,FALSE)</f>
        <v>4.5999999999999996</v>
      </c>
      <c r="E7" s="744">
        <f>HLOOKUP($C$7,'Arable Model tables'!$D$8:$H$9,2,FALSE)</f>
        <v>867</v>
      </c>
      <c r="F7" s="744">
        <f>'Arable Model tables'!$D$12</f>
        <v>471.64</v>
      </c>
      <c r="G7" s="744">
        <f>HLOOKUP($C$7,'Arable Model tables'!$D$15:$H$16,2,FALSE)</f>
        <v>2731.3292000000006</v>
      </c>
      <c r="H7" s="744">
        <f>HLOOKUP($C$7,'Arable Model tables'!$D$19:$H$20,2,FALSE)</f>
        <v>4055.6064000000006</v>
      </c>
      <c r="I7" s="744">
        <f>G7+H7</f>
        <v>6786.9356000000007</v>
      </c>
      <c r="J7" s="744">
        <f>HLOOKUP($C$7,'Arable Model tables'!$D$23:$H$24,2,FALSE)</f>
        <v>4674.2</v>
      </c>
      <c r="K7" s="744">
        <f>HLOOKUP($C$7,'Arable Model tables'!$D$27:$H$28,2,FALSE)</f>
        <v>5145.84</v>
      </c>
      <c r="L7" s="744">
        <f>J7-I7</f>
        <v>-2112.7356000000009</v>
      </c>
      <c r="M7" s="744">
        <f>K7-I7</f>
        <v>-1641.0956000000006</v>
      </c>
      <c r="N7" s="744">
        <f>L7</f>
        <v>-2112.7356000000009</v>
      </c>
      <c r="O7" s="744">
        <f>M7</f>
        <v>-1641.0956000000006</v>
      </c>
      <c r="P7" s="744">
        <f>INDEX('Arable Model tables'!$D$33:$H$48,MATCH($B7,'Arable Model tables'!$C$33:$C$48,0),MATCH($C$7,'Arable Model tables'!$D$32:$H$32,0))</f>
        <v>-2112.7356000000009</v>
      </c>
      <c r="Q7" s="744">
        <f>INDEX('Arable Model tables'!$K$33:$O$48,MATCH($B7,'Arable Model tables'!$J$33:$J$48,0),MATCH($C$7,'Arable Model tables'!$K$32:$O$32,0))</f>
        <v>-1641.095600000001</v>
      </c>
      <c r="R7" s="744">
        <f>INDEX('Arable Model tables'!$D$53:$H$68,MATCH($B7,'Arable Model tables'!$C$53:$C$68,0),MATCH($C$7,'Arable Model tables'!$D$52:$H$52,0))</f>
        <v>-2112.7356000000009</v>
      </c>
      <c r="S7" s="744">
        <f>INDEX('Arable Model tables'!$K$53:$O$68,MATCH($B7,'Arable Model tables'!$J$53:$J$68,0),MATCH($C$7,'Arable Model tables'!$K$52:$O$52,0))</f>
        <v>-1641.095600000001</v>
      </c>
    </row>
    <row r="8" spans="1:19" x14ac:dyDescent="0.3">
      <c r="B8" s="742">
        <v>2</v>
      </c>
      <c r="C8" s="1088"/>
      <c r="D8" s="745">
        <f>HLOOKUP($C$7,'Arable Model tables'!$D$4:$H$5,2,FALSE)</f>
        <v>4.5999999999999996</v>
      </c>
      <c r="E8" s="745">
        <f>HLOOKUP($C$7,'Arable Model tables'!$D$8:$H$9,2,FALSE)</f>
        <v>867</v>
      </c>
      <c r="F8" s="745">
        <f>'Arable Model tables'!$D$12</f>
        <v>471.64</v>
      </c>
      <c r="G8" s="745">
        <f>HLOOKUP($C$7,'Arable Model tables'!$D$15:$H$16,2,FALSE)</f>
        <v>2731.3292000000006</v>
      </c>
      <c r="H8" s="745">
        <f>HLOOKUP($C$7,'Arable Model tables'!$D$19:$H$20,2,FALSE)</f>
        <v>4055.6064000000006</v>
      </c>
      <c r="I8" s="745">
        <f t="shared" ref="I8:I22" si="0">G8+H8</f>
        <v>6786.9356000000007</v>
      </c>
      <c r="J8" s="745">
        <f>HLOOKUP($C$7,'Arable Model tables'!$D$23:$H$24,2,FALSE)</f>
        <v>4674.2</v>
      </c>
      <c r="K8" s="745">
        <f>HLOOKUP($C$7,'Arable Model tables'!$D$27:$H$28,2,FALSE)</f>
        <v>5145.84</v>
      </c>
      <c r="L8" s="745">
        <f t="shared" ref="L8:L22" si="1">J8-I8</f>
        <v>-2112.7356000000009</v>
      </c>
      <c r="M8" s="745">
        <f t="shared" ref="M8:M22" si="2">K8-I8</f>
        <v>-1641.0956000000006</v>
      </c>
      <c r="N8" s="745">
        <f>N7+L8</f>
        <v>-4225.4712000000018</v>
      </c>
      <c r="O8" s="745">
        <f>O7+M8</f>
        <v>-3282.1912000000011</v>
      </c>
      <c r="P8" s="745">
        <f>INDEX('Arable Model tables'!$D$33:$H$48,MATCH($B8,'Arable Model tables'!$C$33:$C$48,0),MATCH($C$7,'Arable Model tables'!$D$32:$H$32,0))</f>
        <v>-2031.4765384615393</v>
      </c>
      <c r="Q8" s="745">
        <f>INDEX('Arable Model tables'!$K$33:$O$48,MATCH($B8,'Arable Model tables'!$J$33:$J$48,0),MATCH($C$7,'Arable Model tables'!$K$32:$O$32,0))</f>
        <v>-1577.9765384615393</v>
      </c>
      <c r="R8" s="745">
        <f>INDEX('Arable Model tables'!$D$53:$H$68,MATCH($B8,'Arable Model tables'!$C$53:$C$68,0),MATCH($C$7,'Arable Model tables'!$D$52:$H$52,0))</f>
        <v>-4144.2121384615402</v>
      </c>
      <c r="S8" s="745">
        <f>INDEX('Arable Model tables'!$K$53:$O$68,MATCH($B8,'Arable Model tables'!$J$53:$J$68,0),MATCH($C$7,'Arable Model tables'!$K$52:$O$52,0))</f>
        <v>-3219.0721384615404</v>
      </c>
    </row>
    <row r="9" spans="1:19" x14ac:dyDescent="0.3">
      <c r="B9" s="742">
        <v>3</v>
      </c>
      <c r="C9" s="1088"/>
      <c r="D9" s="745">
        <f>HLOOKUP($C$7,'Arable Model tables'!$D$4:$H$5,2,FALSE)</f>
        <v>4.5999999999999996</v>
      </c>
      <c r="E9" s="745">
        <f>HLOOKUP($C$7,'Arable Model tables'!$D$8:$H$9,2,FALSE)</f>
        <v>867</v>
      </c>
      <c r="F9" s="745">
        <f>'Arable Model tables'!$D$12</f>
        <v>471.64</v>
      </c>
      <c r="G9" s="745">
        <f>HLOOKUP($C$7,'Arable Model tables'!$D$15:$H$16,2,FALSE)</f>
        <v>2731.3292000000006</v>
      </c>
      <c r="H9" s="745">
        <f>HLOOKUP($C$7,'Arable Model tables'!$D$19:$H$20,2,FALSE)</f>
        <v>4055.6064000000006</v>
      </c>
      <c r="I9" s="745">
        <f t="shared" si="0"/>
        <v>6786.9356000000007</v>
      </c>
      <c r="J9" s="745">
        <f>HLOOKUP($C$7,'Arable Model tables'!$D$23:$H$24,2,FALSE)</f>
        <v>4674.2</v>
      </c>
      <c r="K9" s="745">
        <f>HLOOKUP($C$7,'Arable Model tables'!$D$27:$H$28,2,FALSE)</f>
        <v>5145.84</v>
      </c>
      <c r="L9" s="745">
        <f t="shared" si="1"/>
        <v>-2112.7356000000009</v>
      </c>
      <c r="M9" s="745">
        <f t="shared" si="2"/>
        <v>-1641.0956000000006</v>
      </c>
      <c r="N9" s="745">
        <f t="shared" ref="N9:N22" si="3">N8+L9</f>
        <v>-6338.2068000000027</v>
      </c>
      <c r="O9" s="745">
        <f t="shared" ref="O9:O22" si="4">O8+M9</f>
        <v>-4923.2868000000017</v>
      </c>
      <c r="P9" s="745">
        <f>INDEX('Arable Model tables'!$D$33:$H$48,MATCH($B9,'Arable Model tables'!$C$33:$C$48,0),MATCH($C$7,'Arable Model tables'!$D$32:$H$32,0))</f>
        <v>-1953.3428254437877</v>
      </c>
      <c r="Q9" s="745">
        <f>INDEX('Arable Model tables'!$K$33:$O$48,MATCH($B9,'Arable Model tables'!$J$33:$J$48,0),MATCH($C$7,'Arable Model tables'!$K$32:$O$32,0))</f>
        <v>-1517.2851331360953</v>
      </c>
      <c r="R9" s="745">
        <f>INDEX('Arable Model tables'!$D$53:$H$68,MATCH($B9,'Arable Model tables'!$C$53:$C$68,0),MATCH($C$7,'Arable Model tables'!$D$52:$H$52,0))</f>
        <v>-6097.5549639053279</v>
      </c>
      <c r="S9" s="745">
        <f>INDEX('Arable Model tables'!$K$53:$O$68,MATCH($B9,'Arable Model tables'!$J$53:$J$68,0),MATCH($C$7,'Arable Model tables'!$K$52:$O$52,0))</f>
        <v>-4736.3572715976352</v>
      </c>
    </row>
    <row r="10" spans="1:19" x14ac:dyDescent="0.3">
      <c r="B10" s="742">
        <v>4</v>
      </c>
      <c r="C10" s="1088"/>
      <c r="D10" s="745">
        <f>HLOOKUP($C$7,'Arable Model tables'!$D$4:$H$5,2,FALSE)</f>
        <v>4.5999999999999996</v>
      </c>
      <c r="E10" s="745">
        <f>HLOOKUP($C$7,'Arable Model tables'!$D$8:$H$9,2,FALSE)</f>
        <v>867</v>
      </c>
      <c r="F10" s="745">
        <f>'Arable Model tables'!$D$12</f>
        <v>471.64</v>
      </c>
      <c r="G10" s="745">
        <f>HLOOKUP($C$7,'Arable Model tables'!$D$15:$H$16,2,FALSE)</f>
        <v>2731.3292000000006</v>
      </c>
      <c r="H10" s="745">
        <f>HLOOKUP($C$7,'Arable Model tables'!$D$19:$H$20,2,FALSE)</f>
        <v>4055.6064000000006</v>
      </c>
      <c r="I10" s="745">
        <f t="shared" si="0"/>
        <v>6786.9356000000007</v>
      </c>
      <c r="J10" s="745">
        <f>HLOOKUP($C$7,'Arable Model tables'!$D$23:$H$24,2,FALSE)</f>
        <v>4674.2</v>
      </c>
      <c r="K10" s="745">
        <f>HLOOKUP($C$7,'Arable Model tables'!$D$27:$H$28,2,FALSE)</f>
        <v>5145.84</v>
      </c>
      <c r="L10" s="745">
        <f t="shared" si="1"/>
        <v>-2112.7356000000009</v>
      </c>
      <c r="M10" s="745">
        <f t="shared" si="2"/>
        <v>-1641.0956000000006</v>
      </c>
      <c r="N10" s="745">
        <f t="shared" si="3"/>
        <v>-8450.9424000000035</v>
      </c>
      <c r="O10" s="745">
        <f t="shared" si="4"/>
        <v>-6564.3824000000022</v>
      </c>
      <c r="P10" s="745">
        <f>INDEX('Arable Model tables'!$D$33:$H$48,MATCH($B10,'Arable Model tables'!$C$33:$C$48,0),MATCH($C$7,'Arable Model tables'!$D$32:$H$32,0))</f>
        <v>-1878.2142552344112</v>
      </c>
      <c r="Q10" s="745">
        <f>INDEX('Arable Model tables'!$K$33:$O$48,MATCH($B10,'Arable Model tables'!$J$33:$J$48,0),MATCH($C$7,'Arable Model tables'!$K$32:$O$32,0))</f>
        <v>-1458.9280126308608</v>
      </c>
      <c r="R10" s="745">
        <f>INDEX('Arable Model tables'!$D$53:$H$68,MATCH($B10,'Arable Model tables'!$C$53:$C$68,0),MATCH($C$7,'Arable Model tables'!$D$52:$H$52,0))</f>
        <v>-7975.7692191397391</v>
      </c>
      <c r="S10" s="745">
        <f>INDEX('Arable Model tables'!$K$53:$O$68,MATCH($B10,'Arable Model tables'!$J$53:$J$68,0),MATCH($C$7,'Arable Model tables'!$K$52:$O$52,0))</f>
        <v>-6195.2852842284956</v>
      </c>
    </row>
    <row r="11" spans="1:19" x14ac:dyDescent="0.3">
      <c r="B11" s="742">
        <v>5</v>
      </c>
      <c r="C11" s="1088"/>
      <c r="D11" s="745">
        <f>HLOOKUP($C$7,'Arable Model tables'!$D$4:$H$5,2,FALSE)</f>
        <v>4.5999999999999996</v>
      </c>
      <c r="E11" s="745">
        <f>HLOOKUP($C$7,'Arable Model tables'!$D$8:$H$9,2,FALSE)</f>
        <v>867</v>
      </c>
      <c r="F11" s="745">
        <f>'Arable Model tables'!$D$12</f>
        <v>471.64</v>
      </c>
      <c r="G11" s="745">
        <f>HLOOKUP($C$7,'Arable Model tables'!$D$15:$H$16,2,FALSE)</f>
        <v>2731.3292000000006</v>
      </c>
      <c r="H11" s="745">
        <f>HLOOKUP($C$7,'Arable Model tables'!$D$19:$H$20,2,FALSE)</f>
        <v>4055.6064000000006</v>
      </c>
      <c r="I11" s="745">
        <f t="shared" si="0"/>
        <v>6786.9356000000007</v>
      </c>
      <c r="J11" s="745">
        <f>HLOOKUP($C$7,'Arable Model tables'!$D$23:$H$24,2,FALSE)</f>
        <v>4674.2</v>
      </c>
      <c r="K11" s="745">
        <f>HLOOKUP($C$7,'Arable Model tables'!$D$27:$H$28,2,FALSE)</f>
        <v>5145.84</v>
      </c>
      <c r="L11" s="745">
        <f t="shared" si="1"/>
        <v>-2112.7356000000009</v>
      </c>
      <c r="M11" s="745">
        <f t="shared" si="2"/>
        <v>-1641.0956000000006</v>
      </c>
      <c r="N11" s="745">
        <f t="shared" si="3"/>
        <v>-10563.678000000004</v>
      </c>
      <c r="O11" s="745">
        <f t="shared" si="4"/>
        <v>-8205.4780000000028</v>
      </c>
      <c r="P11" s="745">
        <f>INDEX('Arable Model tables'!$D$33:$H$48,MATCH($B11,'Arable Model tables'!$C$33:$C$48,0),MATCH($C$7,'Arable Model tables'!$D$32:$H$32,0))</f>
        <v>-1805.9752454177028</v>
      </c>
      <c r="Q11" s="745">
        <f>INDEX('Arable Model tables'!$K$33:$O$48,MATCH($B11,'Arable Model tables'!$J$33:$J$48,0),MATCH($C$7,'Arable Model tables'!$K$32:$O$32,0))</f>
        <v>-1402.815396760443</v>
      </c>
      <c r="R11" s="745">
        <f>INDEX('Arable Model tables'!$D$53:$H$68,MATCH($B11,'Arable Model tables'!$C$53:$C$68,0),MATCH($C$7,'Arable Model tables'!$D$52:$H$52,0))</f>
        <v>-9781.7444645574415</v>
      </c>
      <c r="S11" s="745">
        <f>INDEX('Arable Model tables'!$K$53:$O$68,MATCH($B11,'Arable Model tables'!$J$53:$J$68,0),MATCH($C$7,'Arable Model tables'!$K$52:$O$52,0))</f>
        <v>-7598.1006809889386</v>
      </c>
    </row>
    <row r="12" spans="1:19" x14ac:dyDescent="0.3">
      <c r="B12" s="742">
        <v>6</v>
      </c>
      <c r="C12" s="1088"/>
      <c r="D12" s="745">
        <f>HLOOKUP($C$7,'Arable Model tables'!$D$4:$H$5,2,FALSE)</f>
        <v>4.5999999999999996</v>
      </c>
      <c r="E12" s="745">
        <f>HLOOKUP($C$7,'Arable Model tables'!$D$8:$H$9,2,FALSE)</f>
        <v>867</v>
      </c>
      <c r="F12" s="745">
        <f>'Arable Model tables'!$D$12</f>
        <v>471.64</v>
      </c>
      <c r="G12" s="745">
        <f>HLOOKUP($C$7,'Arable Model tables'!$D$15:$H$16,2,FALSE)</f>
        <v>2731.3292000000006</v>
      </c>
      <c r="H12" s="745">
        <f>HLOOKUP($C$7,'Arable Model tables'!$D$19:$H$20,2,FALSE)</f>
        <v>4055.6064000000006</v>
      </c>
      <c r="I12" s="745">
        <f t="shared" si="0"/>
        <v>6786.9356000000007</v>
      </c>
      <c r="J12" s="745">
        <f>HLOOKUP($C$7,'Arable Model tables'!$D$23:$H$24,2,FALSE)</f>
        <v>4674.2</v>
      </c>
      <c r="K12" s="745">
        <f>HLOOKUP($C$7,'Arable Model tables'!$D$27:$H$28,2,FALSE)</f>
        <v>5145.84</v>
      </c>
      <c r="L12" s="745">
        <f t="shared" si="1"/>
        <v>-2112.7356000000009</v>
      </c>
      <c r="M12" s="745">
        <f t="shared" si="2"/>
        <v>-1641.0956000000006</v>
      </c>
      <c r="N12" s="745">
        <f t="shared" si="3"/>
        <v>-12676.413600000003</v>
      </c>
      <c r="O12" s="745">
        <f t="shared" si="4"/>
        <v>-9846.5736000000034</v>
      </c>
      <c r="P12" s="745">
        <f>INDEX('Arable Model tables'!$D$33:$H$48,MATCH($B12,'Arable Model tables'!$C$33:$C$48,0),MATCH($C$7,'Arable Model tables'!$D$32:$H$32,0))</f>
        <v>-1736.5146590554832</v>
      </c>
      <c r="Q12" s="745">
        <f>INDEX('Arable Model tables'!$K$33:$O$48,MATCH($B12,'Arable Model tables'!$J$33:$J$48,0),MATCH($C$7,'Arable Model tables'!$K$32:$O$32,0))</f>
        <v>-1348.8609584235028</v>
      </c>
      <c r="R12" s="745">
        <f>INDEX('Arable Model tables'!$D$53:$H$68,MATCH($B12,'Arable Model tables'!$C$53:$C$68,0),MATCH($C$7,'Arable Model tables'!$D$52:$H$52,0))</f>
        <v>-11518.259123612925</v>
      </c>
      <c r="S12" s="745">
        <f>INDEX('Arable Model tables'!$K$53:$O$68,MATCH($B12,'Arable Model tables'!$J$53:$J$68,0),MATCH($C$7,'Arable Model tables'!$K$52:$O$52,0))</f>
        <v>-8946.9616394124423</v>
      </c>
    </row>
    <row r="13" spans="1:19" x14ac:dyDescent="0.3">
      <c r="B13" s="742">
        <v>7</v>
      </c>
      <c r="C13" s="1088"/>
      <c r="D13" s="745">
        <f>HLOOKUP($C$7,'Arable Model tables'!$D$4:$H$5,2,FALSE)</f>
        <v>4.5999999999999996</v>
      </c>
      <c r="E13" s="745">
        <f>HLOOKUP($C$7,'Arable Model tables'!$D$8:$H$9,2,FALSE)</f>
        <v>867</v>
      </c>
      <c r="F13" s="745">
        <f>'Arable Model tables'!$D$12</f>
        <v>471.64</v>
      </c>
      <c r="G13" s="745">
        <f>HLOOKUP($C$7,'Arable Model tables'!$D$15:$H$16,2,FALSE)</f>
        <v>2731.3292000000006</v>
      </c>
      <c r="H13" s="745">
        <f>HLOOKUP($C$7,'Arable Model tables'!$D$19:$H$20,2,FALSE)</f>
        <v>4055.6064000000006</v>
      </c>
      <c r="I13" s="745">
        <f t="shared" si="0"/>
        <v>6786.9356000000007</v>
      </c>
      <c r="J13" s="745">
        <f>HLOOKUP($C$7,'Arable Model tables'!$D$23:$H$24,2,FALSE)</f>
        <v>4674.2</v>
      </c>
      <c r="K13" s="745">
        <f>HLOOKUP($C$7,'Arable Model tables'!$D$27:$H$28,2,FALSE)</f>
        <v>5145.84</v>
      </c>
      <c r="L13" s="745">
        <f t="shared" si="1"/>
        <v>-2112.7356000000009</v>
      </c>
      <c r="M13" s="745">
        <f t="shared" si="2"/>
        <v>-1641.0956000000006</v>
      </c>
      <c r="N13" s="745">
        <f t="shared" si="3"/>
        <v>-14789.149200000003</v>
      </c>
      <c r="O13" s="745">
        <f t="shared" si="4"/>
        <v>-11487.669200000004</v>
      </c>
      <c r="P13" s="745">
        <f>INDEX('Arable Model tables'!$D$33:$H$48,MATCH($B13,'Arable Model tables'!$C$33:$C$48,0),MATCH($C$7,'Arable Model tables'!$D$32:$H$32,0))</f>
        <v>-1669.7256337071958</v>
      </c>
      <c r="Q13" s="745">
        <f>INDEX('Arable Model tables'!$K$33:$O$48,MATCH($B13,'Arable Model tables'!$J$33:$J$48,0),MATCH($C$7,'Arable Model tables'!$K$32:$O$32,0))</f>
        <v>-1296.9816907918298</v>
      </c>
      <c r="R13" s="745">
        <f>INDEX('Arable Model tables'!$D$53:$H$68,MATCH($B13,'Arable Model tables'!$C$53:$C$68,0),MATCH($C$7,'Arable Model tables'!$D$52:$H$52,0))</f>
        <v>-13187.98475732012</v>
      </c>
      <c r="S13" s="745">
        <f>INDEX('Arable Model tables'!$K$53:$O$68,MATCH($B13,'Arable Model tables'!$J$53:$J$68,0),MATCH($C$7,'Arable Model tables'!$K$52:$O$52,0))</f>
        <v>-10243.943330204273</v>
      </c>
    </row>
    <row r="14" spans="1:19" x14ac:dyDescent="0.3">
      <c r="B14" s="742">
        <v>8</v>
      </c>
      <c r="C14" s="1088"/>
      <c r="D14" s="745">
        <f>HLOOKUP($C$7,'Arable Model tables'!$D$4:$H$5,2,FALSE)</f>
        <v>4.5999999999999996</v>
      </c>
      <c r="E14" s="745">
        <f>HLOOKUP($C$7,'Arable Model tables'!$D$8:$H$9,2,FALSE)</f>
        <v>867</v>
      </c>
      <c r="F14" s="745">
        <f>'Arable Model tables'!$D$12</f>
        <v>471.64</v>
      </c>
      <c r="G14" s="745">
        <f>HLOOKUP($C$7,'Arable Model tables'!$D$15:$H$16,2,FALSE)</f>
        <v>2731.3292000000006</v>
      </c>
      <c r="H14" s="745">
        <f>HLOOKUP($C$7,'Arable Model tables'!$D$19:$H$20,2,FALSE)</f>
        <v>4055.6064000000006</v>
      </c>
      <c r="I14" s="745">
        <f t="shared" si="0"/>
        <v>6786.9356000000007</v>
      </c>
      <c r="J14" s="745">
        <f>HLOOKUP($C$7,'Arable Model tables'!$D$23:$H$24,2,FALSE)</f>
        <v>4674.2</v>
      </c>
      <c r="K14" s="745">
        <f>HLOOKUP($C$7,'Arable Model tables'!$D$27:$H$28,2,FALSE)</f>
        <v>5145.84</v>
      </c>
      <c r="L14" s="745">
        <f t="shared" si="1"/>
        <v>-2112.7356000000009</v>
      </c>
      <c r="M14" s="745">
        <f t="shared" si="2"/>
        <v>-1641.0956000000006</v>
      </c>
      <c r="N14" s="745">
        <f t="shared" si="3"/>
        <v>-16901.884800000003</v>
      </c>
      <c r="O14" s="745">
        <f t="shared" si="4"/>
        <v>-13128.764800000004</v>
      </c>
      <c r="P14" s="745">
        <f>INDEX('Arable Model tables'!$D$33:$H$48,MATCH($B14,'Arable Model tables'!$C$33:$C$48,0),MATCH($C$7,'Arable Model tables'!$D$32:$H$32,0))</f>
        <v>-1605.5054170261496</v>
      </c>
      <c r="Q14" s="745">
        <f>INDEX('Arable Model tables'!$K$33:$O$48,MATCH($B14,'Arable Model tables'!$J$33:$J$48,0),MATCH($C$7,'Arable Model tables'!$K$32:$O$32,0))</f>
        <v>-1247.0977796075285</v>
      </c>
      <c r="R14" s="745">
        <f>INDEX('Arable Model tables'!$D$53:$H$68,MATCH($B14,'Arable Model tables'!$C$53:$C$68,0),MATCH($C$7,'Arable Model tables'!$D$52:$H$52,0))</f>
        <v>-14793.490174346271</v>
      </c>
      <c r="S14" s="745">
        <f>INDEX('Arable Model tables'!$K$53:$O$68,MATCH($B14,'Arable Model tables'!$J$53:$J$68,0),MATCH($C$7,'Arable Model tables'!$K$52:$O$52,0))</f>
        <v>-11491.041109811802</v>
      </c>
    </row>
    <row r="15" spans="1:19" x14ac:dyDescent="0.3">
      <c r="B15" s="742">
        <v>9</v>
      </c>
      <c r="C15" s="1088"/>
      <c r="D15" s="745">
        <f>HLOOKUP($C$7,'Arable Model tables'!$D$4:$H$5,2,FALSE)</f>
        <v>4.5999999999999996</v>
      </c>
      <c r="E15" s="745">
        <f>HLOOKUP($C$7,'Arable Model tables'!$D$8:$H$9,2,FALSE)</f>
        <v>867</v>
      </c>
      <c r="F15" s="745">
        <f>'Arable Model tables'!$D$12</f>
        <v>471.64</v>
      </c>
      <c r="G15" s="745">
        <f>HLOOKUP($C$7,'Arable Model tables'!$D$15:$H$16,2,FALSE)</f>
        <v>2731.3292000000006</v>
      </c>
      <c r="H15" s="745">
        <f>HLOOKUP($C$7,'Arable Model tables'!$D$19:$H$20,2,FALSE)</f>
        <v>4055.6064000000006</v>
      </c>
      <c r="I15" s="745">
        <f t="shared" si="0"/>
        <v>6786.9356000000007</v>
      </c>
      <c r="J15" s="745">
        <f>HLOOKUP($C$7,'Arable Model tables'!$D$23:$H$24,2,FALSE)</f>
        <v>4674.2</v>
      </c>
      <c r="K15" s="745">
        <f>HLOOKUP($C$7,'Arable Model tables'!$D$27:$H$28,2,FALSE)</f>
        <v>5145.84</v>
      </c>
      <c r="L15" s="745">
        <f t="shared" si="1"/>
        <v>-2112.7356000000009</v>
      </c>
      <c r="M15" s="745">
        <f t="shared" si="2"/>
        <v>-1641.0956000000006</v>
      </c>
      <c r="N15" s="745">
        <f t="shared" si="3"/>
        <v>-19014.620400000003</v>
      </c>
      <c r="O15" s="745">
        <f t="shared" si="4"/>
        <v>-14769.860400000005</v>
      </c>
      <c r="P15" s="745">
        <f>INDEX('Arable Model tables'!$D$33:$H$48,MATCH($B15,'Arable Model tables'!$C$33:$C$48,0),MATCH($C$7,'Arable Model tables'!$D$32:$H$32,0))</f>
        <v>-1543.7552086789901</v>
      </c>
      <c r="Q15" s="745">
        <f>INDEX('Arable Model tables'!$K$33:$O$48,MATCH($B15,'Arable Model tables'!$J$33:$J$48,0),MATCH($C$7,'Arable Model tables'!$K$32:$O$32,0))</f>
        <v>-1199.1324803918546</v>
      </c>
      <c r="R15" s="745">
        <f>INDEX('Arable Model tables'!$D$53:$H$68,MATCH($B15,'Arable Model tables'!$C$53:$C$68,0),MATCH($C$7,'Arable Model tables'!$D$52:$H$52,0))</f>
        <v>-16337.24538302526</v>
      </c>
      <c r="S15" s="745">
        <f>INDEX('Arable Model tables'!$K$53:$O$68,MATCH($B15,'Arable Model tables'!$J$53:$J$68,0),MATCH($C$7,'Arable Model tables'!$K$52:$O$52,0))</f>
        <v>-12690.173590203656</v>
      </c>
    </row>
    <row r="16" spans="1:19" x14ac:dyDescent="0.3">
      <c r="B16" s="742">
        <v>10</v>
      </c>
      <c r="C16" s="1088"/>
      <c r="D16" s="745">
        <f>HLOOKUP($C$7,'Arable Model tables'!$D$4:$H$5,2,FALSE)</f>
        <v>4.5999999999999996</v>
      </c>
      <c r="E16" s="745">
        <f>HLOOKUP($C$7,'Arable Model tables'!$D$8:$H$9,2,FALSE)</f>
        <v>867</v>
      </c>
      <c r="F16" s="745">
        <f>'Arable Model tables'!$D$12</f>
        <v>471.64</v>
      </c>
      <c r="G16" s="745">
        <f>HLOOKUP($C$7,'Arable Model tables'!$D$15:$H$16,2,FALSE)</f>
        <v>2731.3292000000006</v>
      </c>
      <c r="H16" s="745">
        <f>HLOOKUP($C$7,'Arable Model tables'!$D$19:$H$20,2,FALSE)</f>
        <v>4055.6064000000006</v>
      </c>
      <c r="I16" s="745">
        <f t="shared" si="0"/>
        <v>6786.9356000000007</v>
      </c>
      <c r="J16" s="745">
        <f>HLOOKUP($C$7,'Arable Model tables'!$D$23:$H$24,2,FALSE)</f>
        <v>4674.2</v>
      </c>
      <c r="K16" s="745">
        <f>HLOOKUP($C$7,'Arable Model tables'!$D$27:$H$28,2,FALSE)</f>
        <v>5145.84</v>
      </c>
      <c r="L16" s="745">
        <f t="shared" si="1"/>
        <v>-2112.7356000000009</v>
      </c>
      <c r="M16" s="745">
        <f t="shared" si="2"/>
        <v>-1641.0956000000006</v>
      </c>
      <c r="N16" s="745">
        <f t="shared" si="3"/>
        <v>-21127.356000000003</v>
      </c>
      <c r="O16" s="745">
        <f t="shared" si="4"/>
        <v>-16410.956000000006</v>
      </c>
      <c r="P16" s="745">
        <f>INDEX('Arable Model tables'!$D$33:$H$48,MATCH($B16,'Arable Model tables'!$C$33:$C$48,0),MATCH($C$7,'Arable Model tables'!$D$32:$H$32,0))</f>
        <v>-1484.380008345182</v>
      </c>
      <c r="Q16" s="745">
        <f>INDEX('Arable Model tables'!$K$33:$O$48,MATCH($B16,'Arable Model tables'!$J$33:$J$48,0),MATCH($C$7,'Arable Model tables'!$K$32:$O$32,0))</f>
        <v>-1153.0120003767825</v>
      </c>
      <c r="R16" s="745">
        <f>INDEX('Arable Model tables'!$D$53:$H$68,MATCH($B16,'Arable Model tables'!$C$53:$C$68,0),MATCH($C$7,'Arable Model tables'!$D$52:$H$52,0))</f>
        <v>-17821.625391370442</v>
      </c>
      <c r="S16" s="745">
        <f>INDEX('Arable Model tables'!$K$53:$O$68,MATCH($B16,'Arable Model tables'!$J$53:$J$68,0),MATCH($C$7,'Arable Model tables'!$K$52:$O$52,0))</f>
        <v>-13843.185590580439</v>
      </c>
    </row>
    <row r="17" spans="2:19" x14ac:dyDescent="0.3">
      <c r="B17" s="742">
        <v>11</v>
      </c>
      <c r="C17" s="1088"/>
      <c r="D17" s="745">
        <f>HLOOKUP($C$7,'Arable Model tables'!$D$4:$H$5,2,FALSE)</f>
        <v>4.5999999999999996</v>
      </c>
      <c r="E17" s="745">
        <f>HLOOKUP($C$7,'Arable Model tables'!$D$8:$H$9,2,FALSE)</f>
        <v>867</v>
      </c>
      <c r="F17" s="745">
        <f>'Arable Model tables'!$D$12</f>
        <v>471.64</v>
      </c>
      <c r="G17" s="745">
        <f>HLOOKUP($C$7,'Arable Model tables'!$D$15:$H$16,2,FALSE)</f>
        <v>2731.3292000000006</v>
      </c>
      <c r="H17" s="745">
        <f>HLOOKUP($C$7,'Arable Model tables'!$D$19:$H$20,2,FALSE)</f>
        <v>4055.6064000000006</v>
      </c>
      <c r="I17" s="745">
        <f t="shared" si="0"/>
        <v>6786.9356000000007</v>
      </c>
      <c r="J17" s="745">
        <f>HLOOKUP($C$7,'Arable Model tables'!$D$23:$H$24,2,FALSE)</f>
        <v>4674.2</v>
      </c>
      <c r="K17" s="745">
        <f>HLOOKUP($C$7,'Arable Model tables'!$D$27:$H$28,2,FALSE)</f>
        <v>5145.84</v>
      </c>
      <c r="L17" s="745">
        <f t="shared" si="1"/>
        <v>-2112.7356000000009</v>
      </c>
      <c r="M17" s="745">
        <f t="shared" si="2"/>
        <v>-1641.0956000000006</v>
      </c>
      <c r="N17" s="745">
        <f t="shared" si="3"/>
        <v>-23240.091600000003</v>
      </c>
      <c r="O17" s="745">
        <f t="shared" si="4"/>
        <v>-18052.051600000006</v>
      </c>
      <c r="P17" s="745">
        <f>INDEX('Arable Model tables'!$D$33:$H$48,MATCH($B17,'Arable Model tables'!$C$33:$C$48,0),MATCH($C$7,'Arable Model tables'!$D$32:$H$32,0))</f>
        <v>-1427.2884695626758</v>
      </c>
      <c r="Q17" s="745">
        <f>INDEX('Arable Model tables'!$K$33:$O$48,MATCH($B17,'Arable Model tables'!$J$33:$J$48,0),MATCH($C$7,'Arable Model tables'!$K$32:$O$32,0))</f>
        <v>-1108.6653849776762</v>
      </c>
      <c r="R17" s="745">
        <f>INDEX('Arable Model tables'!$D$53:$H$68,MATCH($B17,'Arable Model tables'!$C$53:$C$68,0),MATCH($C$7,'Arable Model tables'!$D$52:$H$52,0))</f>
        <v>-19248.913860933117</v>
      </c>
      <c r="S17" s="745">
        <f>INDEX('Arable Model tables'!$K$53:$O$68,MATCH($B17,'Arable Model tables'!$J$53:$J$68,0),MATCH($C$7,'Arable Model tables'!$K$52:$O$52,0))</f>
        <v>-14951.850975558114</v>
      </c>
    </row>
    <row r="18" spans="2:19" x14ac:dyDescent="0.3">
      <c r="B18" s="742">
        <v>12</v>
      </c>
      <c r="C18" s="1088"/>
      <c r="D18" s="745">
        <f>HLOOKUP($C$7,'Arable Model tables'!$D$4:$H$5,2,FALSE)</f>
        <v>4.5999999999999996</v>
      </c>
      <c r="E18" s="745">
        <f>HLOOKUP($C$7,'Arable Model tables'!$D$8:$H$9,2,FALSE)</f>
        <v>867</v>
      </c>
      <c r="F18" s="745">
        <f>'Arable Model tables'!$D$12</f>
        <v>471.64</v>
      </c>
      <c r="G18" s="745">
        <f>HLOOKUP($C$7,'Arable Model tables'!$D$15:$H$16,2,FALSE)</f>
        <v>2731.3292000000006</v>
      </c>
      <c r="H18" s="745">
        <f>HLOOKUP($C$7,'Arable Model tables'!$D$19:$H$20,2,FALSE)</f>
        <v>4055.6064000000006</v>
      </c>
      <c r="I18" s="745">
        <f t="shared" si="0"/>
        <v>6786.9356000000007</v>
      </c>
      <c r="J18" s="745">
        <f>HLOOKUP($C$7,'Arable Model tables'!$D$23:$H$24,2,FALSE)</f>
        <v>4674.2</v>
      </c>
      <c r="K18" s="745">
        <f>HLOOKUP($C$7,'Arable Model tables'!$D$27:$H$28,2,FALSE)</f>
        <v>5145.84</v>
      </c>
      <c r="L18" s="745">
        <f t="shared" si="1"/>
        <v>-2112.7356000000009</v>
      </c>
      <c r="M18" s="745">
        <f t="shared" si="2"/>
        <v>-1641.0956000000006</v>
      </c>
      <c r="N18" s="745">
        <f t="shared" si="3"/>
        <v>-25352.827200000003</v>
      </c>
      <c r="O18" s="745">
        <f t="shared" si="4"/>
        <v>-19693.147200000007</v>
      </c>
      <c r="P18" s="745">
        <f>INDEX('Arable Model tables'!$D$33:$H$48,MATCH($B18,'Arable Model tables'!$C$33:$C$48,0),MATCH($C$7,'Arable Model tables'!$D$32:$H$32,0))</f>
        <v>-1372.3927591948805</v>
      </c>
      <c r="Q18" s="745">
        <f>INDEX('Arable Model tables'!$K$33:$O$48,MATCH($B18,'Arable Model tables'!$J$33:$J$48,0),MATCH($C$7,'Arable Model tables'!$K$32:$O$32,0))</f>
        <v>-1066.0244086323808</v>
      </c>
      <c r="R18" s="745">
        <f>INDEX('Arable Model tables'!$D$53:$H$68,MATCH($B18,'Arable Model tables'!$C$53:$C$68,0),MATCH($C$7,'Arable Model tables'!$D$52:$H$52,0))</f>
        <v>-20621.306620127998</v>
      </c>
      <c r="S18" s="745">
        <f>INDEX('Arable Model tables'!$K$53:$O$68,MATCH($B18,'Arable Model tables'!$J$53:$J$68,0),MATCH($C$7,'Arable Model tables'!$K$52:$O$52,0))</f>
        <v>-16017.875384190495</v>
      </c>
    </row>
    <row r="19" spans="2:19" x14ac:dyDescent="0.3">
      <c r="B19" s="742">
        <v>13</v>
      </c>
      <c r="C19" s="1088"/>
      <c r="D19" s="745">
        <f>HLOOKUP($C$7,'Arable Model tables'!$D$4:$H$5,2,FALSE)</f>
        <v>4.5999999999999996</v>
      </c>
      <c r="E19" s="745">
        <f>HLOOKUP($C$7,'Arable Model tables'!$D$8:$H$9,2,FALSE)</f>
        <v>867</v>
      </c>
      <c r="F19" s="745">
        <f>'Arable Model tables'!$D$12</f>
        <v>471.64</v>
      </c>
      <c r="G19" s="745">
        <f>HLOOKUP($C$7,'Arable Model tables'!$D$15:$H$16,2,FALSE)</f>
        <v>2731.3292000000006</v>
      </c>
      <c r="H19" s="745">
        <f>HLOOKUP($C$7,'Arable Model tables'!$D$19:$H$20,2,FALSE)</f>
        <v>4055.6064000000006</v>
      </c>
      <c r="I19" s="745">
        <f t="shared" si="0"/>
        <v>6786.9356000000007</v>
      </c>
      <c r="J19" s="745">
        <f>HLOOKUP($C$7,'Arable Model tables'!$D$23:$H$24,2,FALSE)</f>
        <v>4674.2</v>
      </c>
      <c r="K19" s="745">
        <f>HLOOKUP($C$7,'Arable Model tables'!$D$27:$H$28,2,FALSE)</f>
        <v>5145.84</v>
      </c>
      <c r="L19" s="745">
        <f t="shared" si="1"/>
        <v>-2112.7356000000009</v>
      </c>
      <c r="M19" s="745">
        <f t="shared" si="2"/>
        <v>-1641.0956000000006</v>
      </c>
      <c r="N19" s="745">
        <f t="shared" si="3"/>
        <v>-27465.562800000003</v>
      </c>
      <c r="O19" s="745">
        <f t="shared" si="4"/>
        <v>-21334.242800000007</v>
      </c>
      <c r="P19" s="745">
        <f>INDEX('Arable Model tables'!$D$33:$H$48,MATCH($B19,'Arable Model tables'!$C$33:$C$48,0),MATCH($C$7,'Arable Model tables'!$D$32:$H$32,0))</f>
        <v>-1319.6084223027697</v>
      </c>
      <c r="Q19" s="745">
        <f>INDEX('Arable Model tables'!$K$33:$O$48,MATCH($B19,'Arable Model tables'!$J$33:$J$48,0),MATCH($C$7,'Arable Model tables'!$K$32:$O$32,0))</f>
        <v>-1025.0234698388276</v>
      </c>
      <c r="R19" s="745">
        <f>INDEX('Arable Model tables'!$D$53:$H$68,MATCH($B19,'Arable Model tables'!$C$53:$C$68,0),MATCH($C$7,'Arable Model tables'!$D$52:$H$52,0))</f>
        <v>-21940.915042430766</v>
      </c>
      <c r="S19" s="745">
        <f>INDEX('Arable Model tables'!$K$53:$O$68,MATCH($B19,'Arable Model tables'!$J$53:$J$68,0),MATCH($C$7,'Arable Model tables'!$K$52:$O$52,0))</f>
        <v>-17042.898854029321</v>
      </c>
    </row>
    <row r="20" spans="2:19" x14ac:dyDescent="0.3">
      <c r="B20" s="742">
        <v>14</v>
      </c>
      <c r="C20" s="1088"/>
      <c r="D20" s="745">
        <f>HLOOKUP($C$7,'Arable Model tables'!$D$4:$H$5,2,FALSE)</f>
        <v>4.5999999999999996</v>
      </c>
      <c r="E20" s="745">
        <f>HLOOKUP($C$7,'Arable Model tables'!$D$8:$H$9,2,FALSE)</f>
        <v>867</v>
      </c>
      <c r="F20" s="745">
        <f>'Arable Model tables'!$D$12</f>
        <v>471.64</v>
      </c>
      <c r="G20" s="745">
        <f>HLOOKUP($C$7,'Arable Model tables'!$D$15:$H$16,2,FALSE)</f>
        <v>2731.3292000000006</v>
      </c>
      <c r="H20" s="745">
        <f>HLOOKUP($C$7,'Arable Model tables'!$D$19:$H$20,2,FALSE)</f>
        <v>4055.6064000000006</v>
      </c>
      <c r="I20" s="745">
        <f t="shared" si="0"/>
        <v>6786.9356000000007</v>
      </c>
      <c r="J20" s="745">
        <f>HLOOKUP($C$7,'Arable Model tables'!$D$23:$H$24,2,FALSE)</f>
        <v>4674.2</v>
      </c>
      <c r="K20" s="745">
        <f>HLOOKUP($C$7,'Arable Model tables'!$D$27:$H$28,2,FALSE)</f>
        <v>5145.84</v>
      </c>
      <c r="L20" s="745">
        <f t="shared" si="1"/>
        <v>-2112.7356000000009</v>
      </c>
      <c r="M20" s="745">
        <f t="shared" si="2"/>
        <v>-1641.0956000000006</v>
      </c>
      <c r="N20" s="745">
        <f t="shared" si="3"/>
        <v>-29578.298400000003</v>
      </c>
      <c r="O20" s="745">
        <f t="shared" si="4"/>
        <v>-22975.338400000008</v>
      </c>
      <c r="P20" s="745">
        <f>INDEX('Arable Model tables'!$D$33:$H$48,MATCH($B20,'Arable Model tables'!$C$33:$C$48,0),MATCH($C$7,'Arable Model tables'!$D$32:$H$32,0))</f>
        <v>-1268.8542522142011</v>
      </c>
      <c r="Q20" s="745">
        <f>INDEX('Arable Model tables'!$K$33:$O$48,MATCH($B20,'Arable Model tables'!$J$33:$J$48,0),MATCH($C$7,'Arable Model tables'!$K$32:$O$32,0))</f>
        <v>-985.59949022964156</v>
      </c>
      <c r="R20" s="745">
        <f>INDEX('Arable Model tables'!$D$53:$H$68,MATCH($B20,'Arable Model tables'!$C$53:$C$68,0),MATCH($C$7,'Arable Model tables'!$D$52:$H$52,0))</f>
        <v>-23209.769294644968</v>
      </c>
      <c r="S20" s="745">
        <f>INDEX('Arable Model tables'!$K$53:$O$68,MATCH($B20,'Arable Model tables'!$J$53:$J$68,0),MATCH($C$7,'Arable Model tables'!$K$52:$O$52,0))</f>
        <v>-18028.498344258962</v>
      </c>
    </row>
    <row r="21" spans="2:19" x14ac:dyDescent="0.3">
      <c r="B21" s="742">
        <v>15</v>
      </c>
      <c r="C21" s="1088"/>
      <c r="D21" s="745">
        <f>HLOOKUP($C$7,'Arable Model tables'!$D$4:$H$5,2,FALSE)</f>
        <v>4.5999999999999996</v>
      </c>
      <c r="E21" s="745">
        <f>HLOOKUP($C$7,'Arable Model tables'!$D$8:$H$9,2,FALSE)</f>
        <v>867</v>
      </c>
      <c r="F21" s="745">
        <f>'Arable Model tables'!$D$12</f>
        <v>471.64</v>
      </c>
      <c r="G21" s="745">
        <f>HLOOKUP($C$7,'Arable Model tables'!$D$15:$H$16,2,FALSE)</f>
        <v>2731.3292000000006</v>
      </c>
      <c r="H21" s="745">
        <f>HLOOKUP($C$7,'Arable Model tables'!$D$19:$H$20,2,FALSE)</f>
        <v>4055.6064000000006</v>
      </c>
      <c r="I21" s="745">
        <f t="shared" si="0"/>
        <v>6786.9356000000007</v>
      </c>
      <c r="J21" s="745">
        <f>HLOOKUP($C$7,'Arable Model tables'!$D$23:$H$24,2,FALSE)</f>
        <v>4674.2</v>
      </c>
      <c r="K21" s="745">
        <f>HLOOKUP($C$7,'Arable Model tables'!$D$27:$H$28,2,FALSE)</f>
        <v>5145.84</v>
      </c>
      <c r="L21" s="745">
        <f t="shared" si="1"/>
        <v>-2112.7356000000009</v>
      </c>
      <c r="M21" s="745">
        <f t="shared" si="2"/>
        <v>-1641.0956000000006</v>
      </c>
      <c r="N21" s="745">
        <f t="shared" si="3"/>
        <v>-31691.034000000003</v>
      </c>
      <c r="O21" s="745">
        <f t="shared" si="4"/>
        <v>-24616.434000000008</v>
      </c>
      <c r="P21" s="745">
        <f>INDEX('Arable Model tables'!$D$33:$H$48,MATCH($B21,'Arable Model tables'!$C$33:$C$48,0),MATCH($C$7,'Arable Model tables'!$D$32:$H$32,0))</f>
        <v>-1220.0521655905782</v>
      </c>
      <c r="Q21" s="745">
        <f>INDEX('Arable Model tables'!$K$33:$O$48,MATCH($B21,'Arable Model tables'!$J$33:$J$48,0),MATCH($C$7,'Arable Model tables'!$K$32:$O$32,0))</f>
        <v>-947.6918175285017</v>
      </c>
      <c r="R21" s="745">
        <f>INDEX('Arable Model tables'!$D$53:$H$68,MATCH($B21,'Arable Model tables'!$C$53:$C$68,0),MATCH($C$7,'Arable Model tables'!$D$52:$H$52,0))</f>
        <v>-24429.821460235547</v>
      </c>
      <c r="S21" s="745">
        <f>INDEX('Arable Model tables'!$K$53:$O$68,MATCH($B21,'Arable Model tables'!$J$53:$J$68,0),MATCH($C$7,'Arable Model tables'!$K$52:$O$52,0))</f>
        <v>-18976.190161787465</v>
      </c>
    </row>
    <row r="22" spans="2:19" x14ac:dyDescent="0.3">
      <c r="B22" s="743">
        <v>16</v>
      </c>
      <c r="C22" s="1089"/>
      <c r="D22" s="746">
        <f>HLOOKUP($C$7,'Arable Model tables'!$D$4:$H$5,2,FALSE)</f>
        <v>4.5999999999999996</v>
      </c>
      <c r="E22" s="746">
        <f>HLOOKUP($C$7,'Arable Model tables'!$D$8:$H$9,2,FALSE)</f>
        <v>867</v>
      </c>
      <c r="F22" s="746">
        <f>'Arable Model tables'!$D$12</f>
        <v>471.64</v>
      </c>
      <c r="G22" s="746">
        <f>HLOOKUP($C$7,'Arable Model tables'!$D$15:$H$16,2,FALSE)</f>
        <v>2731.3292000000006</v>
      </c>
      <c r="H22" s="746">
        <f>HLOOKUP($C$7,'Arable Model tables'!$D$19:$H$20,2,FALSE)</f>
        <v>4055.6064000000006</v>
      </c>
      <c r="I22" s="746">
        <f t="shared" si="0"/>
        <v>6786.9356000000007</v>
      </c>
      <c r="J22" s="746">
        <f>HLOOKUP($C$7,'Arable Model tables'!$D$23:$H$24,2,FALSE)</f>
        <v>4674.2</v>
      </c>
      <c r="K22" s="746">
        <f>HLOOKUP($C$7,'Arable Model tables'!$D$27:$H$28,2,FALSE)</f>
        <v>5145.84</v>
      </c>
      <c r="L22" s="746">
        <f t="shared" si="1"/>
        <v>-2112.7356000000009</v>
      </c>
      <c r="M22" s="746">
        <f t="shared" si="2"/>
        <v>-1641.0956000000006</v>
      </c>
      <c r="N22" s="746">
        <f t="shared" si="3"/>
        <v>-33803.769600000007</v>
      </c>
      <c r="O22" s="746">
        <f t="shared" si="4"/>
        <v>-26257.529600000009</v>
      </c>
      <c r="P22" s="746">
        <f>INDEX('Arable Model tables'!$D$33:$H$48,MATCH($B22,'Arable Model tables'!$C$33:$C$48,0),MATCH($C$7,'Arable Model tables'!$D$32:$H$32,0))</f>
        <v>-1173.127082298633</v>
      </c>
      <c r="Q22" s="746">
        <f>INDEX('Arable Model tables'!$K$33:$O$48,MATCH($B22,'Arable Model tables'!$J$33:$J$48,0),MATCH($C$7,'Arable Model tables'!$K$32:$O$32,0))</f>
        <v>-911.24213223894412</v>
      </c>
      <c r="R22" s="746">
        <f>INDEX('Arable Model tables'!$D$53:$H$68,MATCH($B22,'Arable Model tables'!$C$53:$C$68,0),MATCH($C$7,'Arable Model tables'!$D$52:$H$52,0))</f>
        <v>-25602.948542534181</v>
      </c>
      <c r="S22" s="746">
        <f>INDEX('Arable Model tables'!$K$53:$O$68,MATCH($B22,'Arable Model tables'!$J$53:$J$68,0),MATCH($C$7,'Arable Model tables'!$K$52:$O$52,0))</f>
        <v>-19887.43229402641</v>
      </c>
    </row>
    <row r="23" spans="2:19" x14ac:dyDescent="0.3">
      <c r="C23" s="363"/>
      <c r="M23" s="39"/>
      <c r="N23" s="39"/>
      <c r="O23" s="39"/>
      <c r="P23" s="39"/>
      <c r="Q23" s="39"/>
    </row>
    <row r="25" spans="2:19" x14ac:dyDescent="0.3">
      <c r="D25" s="24"/>
      <c r="E25" s="24"/>
      <c r="F25" s="24"/>
    </row>
    <row r="26" spans="2:19" ht="30" x14ac:dyDescent="0.3">
      <c r="B26" s="300"/>
      <c r="C26" s="747" t="s">
        <v>349</v>
      </c>
      <c r="D26" s="747" t="s">
        <v>350</v>
      </c>
      <c r="E26" s="747" t="s">
        <v>351</v>
      </c>
      <c r="F26" s="747" t="s">
        <v>352</v>
      </c>
    </row>
    <row r="27" spans="2:19" x14ac:dyDescent="0.3">
      <c r="B27" s="299"/>
      <c r="C27" s="739" t="s">
        <v>571</v>
      </c>
      <c r="D27" s="739" t="s">
        <v>571</v>
      </c>
      <c r="E27" s="739" t="s">
        <v>571</v>
      </c>
      <c r="F27" s="748" t="s">
        <v>586</v>
      </c>
    </row>
    <row r="28" spans="2:19" x14ac:dyDescent="0.3">
      <c r="B28" s="86" t="s">
        <v>287</v>
      </c>
      <c r="C28" s="361">
        <v>0</v>
      </c>
      <c r="D28" s="749">
        <f>'Energy NPV'!C6</f>
        <v>0.04</v>
      </c>
      <c r="E28" s="86"/>
      <c r="F28" s="86"/>
    </row>
    <row r="29" spans="2:19" x14ac:dyDescent="0.3">
      <c r="B29" s="86" t="s">
        <v>348</v>
      </c>
      <c r="C29" s="782">
        <f>N22</f>
        <v>-33803.769600000007</v>
      </c>
      <c r="D29" s="782">
        <f>R22</f>
        <v>-25602.948542534181</v>
      </c>
      <c r="E29" s="782">
        <f>D29*((1+$D$28)^16)/(((1+$D$28)^16)-1)</f>
        <v>-54931.125599999963</v>
      </c>
      <c r="F29" s="782">
        <f>E29*$D$28</f>
        <v>-2197.2450239999985</v>
      </c>
    </row>
    <row r="30" spans="2:19" x14ac:dyDescent="0.3">
      <c r="B30" s="86" t="s">
        <v>347</v>
      </c>
      <c r="C30" s="782">
        <f>O22</f>
        <v>-26257.529600000009</v>
      </c>
      <c r="D30" s="782">
        <f>S22</f>
        <v>-19887.43229402641</v>
      </c>
      <c r="E30" s="782">
        <f>D30*((1+$D$28)^16)/(((1+$D$28)^16)-1)</f>
        <v>-42668.485599999978</v>
      </c>
      <c r="F30" s="782">
        <f>E30*$D$28</f>
        <v>-1706.7394239999992</v>
      </c>
    </row>
  </sheetData>
  <mergeCells count="1">
    <mergeCell ref="C7:C22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'Arable Model tables'!$D$4:$H$4</xm:f>
          </x14:formula1>
          <xm:sqref>C7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N97"/>
  <sheetViews>
    <sheetView topLeftCell="A39" workbookViewId="0">
      <selection activeCell="C59" sqref="C59"/>
    </sheetView>
  </sheetViews>
  <sheetFormatPr defaultColWidth="9" defaultRowHeight="14" x14ac:dyDescent="0.3"/>
  <cols>
    <col min="2" max="2" width="14.5" customWidth="1"/>
  </cols>
  <sheetData>
    <row r="3" spans="2:14" x14ac:dyDescent="0.3">
      <c r="B3" s="366"/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</row>
    <row r="4" spans="2:14" x14ac:dyDescent="0.3">
      <c r="B4" s="503"/>
      <c r="C4" s="432"/>
      <c r="H4" s="366"/>
      <c r="I4" s="366"/>
      <c r="J4" s="366"/>
      <c r="K4" s="366"/>
      <c r="L4" s="366"/>
      <c r="M4" s="366"/>
      <c r="N4" s="366"/>
    </row>
    <row r="5" spans="2:14" x14ac:dyDescent="0.3">
      <c r="B5" s="753" t="s">
        <v>220</v>
      </c>
      <c r="C5" s="430" t="s">
        <v>383</v>
      </c>
      <c r="D5" s="511" t="s">
        <v>92</v>
      </c>
      <c r="E5" s="511" t="s">
        <v>93</v>
      </c>
      <c r="F5" s="728" t="s">
        <v>94</v>
      </c>
      <c r="G5" s="728" t="s">
        <v>437</v>
      </c>
      <c r="H5" s="366"/>
      <c r="I5" s="366"/>
      <c r="J5" s="366"/>
      <c r="K5" s="366"/>
      <c r="L5" s="366"/>
      <c r="M5" s="366"/>
      <c r="N5" s="366"/>
    </row>
    <row r="6" spans="2:14" x14ac:dyDescent="0.3">
      <c r="B6" s="432"/>
      <c r="C6" s="725">
        <v>1</v>
      </c>
      <c r="D6" s="750"/>
      <c r="E6" s="750">
        <f>'Energy NPV'!$D39</f>
        <v>0.6</v>
      </c>
      <c r="F6" s="750">
        <f>'Energy NPV'!$D65</f>
        <v>2.0466666666666664</v>
      </c>
      <c r="G6" s="750">
        <f>'Energy NPV'!$D91</f>
        <v>0</v>
      </c>
      <c r="H6" s="366"/>
      <c r="I6" s="366"/>
      <c r="J6" s="366"/>
      <c r="K6" s="366"/>
      <c r="L6" s="366"/>
      <c r="M6" s="366"/>
      <c r="N6" s="366"/>
    </row>
    <row r="7" spans="2:14" x14ac:dyDescent="0.3">
      <c r="B7" s="432"/>
      <c r="C7" s="417">
        <v>2</v>
      </c>
      <c r="D7" s="751"/>
      <c r="E7" s="751">
        <f>'Energy NPV'!$D40</f>
        <v>3.9250000000000007</v>
      </c>
      <c r="F7" s="751">
        <f>'Energy NPV'!$D66</f>
        <v>8.27</v>
      </c>
      <c r="G7" s="751">
        <f>'Energy NPV'!$D92</f>
        <v>9.9333333333333336</v>
      </c>
      <c r="H7" s="366"/>
      <c r="I7" s="366"/>
      <c r="J7" s="366"/>
      <c r="K7" s="366"/>
      <c r="L7" s="366"/>
      <c r="M7" s="366"/>
      <c r="N7" s="366"/>
    </row>
    <row r="8" spans="2:14" x14ac:dyDescent="0.3">
      <c r="B8" s="432"/>
      <c r="C8" s="417">
        <v>3</v>
      </c>
      <c r="D8" s="751"/>
      <c r="E8" s="751">
        <f>'Energy NPV'!$D41</f>
        <v>11.099999999999998</v>
      </c>
      <c r="F8" s="751">
        <f>'Energy NPV'!$D67</f>
        <v>10.926666666666668</v>
      </c>
      <c r="G8" s="751">
        <f>'Energy NPV'!$D93</f>
        <v>14.700000000000001</v>
      </c>
      <c r="H8" s="366"/>
      <c r="I8" s="366"/>
      <c r="J8" s="366"/>
      <c r="K8" s="366"/>
      <c r="L8" s="366"/>
      <c r="M8" s="366"/>
      <c r="N8" s="366"/>
    </row>
    <row r="9" spans="2:14" x14ac:dyDescent="0.3">
      <c r="B9" s="432"/>
      <c r="C9" s="417">
        <v>4</v>
      </c>
      <c r="D9" s="751">
        <f>'Energy Inputs'!$D$24</f>
        <v>25</v>
      </c>
      <c r="E9" s="751">
        <f>'Energy NPV'!$D42</f>
        <v>12.54</v>
      </c>
      <c r="F9" s="751">
        <f>'Energy NPV'!$D68</f>
        <v>11.617000000000001</v>
      </c>
      <c r="G9" s="751">
        <f>'Energy NPV'!$D94</f>
        <v>15.733333333333334</v>
      </c>
      <c r="H9" s="366"/>
      <c r="I9" s="366"/>
      <c r="J9" s="366"/>
      <c r="K9" s="366"/>
      <c r="L9" s="366"/>
      <c r="M9" s="366"/>
      <c r="N9" s="366"/>
    </row>
    <row r="10" spans="2:14" x14ac:dyDescent="0.3">
      <c r="B10" s="432"/>
      <c r="C10" s="417">
        <v>5</v>
      </c>
      <c r="D10" s="105"/>
      <c r="E10" s="751">
        <f>'Energy NPV'!$D43</f>
        <v>12.54</v>
      </c>
      <c r="F10" s="751">
        <f>'Energy NPV'!$D69</f>
        <v>11.617000000000001</v>
      </c>
      <c r="G10" s="751">
        <f>'Energy NPV'!$D95</f>
        <v>16.3</v>
      </c>
      <c r="H10" s="366"/>
      <c r="I10" s="366"/>
      <c r="J10" s="366"/>
      <c r="K10" s="366"/>
      <c r="L10" s="366"/>
      <c r="M10" s="366"/>
      <c r="N10" s="366"/>
    </row>
    <row r="11" spans="2:14" x14ac:dyDescent="0.3">
      <c r="B11" s="432"/>
      <c r="C11" s="417">
        <v>6</v>
      </c>
      <c r="D11" s="751"/>
      <c r="E11" s="751">
        <f>'Energy NPV'!$D44</f>
        <v>12.54</v>
      </c>
      <c r="F11" s="751">
        <f>'Energy NPV'!$D70</f>
        <v>11.617000000000001</v>
      </c>
      <c r="G11" s="751">
        <f>'Energy NPV'!$D96</f>
        <v>16.3</v>
      </c>
      <c r="H11" s="366"/>
      <c r="I11" s="366"/>
      <c r="J11" s="366"/>
      <c r="K11" s="366"/>
      <c r="L11" s="366"/>
      <c r="M11" s="366"/>
      <c r="N11" s="366"/>
    </row>
    <row r="12" spans="2:14" x14ac:dyDescent="0.3">
      <c r="B12" s="432"/>
      <c r="C12" s="417">
        <v>7</v>
      </c>
      <c r="D12" s="751">
        <f>'Energy Inputs'!$D$24</f>
        <v>25</v>
      </c>
      <c r="E12" s="751">
        <f>'Energy NPV'!$D45</f>
        <v>12.54</v>
      </c>
      <c r="F12" s="751">
        <f>'Energy NPV'!$D71</f>
        <v>11.617000000000001</v>
      </c>
      <c r="G12" s="751">
        <f>'Energy NPV'!$D97</f>
        <v>16.3</v>
      </c>
      <c r="H12" s="366"/>
      <c r="I12" s="366"/>
      <c r="J12" s="366"/>
      <c r="K12" s="366"/>
      <c r="L12" s="366"/>
      <c r="M12" s="366"/>
      <c r="N12" s="366"/>
    </row>
    <row r="13" spans="2:14" x14ac:dyDescent="0.3">
      <c r="B13" s="432"/>
      <c r="C13" s="417">
        <v>8</v>
      </c>
      <c r="D13" s="105"/>
      <c r="E13" s="751">
        <f>'Energy NPV'!$D46</f>
        <v>12.54</v>
      </c>
      <c r="F13" s="751">
        <f>'Energy NPV'!$D72</f>
        <v>11.617000000000001</v>
      </c>
      <c r="G13" s="751">
        <f>'Energy NPV'!$D98</f>
        <v>16.3</v>
      </c>
      <c r="H13" s="366"/>
      <c r="I13" s="366"/>
      <c r="J13" s="366"/>
      <c r="K13" s="366"/>
      <c r="L13" s="366"/>
      <c r="M13" s="366"/>
      <c r="N13" s="366"/>
    </row>
    <row r="14" spans="2:14" x14ac:dyDescent="0.3">
      <c r="B14" s="432"/>
      <c r="C14" s="417">
        <v>9</v>
      </c>
      <c r="D14" s="751"/>
      <c r="E14" s="751">
        <f>'Energy NPV'!$D47</f>
        <v>12.54</v>
      </c>
      <c r="F14" s="751">
        <f>'Energy NPV'!$D73</f>
        <v>11.617000000000001</v>
      </c>
      <c r="G14" s="751">
        <f>'Energy NPV'!$D99</f>
        <v>16.3</v>
      </c>
      <c r="H14" s="366"/>
      <c r="I14" s="366"/>
      <c r="J14" s="366"/>
      <c r="K14" s="366"/>
      <c r="L14" s="366"/>
      <c r="M14" s="366"/>
      <c r="N14" s="366"/>
    </row>
    <row r="15" spans="2:14" x14ac:dyDescent="0.3">
      <c r="B15" s="432"/>
      <c r="C15" s="417">
        <v>10</v>
      </c>
      <c r="D15" s="751">
        <f>'Energy Inputs'!$D$24</f>
        <v>25</v>
      </c>
      <c r="E15" s="751">
        <f>'Energy NPV'!$D48</f>
        <v>12.54</v>
      </c>
      <c r="F15" s="751">
        <f>'Energy NPV'!$D74</f>
        <v>11.617000000000001</v>
      </c>
      <c r="G15" s="751">
        <f>'Energy NPV'!$D100</f>
        <v>16.3</v>
      </c>
      <c r="H15" s="366"/>
      <c r="I15" s="366"/>
      <c r="J15" s="366"/>
      <c r="K15" s="366"/>
      <c r="L15" s="366"/>
      <c r="M15" s="366"/>
      <c r="N15" s="366"/>
    </row>
    <row r="16" spans="2:14" x14ac:dyDescent="0.3">
      <c r="B16" s="432"/>
      <c r="C16" s="417">
        <v>11</v>
      </c>
      <c r="D16" s="105"/>
      <c r="E16" s="751">
        <f>'Energy NPV'!$D49</f>
        <v>12.54</v>
      </c>
      <c r="F16" s="751">
        <f>'Energy NPV'!$D75</f>
        <v>11.617000000000001</v>
      </c>
      <c r="G16" s="751">
        <f>'Energy NPV'!$D101</f>
        <v>16.3</v>
      </c>
      <c r="H16" s="366"/>
      <c r="I16" s="366"/>
      <c r="J16" s="366"/>
      <c r="K16" s="366"/>
      <c r="L16" s="366"/>
      <c r="M16" s="366"/>
      <c r="N16" s="366"/>
    </row>
    <row r="17" spans="2:14" x14ac:dyDescent="0.3">
      <c r="B17" s="432"/>
      <c r="C17" s="417">
        <v>12</v>
      </c>
      <c r="D17" s="751"/>
      <c r="E17" s="751">
        <f>'Energy NPV'!$D50</f>
        <v>12.54</v>
      </c>
      <c r="F17" s="751">
        <f>'Energy NPV'!$D76</f>
        <v>11.617000000000001</v>
      </c>
      <c r="G17" s="751">
        <f>'Energy NPV'!$D102</f>
        <v>16.3</v>
      </c>
      <c r="H17" s="366"/>
      <c r="I17" s="366"/>
      <c r="J17" s="366"/>
      <c r="K17" s="366"/>
      <c r="L17" s="366"/>
      <c r="M17" s="366"/>
      <c r="N17" s="366"/>
    </row>
    <row r="18" spans="2:14" x14ac:dyDescent="0.3">
      <c r="B18" s="432"/>
      <c r="C18" s="417">
        <v>13</v>
      </c>
      <c r="D18" s="751">
        <f>'Energy Inputs'!$D$24</f>
        <v>25</v>
      </c>
      <c r="E18" s="751">
        <f>'Energy NPV'!$D51</f>
        <v>12.54</v>
      </c>
      <c r="F18" s="751">
        <f>'Energy NPV'!$D77</f>
        <v>11.617000000000001</v>
      </c>
      <c r="G18" s="751">
        <f>'Energy NPV'!$D103</f>
        <v>16.3</v>
      </c>
      <c r="H18" s="366"/>
      <c r="I18" s="366"/>
      <c r="J18" s="366"/>
      <c r="K18" s="366"/>
      <c r="L18" s="366"/>
      <c r="M18" s="366"/>
      <c r="N18" s="366"/>
    </row>
    <row r="19" spans="2:14" x14ac:dyDescent="0.3">
      <c r="B19" s="432"/>
      <c r="C19" s="417">
        <v>14</v>
      </c>
      <c r="D19" s="105"/>
      <c r="E19" s="751">
        <f>'Energy NPV'!$D52</f>
        <v>12.54</v>
      </c>
      <c r="F19" s="751">
        <f>'Energy NPV'!$D78</f>
        <v>11.617000000000001</v>
      </c>
      <c r="G19" s="751">
        <f>'Energy NPV'!$D104</f>
        <v>16.3</v>
      </c>
      <c r="H19" s="366"/>
      <c r="I19" s="366"/>
      <c r="J19" s="366"/>
      <c r="K19" s="366"/>
      <c r="L19" s="366"/>
      <c r="M19" s="366"/>
      <c r="N19" s="366"/>
    </row>
    <row r="20" spans="2:14" x14ac:dyDescent="0.3">
      <c r="B20" s="432"/>
      <c r="C20" s="417">
        <v>15</v>
      </c>
      <c r="D20" s="751"/>
      <c r="E20" s="751">
        <f>'Energy NPV'!$D53</f>
        <v>12.54</v>
      </c>
      <c r="F20" s="751">
        <f>'Energy NPV'!$D79</f>
        <v>11.617000000000001</v>
      </c>
      <c r="G20" s="751">
        <f>'Energy NPV'!$D105</f>
        <v>16.3</v>
      </c>
      <c r="H20" s="366"/>
      <c r="I20" s="366"/>
      <c r="J20" s="366"/>
      <c r="K20" s="366"/>
      <c r="L20" s="366"/>
      <c r="M20" s="366"/>
      <c r="N20" s="366"/>
    </row>
    <row r="21" spans="2:14" x14ac:dyDescent="0.3">
      <c r="B21" s="432"/>
      <c r="C21" s="558">
        <v>16</v>
      </c>
      <c r="D21" s="752">
        <f>'Energy Inputs'!$D$24</f>
        <v>25</v>
      </c>
      <c r="E21" s="752">
        <f>'Energy NPV'!$D54</f>
        <v>12.54</v>
      </c>
      <c r="F21" s="752">
        <f>'Energy NPV'!$D80</f>
        <v>11.617000000000001</v>
      </c>
      <c r="G21" s="752">
        <f>'Energy NPV'!$D106</f>
        <v>16.3</v>
      </c>
      <c r="H21" s="366"/>
      <c r="I21" s="366"/>
      <c r="J21" s="366"/>
      <c r="K21" s="366"/>
      <c r="L21" s="366"/>
      <c r="M21" s="366"/>
      <c r="N21" s="366"/>
    </row>
    <row r="22" spans="2:14" x14ac:dyDescent="0.3">
      <c r="B22" s="366"/>
      <c r="C22" s="366"/>
      <c r="D22" s="366"/>
      <c r="E22" s="366"/>
      <c r="F22" s="366"/>
      <c r="G22" s="366"/>
      <c r="H22" s="366"/>
      <c r="I22" s="366"/>
      <c r="J22" s="366"/>
      <c r="K22" s="366"/>
      <c r="L22" s="366"/>
      <c r="M22" s="366"/>
      <c r="N22" s="366"/>
    </row>
    <row r="23" spans="2:14" x14ac:dyDescent="0.3">
      <c r="B23" s="366"/>
      <c r="C23" s="366"/>
      <c r="D23" s="366"/>
      <c r="E23" s="366"/>
      <c r="F23" s="366"/>
      <c r="G23" s="366"/>
      <c r="H23" s="366"/>
      <c r="I23" s="366"/>
      <c r="J23" s="366"/>
      <c r="K23" s="366"/>
      <c r="L23" s="366"/>
      <c r="M23" s="366"/>
      <c r="N23" s="366"/>
    </row>
    <row r="24" spans="2:14" x14ac:dyDescent="0.3">
      <c r="B24" s="503"/>
      <c r="C24" s="432"/>
      <c r="D24" s="511" t="s">
        <v>92</v>
      </c>
      <c r="E24" s="511" t="s">
        <v>93</v>
      </c>
      <c r="F24" s="728" t="s">
        <v>94</v>
      </c>
      <c r="G24" s="728" t="s">
        <v>437</v>
      </c>
      <c r="H24" s="366"/>
      <c r="I24" s="366"/>
      <c r="J24" s="366"/>
      <c r="K24" s="366"/>
      <c r="L24" s="366"/>
      <c r="M24" s="366"/>
      <c r="N24" s="366"/>
    </row>
    <row r="25" spans="2:14" x14ac:dyDescent="0.3">
      <c r="B25" s="722" t="s">
        <v>249</v>
      </c>
      <c r="C25" s="722" t="s">
        <v>580</v>
      </c>
      <c r="D25" s="729">
        <f>'Energy Inputs'!D58</f>
        <v>269.5</v>
      </c>
      <c r="E25" s="729">
        <f>'Energy Inputs'!E58</f>
        <v>269.5</v>
      </c>
      <c r="F25" s="729">
        <f>'Energy Inputs'!F58</f>
        <v>269.5</v>
      </c>
      <c r="G25" s="729">
        <f>'Energy Inputs'!G58</f>
        <v>269.5</v>
      </c>
      <c r="H25" s="366"/>
      <c r="I25" s="366"/>
      <c r="J25" s="366"/>
      <c r="K25" s="366"/>
      <c r="L25" s="366"/>
      <c r="M25" s="366"/>
      <c r="N25" s="366"/>
    </row>
    <row r="26" spans="2:14" x14ac:dyDescent="0.3">
      <c r="B26" s="366"/>
      <c r="C26" s="366"/>
      <c r="D26" s="366"/>
      <c r="E26" s="366"/>
      <c r="F26" s="366"/>
      <c r="G26" s="366"/>
      <c r="H26" s="366"/>
      <c r="I26" s="366"/>
      <c r="J26" s="366"/>
      <c r="K26" s="366"/>
      <c r="L26" s="366"/>
      <c r="M26" s="366"/>
      <c r="N26" s="366"/>
    </row>
    <row r="27" spans="2:14" x14ac:dyDescent="0.3">
      <c r="B27" s="366"/>
      <c r="C27" s="366"/>
      <c r="D27" s="366"/>
      <c r="E27" s="366"/>
      <c r="F27" s="366"/>
      <c r="G27" s="366"/>
      <c r="H27" s="366"/>
      <c r="I27" s="366"/>
      <c r="J27" s="366"/>
      <c r="K27" s="366"/>
      <c r="L27" s="366"/>
      <c r="M27" s="366"/>
      <c r="N27" s="366"/>
    </row>
    <row r="28" spans="2:14" x14ac:dyDescent="0.3">
      <c r="B28" s="722" t="s">
        <v>217</v>
      </c>
      <c r="C28" s="776" t="s">
        <v>571</v>
      </c>
      <c r="D28" s="155">
        <f>'Energy Inputs'!D10</f>
        <v>471.64</v>
      </c>
      <c r="E28" s="366"/>
      <c r="F28" s="366"/>
      <c r="G28" s="366"/>
      <c r="H28" s="366"/>
      <c r="I28" s="366"/>
      <c r="J28" s="366"/>
      <c r="K28" s="366"/>
      <c r="L28" s="366"/>
      <c r="M28" s="366"/>
      <c r="N28" s="366"/>
    </row>
    <row r="29" spans="2:14" x14ac:dyDescent="0.3">
      <c r="B29" s="366"/>
      <c r="C29" s="366"/>
      <c r="D29" s="366"/>
      <c r="E29" s="366"/>
      <c r="F29" s="366"/>
      <c r="G29" s="366"/>
      <c r="H29" s="366"/>
      <c r="I29" s="366"/>
      <c r="J29" s="366"/>
      <c r="K29" s="366"/>
      <c r="L29" s="366"/>
      <c r="M29" s="366"/>
      <c r="N29" s="366"/>
    </row>
    <row r="30" spans="2:14" x14ac:dyDescent="0.3">
      <c r="B30" s="366"/>
      <c r="C30" s="366"/>
      <c r="D30" s="366"/>
      <c r="E30" s="366"/>
      <c r="F30" s="366"/>
      <c r="G30" s="366"/>
      <c r="H30" s="366"/>
      <c r="I30" s="366"/>
      <c r="J30" s="366"/>
      <c r="K30" s="366"/>
      <c r="L30" s="366"/>
      <c r="M30" s="366"/>
      <c r="N30" s="366"/>
    </row>
    <row r="31" spans="2:14" x14ac:dyDescent="0.3">
      <c r="B31" s="515" t="s">
        <v>80</v>
      </c>
      <c r="C31" s="678"/>
      <c r="D31" s="511" t="s">
        <v>92</v>
      </c>
      <c r="E31" s="511" t="s">
        <v>93</v>
      </c>
      <c r="F31" s="728" t="s">
        <v>94</v>
      </c>
      <c r="G31" s="728" t="s">
        <v>437</v>
      </c>
      <c r="H31" s="366"/>
      <c r="I31" s="366"/>
      <c r="J31" s="366"/>
      <c r="K31" s="366"/>
      <c r="L31" s="366"/>
      <c r="M31" s="366"/>
      <c r="N31" s="366"/>
    </row>
    <row r="32" spans="2:14" x14ac:dyDescent="0.3">
      <c r="B32" s="355" t="s">
        <v>10</v>
      </c>
      <c r="C32" s="356" t="s">
        <v>571</v>
      </c>
      <c r="D32" s="111">
        <f>'Margins summary'!P20</f>
        <v>7477.7999999999993</v>
      </c>
      <c r="E32" s="111">
        <f>'Margins summary'!R20</f>
        <v>66298.2</v>
      </c>
      <c r="F32" s="111">
        <f>'Margins summary'!T20</f>
        <v>27899.875000000004</v>
      </c>
      <c r="G32" s="111">
        <f>'Margins summary'!V20</f>
        <v>10887.875</v>
      </c>
      <c r="H32" s="366"/>
      <c r="I32" s="366"/>
      <c r="J32" s="366"/>
      <c r="K32" s="366"/>
      <c r="L32" s="366"/>
      <c r="M32" s="366"/>
      <c r="N32" s="366"/>
    </row>
    <row r="33" spans="2:14" x14ac:dyDescent="0.3">
      <c r="B33" s="366"/>
      <c r="C33" s="366"/>
      <c r="D33" s="366"/>
      <c r="E33" s="366"/>
      <c r="F33" s="366"/>
      <c r="G33" s="366"/>
      <c r="H33" s="366"/>
      <c r="I33" s="366"/>
      <c r="J33" s="366"/>
      <c r="K33" s="366"/>
      <c r="L33" s="366"/>
      <c r="M33" s="366"/>
      <c r="N33" s="366"/>
    </row>
    <row r="34" spans="2:14" x14ac:dyDescent="0.3">
      <c r="B34" s="366"/>
      <c r="C34" s="366"/>
      <c r="D34" s="366"/>
      <c r="E34" s="366"/>
      <c r="F34" s="366"/>
      <c r="G34" s="366"/>
      <c r="H34" s="366"/>
      <c r="I34" s="366"/>
      <c r="J34" s="366"/>
      <c r="K34" s="366"/>
      <c r="L34" s="366"/>
      <c r="M34" s="366"/>
      <c r="N34" s="366"/>
    </row>
    <row r="35" spans="2:14" x14ac:dyDescent="0.3">
      <c r="B35" s="515" t="s">
        <v>86</v>
      </c>
      <c r="C35" s="678"/>
      <c r="H35" s="366"/>
      <c r="I35" s="366"/>
      <c r="J35" s="366"/>
      <c r="K35" s="366"/>
      <c r="L35" s="366"/>
      <c r="M35" s="366"/>
      <c r="N35" s="366"/>
    </row>
    <row r="36" spans="2:14" x14ac:dyDescent="0.3">
      <c r="B36" s="357" t="s">
        <v>10</v>
      </c>
      <c r="C36" s="356" t="s">
        <v>571</v>
      </c>
      <c r="D36" s="511" t="s">
        <v>92</v>
      </c>
      <c r="E36" s="511" t="s">
        <v>93</v>
      </c>
      <c r="F36" s="728" t="s">
        <v>94</v>
      </c>
      <c r="G36" s="728" t="s">
        <v>437</v>
      </c>
      <c r="H36" s="366"/>
      <c r="I36" s="366"/>
      <c r="J36" s="366"/>
      <c r="K36" s="366"/>
      <c r="L36" s="366"/>
      <c r="M36" s="366"/>
      <c r="N36" s="366"/>
    </row>
    <row r="37" spans="2:14" x14ac:dyDescent="0.3">
      <c r="B37" s="366"/>
      <c r="C37" s="725">
        <v>1</v>
      </c>
      <c r="D37" s="750"/>
      <c r="E37" s="107">
        <v>0</v>
      </c>
      <c r="F37" s="107">
        <v>0</v>
      </c>
      <c r="G37" s="107">
        <v>0</v>
      </c>
      <c r="H37" s="366"/>
      <c r="I37" s="366"/>
      <c r="J37" s="366"/>
      <c r="K37" s="366"/>
      <c r="L37" s="366"/>
      <c r="M37" s="366"/>
      <c r="N37" s="366"/>
    </row>
    <row r="38" spans="2:14" x14ac:dyDescent="0.3">
      <c r="B38" s="366"/>
      <c r="C38" s="417">
        <v>2</v>
      </c>
      <c r="D38" s="751"/>
      <c r="E38" s="530">
        <f>'Margins summary'!$S$22</f>
        <v>2065.7424000000001</v>
      </c>
      <c r="F38" s="530">
        <f>'Margins summary'!$U$22</f>
        <v>1945.3866666666668</v>
      </c>
      <c r="G38" s="530">
        <f>'Margins summary'!$W$22</f>
        <v>2306.3125</v>
      </c>
      <c r="H38" s="366"/>
      <c r="I38" s="366"/>
      <c r="J38" s="366"/>
      <c r="K38" s="366"/>
      <c r="L38" s="366"/>
      <c r="M38" s="366"/>
      <c r="N38" s="366"/>
    </row>
    <row r="39" spans="2:14" x14ac:dyDescent="0.3">
      <c r="B39" s="366"/>
      <c r="C39" s="417">
        <v>3</v>
      </c>
      <c r="D39" s="751"/>
      <c r="E39" s="530">
        <f>'Margins summary'!$S$22</f>
        <v>2065.7424000000001</v>
      </c>
      <c r="F39" s="530">
        <f>'Margins summary'!$U$22</f>
        <v>1945.3866666666668</v>
      </c>
      <c r="G39" s="530">
        <f>'Margins summary'!$W$22</f>
        <v>2306.3125</v>
      </c>
      <c r="H39" s="366"/>
      <c r="I39" s="366"/>
      <c r="J39" s="366"/>
      <c r="K39" s="366"/>
      <c r="L39" s="366"/>
      <c r="M39" s="366"/>
      <c r="N39" s="366"/>
    </row>
    <row r="40" spans="2:14" x14ac:dyDescent="0.3">
      <c r="B40" s="366"/>
      <c r="C40" s="417">
        <v>4</v>
      </c>
      <c r="D40" s="301">
        <f>'Margins summary'!$P$22/5</f>
        <v>2672.4224000000004</v>
      </c>
      <c r="E40" s="530">
        <f>'Margins summary'!$S$22</f>
        <v>2065.7424000000001</v>
      </c>
      <c r="F40" s="530">
        <f>'Margins summary'!$U$22</f>
        <v>1945.3866666666668</v>
      </c>
      <c r="G40" s="530">
        <f>'Margins summary'!$W$22</f>
        <v>2306.3125</v>
      </c>
      <c r="H40" s="366"/>
      <c r="I40" s="366"/>
      <c r="J40" s="366"/>
      <c r="K40" s="366"/>
      <c r="L40" s="366"/>
      <c r="M40" s="366"/>
      <c r="N40" s="366"/>
    </row>
    <row r="41" spans="2:14" x14ac:dyDescent="0.3">
      <c r="B41" s="366"/>
      <c r="C41" s="417">
        <v>5</v>
      </c>
      <c r="D41" s="751"/>
      <c r="E41" s="530">
        <f>'Margins summary'!$S$22</f>
        <v>2065.7424000000001</v>
      </c>
      <c r="F41" s="530">
        <f>'Margins summary'!$U$22</f>
        <v>1945.3866666666668</v>
      </c>
      <c r="G41" s="530">
        <f>'Margins summary'!$W$22</f>
        <v>2306.3125</v>
      </c>
      <c r="H41" s="366"/>
      <c r="I41" s="366"/>
      <c r="J41" s="366"/>
      <c r="K41" s="366"/>
      <c r="L41" s="366"/>
      <c r="M41" s="366"/>
      <c r="N41" s="366"/>
    </row>
    <row r="42" spans="2:14" x14ac:dyDescent="0.3">
      <c r="B42" s="366"/>
      <c r="C42" s="417">
        <v>6</v>
      </c>
      <c r="D42" s="751"/>
      <c r="E42" s="530">
        <f>'Margins summary'!$S$22</f>
        <v>2065.7424000000001</v>
      </c>
      <c r="F42" s="530">
        <f>'Margins summary'!$U$22</f>
        <v>1945.3866666666668</v>
      </c>
      <c r="G42" s="530">
        <f>'Margins summary'!$W$22</f>
        <v>2306.3125</v>
      </c>
      <c r="H42" s="366"/>
      <c r="I42" s="366"/>
      <c r="J42" s="366"/>
      <c r="K42" s="366"/>
      <c r="L42" s="366"/>
      <c r="M42" s="366"/>
      <c r="N42" s="366"/>
    </row>
    <row r="43" spans="2:14" x14ac:dyDescent="0.3">
      <c r="B43" s="366"/>
      <c r="C43" s="417">
        <v>7</v>
      </c>
      <c r="D43" s="301">
        <f>'Margins summary'!$P$22/5</f>
        <v>2672.4224000000004</v>
      </c>
      <c r="E43" s="530">
        <f>'Margins summary'!$S$22</f>
        <v>2065.7424000000001</v>
      </c>
      <c r="F43" s="530">
        <f>'Margins summary'!$U$22</f>
        <v>1945.3866666666668</v>
      </c>
      <c r="G43" s="530">
        <f>'Margins summary'!$W$22</f>
        <v>2306.3125</v>
      </c>
      <c r="H43" s="366"/>
      <c r="I43" s="366"/>
      <c r="J43" s="366"/>
      <c r="K43" s="366"/>
      <c r="L43" s="366"/>
      <c r="M43" s="366"/>
      <c r="N43" s="366"/>
    </row>
    <row r="44" spans="2:14" x14ac:dyDescent="0.3">
      <c r="B44" s="366"/>
      <c r="C44" s="417">
        <v>8</v>
      </c>
      <c r="D44" s="751"/>
      <c r="E44" s="530">
        <f>'Margins summary'!$S$22</f>
        <v>2065.7424000000001</v>
      </c>
      <c r="F44" s="530">
        <f>'Margins summary'!$U$22</f>
        <v>1945.3866666666668</v>
      </c>
      <c r="G44" s="530">
        <f>'Margins summary'!$W$22</f>
        <v>2306.3125</v>
      </c>
      <c r="H44" s="366"/>
      <c r="I44" s="366"/>
      <c r="J44" s="366"/>
      <c r="K44" s="366"/>
      <c r="L44" s="366"/>
      <c r="M44" s="366"/>
      <c r="N44" s="366"/>
    </row>
    <row r="45" spans="2:14" x14ac:dyDescent="0.3">
      <c r="B45" s="366"/>
      <c r="C45" s="417">
        <v>9</v>
      </c>
      <c r="D45" s="751"/>
      <c r="E45" s="530">
        <f>'Margins summary'!$S$22</f>
        <v>2065.7424000000001</v>
      </c>
      <c r="F45" s="530">
        <f>'Margins summary'!$U$22</f>
        <v>1945.3866666666668</v>
      </c>
      <c r="G45" s="530">
        <f>'Margins summary'!$W$22</f>
        <v>2306.3125</v>
      </c>
      <c r="H45" s="366"/>
      <c r="I45" s="366"/>
      <c r="J45" s="366"/>
      <c r="K45" s="366"/>
      <c r="L45" s="366"/>
      <c r="M45" s="366"/>
      <c r="N45" s="366"/>
    </row>
    <row r="46" spans="2:14" x14ac:dyDescent="0.3">
      <c r="B46" s="366"/>
      <c r="C46" s="417">
        <v>10</v>
      </c>
      <c r="D46" s="301">
        <f>'Margins summary'!$P$22/5</f>
        <v>2672.4224000000004</v>
      </c>
      <c r="E46" s="530">
        <f>'Margins summary'!$S$22</f>
        <v>2065.7424000000001</v>
      </c>
      <c r="F46" s="530">
        <f>'Margins summary'!$U$22</f>
        <v>1945.3866666666668</v>
      </c>
      <c r="G46" s="530">
        <f>'Margins summary'!$W$22</f>
        <v>2306.3125</v>
      </c>
      <c r="H46" s="366"/>
      <c r="I46" s="366"/>
      <c r="J46" s="366"/>
      <c r="K46" s="366"/>
      <c r="L46" s="366"/>
      <c r="M46" s="366"/>
      <c r="N46" s="366"/>
    </row>
    <row r="47" spans="2:14" x14ac:dyDescent="0.3">
      <c r="B47" s="366"/>
      <c r="C47" s="417">
        <v>11</v>
      </c>
      <c r="D47" s="105"/>
      <c r="E47" s="530">
        <f>'Margins summary'!$S$22</f>
        <v>2065.7424000000001</v>
      </c>
      <c r="F47" s="530">
        <f>'Margins summary'!$U$22</f>
        <v>1945.3866666666668</v>
      </c>
      <c r="G47" s="530">
        <f>'Margins summary'!$W$22</f>
        <v>2306.3125</v>
      </c>
      <c r="H47" s="366"/>
      <c r="I47" s="366"/>
      <c r="J47" s="366"/>
      <c r="K47" s="366"/>
      <c r="L47" s="366"/>
      <c r="M47" s="366"/>
      <c r="N47" s="366"/>
    </row>
    <row r="48" spans="2:14" x14ac:dyDescent="0.3">
      <c r="B48" s="366"/>
      <c r="C48" s="417">
        <v>12</v>
      </c>
      <c r="D48" s="751"/>
      <c r="E48" s="530">
        <f>'Margins summary'!$S$22</f>
        <v>2065.7424000000001</v>
      </c>
      <c r="F48" s="530">
        <f>'Margins summary'!$U$22</f>
        <v>1945.3866666666668</v>
      </c>
      <c r="G48" s="530">
        <f>'Margins summary'!$W$22</f>
        <v>2306.3125</v>
      </c>
      <c r="H48" s="366"/>
      <c r="I48" s="366"/>
      <c r="J48" s="366"/>
      <c r="K48" s="366"/>
      <c r="L48" s="366"/>
      <c r="M48" s="366"/>
      <c r="N48" s="366"/>
    </row>
    <row r="49" spans="2:14" x14ac:dyDescent="0.3">
      <c r="B49" s="366"/>
      <c r="C49" s="417">
        <v>13</v>
      </c>
      <c r="D49" s="301">
        <f>'Margins summary'!$P$22/5</f>
        <v>2672.4224000000004</v>
      </c>
      <c r="E49" s="530">
        <f>'Margins summary'!$S$22</f>
        <v>2065.7424000000001</v>
      </c>
      <c r="F49" s="530">
        <f>'Margins summary'!$U$22</f>
        <v>1945.3866666666668</v>
      </c>
      <c r="G49" s="530">
        <f>'Margins summary'!$W$22</f>
        <v>2306.3125</v>
      </c>
      <c r="H49" s="366"/>
      <c r="I49" s="366"/>
      <c r="J49" s="366"/>
      <c r="K49" s="366"/>
      <c r="L49" s="366"/>
      <c r="M49" s="366"/>
      <c r="N49" s="366"/>
    </row>
    <row r="50" spans="2:14" x14ac:dyDescent="0.3">
      <c r="B50" s="366"/>
      <c r="C50" s="417">
        <v>14</v>
      </c>
      <c r="D50" s="105"/>
      <c r="E50" s="530">
        <f>'Margins summary'!$S$22</f>
        <v>2065.7424000000001</v>
      </c>
      <c r="F50" s="530">
        <f>'Margins summary'!$U$22</f>
        <v>1945.3866666666668</v>
      </c>
      <c r="G50" s="530">
        <f>'Margins summary'!$W$22</f>
        <v>2306.3125</v>
      </c>
      <c r="H50" s="366"/>
      <c r="I50" s="366"/>
      <c r="J50" s="366"/>
      <c r="K50" s="366"/>
      <c r="L50" s="366"/>
      <c r="M50" s="366"/>
      <c r="N50" s="366"/>
    </row>
    <row r="51" spans="2:14" x14ac:dyDescent="0.3">
      <c r="B51" s="366"/>
      <c r="C51" s="417">
        <v>15</v>
      </c>
      <c r="D51" s="751"/>
      <c r="E51" s="530">
        <f>'Margins summary'!$S$22</f>
        <v>2065.7424000000001</v>
      </c>
      <c r="F51" s="530">
        <f>'Margins summary'!$U$22</f>
        <v>1945.3866666666668</v>
      </c>
      <c r="G51" s="530">
        <f>'Margins summary'!$W$22</f>
        <v>2306.3125</v>
      </c>
      <c r="H51" s="366"/>
      <c r="I51" s="366"/>
      <c r="J51" s="366"/>
      <c r="K51" s="366"/>
      <c r="L51" s="366"/>
      <c r="M51" s="366"/>
      <c r="N51" s="366"/>
    </row>
    <row r="52" spans="2:14" x14ac:dyDescent="0.3">
      <c r="B52" s="366"/>
      <c r="C52" s="558">
        <v>16</v>
      </c>
      <c r="D52" s="299">
        <f>'Margins summary'!$P$22/5</f>
        <v>2672.4224000000004</v>
      </c>
      <c r="E52" s="534">
        <f>'Margins summary'!$S$22</f>
        <v>2065.7424000000001</v>
      </c>
      <c r="F52" s="534">
        <f>'Margins summary'!$U$22</f>
        <v>1945.3866666666668</v>
      </c>
      <c r="G52" s="534">
        <f>'Margins summary'!$W$22</f>
        <v>2306.3125</v>
      </c>
      <c r="H52" s="366"/>
      <c r="I52" s="366"/>
      <c r="J52" s="366"/>
      <c r="K52" s="366"/>
      <c r="L52" s="366"/>
      <c r="M52" s="366"/>
      <c r="N52" s="366"/>
    </row>
    <row r="53" spans="2:14" x14ac:dyDescent="0.3">
      <c r="B53" s="366"/>
      <c r="C53" s="366"/>
      <c r="D53" s="366"/>
      <c r="E53" s="366"/>
      <c r="F53" s="366"/>
      <c r="G53" s="366"/>
      <c r="H53" s="366"/>
      <c r="I53" s="366"/>
      <c r="J53" s="366"/>
      <c r="K53" s="366"/>
      <c r="L53" s="366"/>
      <c r="M53" s="366"/>
      <c r="N53" s="366"/>
    </row>
    <row r="54" spans="2:14" x14ac:dyDescent="0.3">
      <c r="B54" s="366"/>
      <c r="C54" s="366"/>
      <c r="D54" s="366"/>
      <c r="E54" s="366"/>
      <c r="F54" s="366"/>
      <c r="G54" s="366"/>
      <c r="H54" s="366"/>
      <c r="I54" s="366"/>
      <c r="J54" s="366"/>
      <c r="K54" s="366"/>
      <c r="L54" s="366"/>
      <c r="M54" s="366"/>
      <c r="N54" s="366"/>
    </row>
    <row r="55" spans="2:14" x14ac:dyDescent="0.3">
      <c r="B55" s="515" t="s">
        <v>264</v>
      </c>
      <c r="C55" s="678"/>
      <c r="D55" s="511" t="s">
        <v>92</v>
      </c>
      <c r="E55" s="511" t="s">
        <v>93</v>
      </c>
      <c r="F55" s="728" t="s">
        <v>94</v>
      </c>
      <c r="G55" s="728" t="s">
        <v>437</v>
      </c>
      <c r="H55" s="366"/>
      <c r="I55" s="366"/>
      <c r="J55" s="366"/>
      <c r="K55" s="366"/>
      <c r="L55" s="366"/>
      <c r="M55" s="366"/>
      <c r="N55" s="366"/>
    </row>
    <row r="56" spans="2:14" x14ac:dyDescent="0.3">
      <c r="B56" s="357" t="s">
        <v>10</v>
      </c>
      <c r="C56" s="356" t="s">
        <v>571</v>
      </c>
      <c r="D56" s="100">
        <f>'Energy margins'!J67</f>
        <v>2100</v>
      </c>
      <c r="E56" s="100">
        <f>'Energy margins'!Q67</f>
        <v>500</v>
      </c>
      <c r="F56" s="100">
        <f>'Energy margins'!X67</f>
        <v>500</v>
      </c>
      <c r="G56" s="100">
        <f>'Energy margins'!AE67</f>
        <v>500</v>
      </c>
      <c r="H56" s="366"/>
      <c r="I56" s="366"/>
      <c r="J56" s="366"/>
      <c r="K56" s="366"/>
      <c r="L56" s="366"/>
      <c r="M56" s="366"/>
      <c r="N56" s="366"/>
    </row>
    <row r="57" spans="2:14" x14ac:dyDescent="0.3">
      <c r="B57" s="366"/>
      <c r="C57" s="366"/>
      <c r="D57" s="119"/>
      <c r="E57" s="119"/>
      <c r="F57" s="119"/>
      <c r="G57" s="119"/>
      <c r="H57" s="366"/>
      <c r="I57" s="366"/>
      <c r="J57" s="366"/>
      <c r="K57" s="366"/>
      <c r="L57" s="366"/>
      <c r="M57" s="366"/>
      <c r="N57" s="366"/>
    </row>
    <row r="58" spans="2:14" x14ac:dyDescent="0.3">
      <c r="B58" s="366"/>
      <c r="C58" s="366"/>
      <c r="D58" s="366"/>
      <c r="E58" s="366"/>
      <c r="F58" s="366"/>
      <c r="G58" s="366"/>
      <c r="H58" s="366"/>
      <c r="I58" s="366"/>
      <c r="J58" s="366"/>
      <c r="K58" s="366"/>
      <c r="L58" s="366"/>
      <c r="M58" s="366"/>
      <c r="N58" s="366"/>
    </row>
    <row r="59" spans="2:14" x14ac:dyDescent="0.3">
      <c r="B59" s="366"/>
      <c r="C59" s="515" t="s">
        <v>642</v>
      </c>
      <c r="D59" s="677"/>
      <c r="E59" s="677"/>
      <c r="F59" s="677"/>
      <c r="G59" s="678"/>
      <c r="H59" s="366"/>
      <c r="I59" s="515" t="s">
        <v>643</v>
      </c>
      <c r="J59" s="677"/>
      <c r="K59" s="677"/>
      <c r="L59" s="677"/>
      <c r="M59" s="678"/>
      <c r="N59" s="366"/>
    </row>
    <row r="60" spans="2:14" x14ac:dyDescent="0.3">
      <c r="B60" s="358"/>
      <c r="C60" s="561"/>
      <c r="D60" s="511" t="s">
        <v>92</v>
      </c>
      <c r="E60" s="511" t="s">
        <v>93</v>
      </c>
      <c r="F60" s="728" t="s">
        <v>94</v>
      </c>
      <c r="G60" s="728" t="s">
        <v>437</v>
      </c>
      <c r="H60" s="366"/>
      <c r="I60" s="561"/>
      <c r="J60" s="511" t="s">
        <v>92</v>
      </c>
      <c r="K60" s="511" t="s">
        <v>93</v>
      </c>
      <c r="L60" s="728" t="s">
        <v>94</v>
      </c>
      <c r="M60" s="728" t="s">
        <v>437</v>
      </c>
      <c r="N60" s="366"/>
    </row>
    <row r="61" spans="2:14" x14ac:dyDescent="0.3">
      <c r="B61" s="366"/>
      <c r="C61" s="725">
        <v>1</v>
      </c>
      <c r="D61" s="556">
        <f>'Energy NPV'!AC13</f>
        <v>-7477.7999999999993</v>
      </c>
      <c r="E61" s="556">
        <f>'Energy NPV'!AC39</f>
        <v>-66136.5</v>
      </c>
      <c r="F61" s="556">
        <f>'Energy NPV'!AC65</f>
        <v>-27838.298333333336</v>
      </c>
      <c r="G61" s="556">
        <f>'Energy NPV'!AC91</f>
        <v>-10887.875</v>
      </c>
      <c r="H61" s="366"/>
      <c r="I61" s="725">
        <v>1</v>
      </c>
      <c r="J61" s="556">
        <f>'Energy NPV'!AD13</f>
        <v>-7006.1599999999989</v>
      </c>
      <c r="K61" s="556">
        <f>'Energy NPV'!AD39</f>
        <v>-65664.86</v>
      </c>
      <c r="L61" s="556">
        <f>'Energy NPV'!AD65</f>
        <v>-27366.658333333336</v>
      </c>
      <c r="M61" s="556">
        <f>'Energy NPV'!AD91</f>
        <v>-10416.235000000001</v>
      </c>
      <c r="N61" s="366"/>
    </row>
    <row r="62" spans="2:14" x14ac:dyDescent="0.3">
      <c r="B62" s="366"/>
      <c r="C62" s="417">
        <v>2</v>
      </c>
      <c r="D62" s="557">
        <f>'Energy NPV'!AC14</f>
        <v>-661.12307692307695</v>
      </c>
      <c r="E62" s="557">
        <f>'Energy NPV'!AC40</f>
        <v>-1378.8274038461536</v>
      </c>
      <c r="F62" s="557">
        <f>'Energy NPV'!AC66</f>
        <v>-384.9375</v>
      </c>
      <c r="G62" s="557">
        <f>'Energy NPV'!AC92</f>
        <v>-307.27564102564094</v>
      </c>
      <c r="H62" s="366"/>
      <c r="I62" s="417">
        <v>2</v>
      </c>
      <c r="J62" s="557">
        <f>'Energy NPV'!AD14</f>
        <v>-207.62307692307704</v>
      </c>
      <c r="K62" s="557">
        <f>'Energy NPV'!AD40</f>
        <v>-925.32740384615363</v>
      </c>
      <c r="L62" s="557">
        <f>'Energy NPV'!AD66</f>
        <v>68.562499999999844</v>
      </c>
      <c r="M62" s="557">
        <f>'Energy NPV'!AD92</f>
        <v>146.22435897435889</v>
      </c>
      <c r="N62" s="366"/>
    </row>
    <row r="63" spans="2:14" x14ac:dyDescent="0.3">
      <c r="B63" s="366"/>
      <c r="C63" s="417">
        <v>3</v>
      </c>
      <c r="D63" s="557">
        <f>'Energy NPV'!AC15</f>
        <v>-635.69526627218931</v>
      </c>
      <c r="E63" s="557">
        <f>'Energy NPV'!AC41</f>
        <v>461.98409763313543</v>
      </c>
      <c r="F63" s="557">
        <f>'Energy NPV'!AC67</f>
        <v>291.82384122288016</v>
      </c>
      <c r="G63" s="557">
        <f>'Energy NPV'!AC93</f>
        <v>892.24297337278119</v>
      </c>
      <c r="H63" s="366"/>
      <c r="I63" s="417">
        <v>3</v>
      </c>
      <c r="J63" s="557">
        <f>'Energy NPV'!AD15</f>
        <v>-199.63757396449714</v>
      </c>
      <c r="K63" s="557">
        <f>'Energy NPV'!AD41</f>
        <v>898.04178994082758</v>
      </c>
      <c r="L63" s="557">
        <f>'Energy NPV'!AD67</f>
        <v>727.88153353057226</v>
      </c>
      <c r="M63" s="557">
        <f>'Energy NPV'!AD93</f>
        <v>1328.3006656804732</v>
      </c>
      <c r="N63" s="366"/>
    </row>
    <row r="64" spans="2:14" x14ac:dyDescent="0.3">
      <c r="B64" s="366"/>
      <c r="C64" s="417">
        <v>4</v>
      </c>
      <c r="D64" s="557">
        <f>'Energy NPV'!AC16</f>
        <v>3928.5922564861166</v>
      </c>
      <c r="E64" s="557">
        <f>'Energy NPV'!AC42</f>
        <v>1226.219347405553</v>
      </c>
      <c r="F64" s="557">
        <f>'Energy NPV'!AC68</f>
        <v>1147.3222540680474</v>
      </c>
      <c r="G64" s="557">
        <f>'Energy NPV'!AC94</f>
        <v>1806.8258325747231</v>
      </c>
      <c r="H64" s="366"/>
      <c r="I64" s="417">
        <v>4</v>
      </c>
      <c r="J64" s="557">
        <f>'Energy NPV'!AD16</f>
        <v>4347.8784990896684</v>
      </c>
      <c r="K64" s="557">
        <f>'Energy NPV'!AD42</f>
        <v>1645.5055900091031</v>
      </c>
      <c r="L64" s="557">
        <f>'Energy NPV'!AD68</f>
        <v>1566.6084966715975</v>
      </c>
      <c r="M64" s="557">
        <f>'Energy NPV'!AD94</f>
        <v>2226.1120751782737</v>
      </c>
      <c r="N64" s="366"/>
    </row>
    <row r="65" spans="2:14" x14ac:dyDescent="0.3">
      <c r="B65" s="366"/>
      <c r="C65" s="417">
        <v>5</v>
      </c>
      <c r="D65" s="557">
        <f>'Energy NPV'!AC17</f>
        <v>-168.88195441336086</v>
      </c>
      <c r="E65" s="557">
        <f>'Energy NPV'!AC43</f>
        <v>1179.0570648130315</v>
      </c>
      <c r="F65" s="557">
        <f>'Energy NPV'!AC69</f>
        <v>1103.1944750654302</v>
      </c>
      <c r="G65" s="557">
        <f>'Energy NPV'!AC95</f>
        <v>1867.8753780286056</v>
      </c>
      <c r="H65" s="366"/>
      <c r="I65" s="417">
        <v>5</v>
      </c>
      <c r="J65" s="557">
        <f>'Energy NPV'!AD17</f>
        <v>234.27789424389897</v>
      </c>
      <c r="K65" s="557">
        <f>'Energy NPV'!AD43</f>
        <v>1582.2169134702913</v>
      </c>
      <c r="L65" s="557">
        <f>'Energy NPV'!AD69</f>
        <v>1506.3543237226897</v>
      </c>
      <c r="M65" s="557">
        <f>'Energy NPV'!AD95</f>
        <v>2271.0352266858658</v>
      </c>
      <c r="N65" s="366"/>
    </row>
    <row r="66" spans="2:14" x14ac:dyDescent="0.3">
      <c r="B66" s="366"/>
      <c r="C66" s="417">
        <v>6</v>
      </c>
      <c r="D66" s="557">
        <f>'Energy NPV'!AC18</f>
        <v>-162.38649462823159</v>
      </c>
      <c r="E66" s="557">
        <f>'Energy NPV'!AC44</f>
        <v>1133.7087161663762</v>
      </c>
      <c r="F66" s="557">
        <f>'Energy NPV'!AC70</f>
        <v>1060.7639183321442</v>
      </c>
      <c r="G66" s="557">
        <f>'Energy NPV'!AC96</f>
        <v>1796.0340173351974</v>
      </c>
      <c r="H66" s="366"/>
      <c r="I66" s="417">
        <v>6</v>
      </c>
      <c r="J66" s="557">
        <f>'Energy NPV'!AD18</f>
        <v>225.26720600374901</v>
      </c>
      <c r="K66" s="557">
        <f>'Energy NPV'!AD44</f>
        <v>1521.3624167983567</v>
      </c>
      <c r="L66" s="557">
        <f>'Energy NPV'!AD70</f>
        <v>1448.4176189641248</v>
      </c>
      <c r="M66" s="557">
        <f>'Energy NPV'!AD96</f>
        <v>2183.6877179671783</v>
      </c>
      <c r="N66" s="366"/>
    </row>
    <row r="67" spans="2:14" x14ac:dyDescent="0.3">
      <c r="B67" s="366"/>
      <c r="C67" s="417">
        <v>7</v>
      </c>
      <c r="D67" s="557">
        <f>'Energy NPV'!AC19</f>
        <v>3492.5042107189101</v>
      </c>
      <c r="E67" s="557">
        <f>'Energy NPV'!AC45</f>
        <v>1090.1045347753618</v>
      </c>
      <c r="F67" s="557">
        <f>'Energy NPV'!AC71</f>
        <v>1019.9653060886002</v>
      </c>
      <c r="G67" s="557">
        <f>'Energy NPV'!AC97</f>
        <v>1726.9557858992284</v>
      </c>
      <c r="H67" s="366"/>
      <c r="I67" s="417">
        <v>7</v>
      </c>
      <c r="J67" s="557">
        <f>'Energy NPV'!AD19</f>
        <v>3865.2481536342771</v>
      </c>
      <c r="K67" s="557">
        <f>'Energy NPV'!AD45</f>
        <v>1462.8484776907276</v>
      </c>
      <c r="L67" s="557">
        <f>'Energy NPV'!AD71</f>
        <v>1392.7092490039661</v>
      </c>
      <c r="M67" s="557">
        <f>'Energy NPV'!AD97</f>
        <v>2099.6997288145944</v>
      </c>
      <c r="N67" s="366"/>
    </row>
    <row r="68" spans="2:14" x14ac:dyDescent="0.3">
      <c r="B68" s="366"/>
      <c r="C68" s="417">
        <v>8</v>
      </c>
      <c r="D68" s="557">
        <f>'Energy NPV'!AC20</f>
        <v>-150.13544251870525</v>
      </c>
      <c r="E68" s="557">
        <f>'Energy NPV'!AC46</f>
        <v>1048.1774372840018</v>
      </c>
      <c r="F68" s="557">
        <f>'Energy NPV'!AC72</f>
        <v>980.73587123903883</v>
      </c>
      <c r="G68" s="557">
        <f>'Energy NPV'!AC98</f>
        <v>1660.5344095184889</v>
      </c>
      <c r="H68" s="366"/>
      <c r="I68" s="417">
        <v>8</v>
      </c>
      <c r="J68" s="557">
        <f>'Energy NPV'!AD20</f>
        <v>208.27219489991589</v>
      </c>
      <c r="K68" s="557">
        <f>'Energy NPV'!AD46</f>
        <v>1406.5850747026229</v>
      </c>
      <c r="L68" s="557">
        <f>'Energy NPV'!AD72</f>
        <v>1339.1435086576598</v>
      </c>
      <c r="M68" s="557">
        <f>'Energy NPV'!AD98</f>
        <v>2018.9420469371103</v>
      </c>
      <c r="N68" s="366"/>
    </row>
    <row r="69" spans="2:14" x14ac:dyDescent="0.3">
      <c r="B69" s="366"/>
      <c r="C69" s="417">
        <v>9</v>
      </c>
      <c r="D69" s="557">
        <f>'Energy NPV'!AC21</f>
        <v>-144.36100242183193</v>
      </c>
      <c r="E69" s="557">
        <f>'Energy NPV'!AC47</f>
        <v>1007.8629204653862</v>
      </c>
      <c r="F69" s="557">
        <f>'Energy NPV'!AC73</f>
        <v>943.01526080676786</v>
      </c>
      <c r="G69" s="557">
        <f>'Energy NPV'!AC99</f>
        <v>1596.6677014600853</v>
      </c>
      <c r="H69" s="366"/>
      <c r="I69" s="417">
        <v>9</v>
      </c>
      <c r="J69" s="557">
        <f>'Energy NPV'!AD21</f>
        <v>200.2617258653037</v>
      </c>
      <c r="K69" s="557">
        <f>'Energy NPV'!AD47</f>
        <v>1352.4856487525217</v>
      </c>
      <c r="L69" s="557">
        <f>'Energy NPV'!AD73</f>
        <v>1287.6379890939033</v>
      </c>
      <c r="M69" s="557">
        <f>'Energy NPV'!AD99</f>
        <v>1941.2904297472212</v>
      </c>
      <c r="N69" s="366"/>
    </row>
    <row r="70" spans="2:14" x14ac:dyDescent="0.3">
      <c r="B70" s="366"/>
      <c r="C70" s="417">
        <v>10</v>
      </c>
      <c r="D70" s="557">
        <f>'Energy NPV'!AC22</f>
        <v>3104.8235259719481</v>
      </c>
      <c r="E70" s="557">
        <f>'Energy NPV'!AC48</f>
        <v>969.09896198594822</v>
      </c>
      <c r="F70" s="557">
        <f>'Energy NPV'!AC74</f>
        <v>906.74544308343059</v>
      </c>
      <c r="G70" s="557">
        <f>'Energy NPV'!AC100</f>
        <v>1535.2574052500818</v>
      </c>
      <c r="H70" s="366"/>
      <c r="I70" s="417">
        <v>10</v>
      </c>
      <c r="J70" s="557">
        <f>'Energy NPV'!AD22</f>
        <v>3436.1915339403486</v>
      </c>
      <c r="K70" s="557">
        <f>'Energy NPV'!AD48</f>
        <v>1300.4669699543476</v>
      </c>
      <c r="L70" s="557">
        <f>'Energy NPV'!AD74</f>
        <v>1238.1134510518302</v>
      </c>
      <c r="M70" s="557">
        <f>'Energy NPV'!AD100</f>
        <v>1866.6254132184818</v>
      </c>
      <c r="N70" s="366"/>
    </row>
    <row r="71" spans="2:14" x14ac:dyDescent="0.3">
      <c r="B71" s="366"/>
      <c r="C71" s="417">
        <v>11</v>
      </c>
      <c r="D71" s="557">
        <f>'Energy NPV'!AC23</f>
        <v>0</v>
      </c>
      <c r="E71" s="557">
        <f>'Energy NPV'!AC49</f>
        <v>931.82592498648864</v>
      </c>
      <c r="F71" s="557">
        <f>'Energy NPV'!AC75</f>
        <v>871.87061834945246</v>
      </c>
      <c r="G71" s="557">
        <f>'Energy NPV'!AC101</f>
        <v>1476.2090435096941</v>
      </c>
      <c r="H71" s="366"/>
      <c r="I71" s="417">
        <v>11</v>
      </c>
      <c r="J71" s="557">
        <f>'Energy NPV'!AD23</f>
        <v>318.62308458499962</v>
      </c>
      <c r="K71" s="557">
        <f>'Energy NPV'!AD49</f>
        <v>1250.4490095714882</v>
      </c>
      <c r="L71" s="557">
        <f>'Energy NPV'!AD75</f>
        <v>1190.4937029344521</v>
      </c>
      <c r="M71" s="557">
        <f>'Energy NPV'!AD101</f>
        <v>1794.8321280946939</v>
      </c>
      <c r="N71" s="366"/>
    </row>
    <row r="72" spans="2:14" x14ac:dyDescent="0.3">
      <c r="B72" s="366"/>
      <c r="C72" s="417">
        <v>12</v>
      </c>
      <c r="D72" s="557">
        <f>'Energy NPV'!AC24</f>
        <v>0</v>
      </c>
      <c r="E72" s="557">
        <f>'Energy NPV'!AC50</f>
        <v>895.9864663331623</v>
      </c>
      <c r="F72" s="557">
        <f>'Energy NPV'!AC76</f>
        <v>838.33713302831973</v>
      </c>
      <c r="G72" s="557">
        <f>'Energy NPV'!AC102</f>
        <v>1419.4317726054751</v>
      </c>
      <c r="H72" s="366"/>
      <c r="I72" s="417">
        <v>12</v>
      </c>
      <c r="J72" s="557">
        <f>'Energy NPV'!AD24</f>
        <v>306.36835056249964</v>
      </c>
      <c r="K72" s="557">
        <f>'Energy NPV'!AD50</f>
        <v>1202.3548168956618</v>
      </c>
      <c r="L72" s="557">
        <f>'Energy NPV'!AD76</f>
        <v>1144.7054835908193</v>
      </c>
      <c r="M72" s="557">
        <f>'Energy NPV'!AD102</f>
        <v>1725.800123167975</v>
      </c>
      <c r="N72" s="366"/>
    </row>
    <row r="73" spans="2:14" x14ac:dyDescent="0.3">
      <c r="B73" s="366"/>
      <c r="C73" s="417">
        <v>13</v>
      </c>
      <c r="D73" s="557">
        <f>'Energy NPV'!AC25</f>
        <v>2883.5771987962867</v>
      </c>
      <c r="E73" s="557">
        <f>'Energy NPV'!AC51</f>
        <v>861.52544839727125</v>
      </c>
      <c r="F73" s="557">
        <f>'Energy NPV'!AC77</f>
        <v>806.093397142615</v>
      </c>
      <c r="G73" s="557">
        <f>'Energy NPV'!AC103</f>
        <v>1364.8382428898797</v>
      </c>
      <c r="H73" s="366"/>
      <c r="I73" s="417">
        <v>13</v>
      </c>
      <c r="J73" s="557">
        <f>'Energy NPV'!AD25</f>
        <v>3178.1621512602287</v>
      </c>
      <c r="K73" s="557">
        <f>'Energy NPV'!AD51</f>
        <v>1156.1104008612131</v>
      </c>
      <c r="L73" s="557">
        <f>'Energy NPV'!AD77</f>
        <v>1100.6783496065568</v>
      </c>
      <c r="M73" s="557">
        <f>'Energy NPV'!AD103</f>
        <v>1659.4231953538217</v>
      </c>
      <c r="N73" s="366"/>
    </row>
    <row r="74" spans="2:14" x14ac:dyDescent="0.3">
      <c r="B74" s="366"/>
      <c r="C74" s="417">
        <v>14</v>
      </c>
      <c r="D74" s="557">
        <f>'Energy NPV'!AC26</f>
        <v>0</v>
      </c>
      <c r="E74" s="557">
        <f>'Energy NPV'!AC52</f>
        <v>828.3898542281454</v>
      </c>
      <c r="F74" s="557">
        <f>'Energy NPV'!AC78</f>
        <v>775.08980494482205</v>
      </c>
      <c r="G74" s="557">
        <f>'Energy NPV'!AC104</f>
        <v>1312.344464317192</v>
      </c>
      <c r="H74" s="366"/>
      <c r="I74" s="417">
        <v>14</v>
      </c>
      <c r="J74" s="557">
        <f>'Energy NPV'!AD26</f>
        <v>283.25476198455954</v>
      </c>
      <c r="K74" s="557">
        <f>'Energy NPV'!AD52</f>
        <v>1111.6446162127049</v>
      </c>
      <c r="L74" s="557">
        <f>'Energy NPV'!AD78</f>
        <v>1058.3445669293815</v>
      </c>
      <c r="M74" s="557">
        <f>'Energy NPV'!AD104</f>
        <v>1595.5992263017517</v>
      </c>
      <c r="N74" s="366"/>
    </row>
    <row r="75" spans="2:14" x14ac:dyDescent="0.3">
      <c r="B75" s="366"/>
      <c r="C75" s="417">
        <v>15</v>
      </c>
      <c r="D75" s="557">
        <f>'Energy NPV'!AC27</f>
        <v>0</v>
      </c>
      <c r="E75" s="557">
        <f>'Energy NPV'!AC53</f>
        <v>796.52870598860136</v>
      </c>
      <c r="F75" s="557">
        <f>'Energy NPV'!AC79</f>
        <v>745.27865860079044</v>
      </c>
      <c r="G75" s="557">
        <f>'Energy NPV'!AC105</f>
        <v>1261.8696772280691</v>
      </c>
      <c r="H75" s="366"/>
      <c r="I75" s="417">
        <v>15</v>
      </c>
      <c r="J75" s="557">
        <f>'Energy NPV'!AD27</f>
        <v>272.36034806207647</v>
      </c>
      <c r="K75" s="557">
        <f>'Energy NPV'!AD53</f>
        <v>1068.8890540506777</v>
      </c>
      <c r="L75" s="557">
        <f>'Energy NPV'!AD79</f>
        <v>1017.6390066628669</v>
      </c>
      <c r="M75" s="557">
        <f>'Energy NPV'!AD105</f>
        <v>1534.2300252901459</v>
      </c>
      <c r="N75" s="366"/>
    </row>
    <row r="76" spans="2:14" x14ac:dyDescent="0.3">
      <c r="B76" s="366"/>
      <c r="C76" s="558">
        <v>16</v>
      </c>
      <c r="D76" s="564">
        <f>'Energy NPV'!AC28</f>
        <v>1397.4341739784986</v>
      </c>
      <c r="E76" s="564">
        <f>'Energy NPV'!AC54</f>
        <v>488.26073517086388</v>
      </c>
      <c r="F76" s="564">
        <f>'Energy NPV'!AC80</f>
        <v>711.06144978131965</v>
      </c>
      <c r="G76" s="564">
        <f>'Energy NPV'!AC106</f>
        <v>935.70397674727531</v>
      </c>
      <c r="H76" s="366"/>
      <c r="I76" s="558">
        <v>16</v>
      </c>
      <c r="J76" s="564">
        <f>'Energy NPV'!AD28</f>
        <v>1659.3191240381877</v>
      </c>
      <c r="K76" s="564">
        <f>'Energy NPV'!AD54</f>
        <v>750.14568523055277</v>
      </c>
      <c r="L76" s="564">
        <f>'Energy NPV'!AD80</f>
        <v>972.94639984100854</v>
      </c>
      <c r="M76" s="564">
        <f>'Energy NPV'!AD106</f>
        <v>1197.5889268069645</v>
      </c>
      <c r="N76" s="366"/>
    </row>
    <row r="77" spans="2:14" x14ac:dyDescent="0.3">
      <c r="B77" s="366"/>
      <c r="C77" s="366"/>
      <c r="D77" s="366"/>
      <c r="E77" s="366"/>
      <c r="F77" s="366"/>
      <c r="G77" s="366"/>
      <c r="H77" s="366"/>
      <c r="I77" s="366"/>
      <c r="J77" s="366"/>
      <c r="K77" s="366"/>
      <c r="L77" s="366"/>
      <c r="M77" s="366"/>
      <c r="N77" s="366"/>
    </row>
    <row r="78" spans="2:14" x14ac:dyDescent="0.3">
      <c r="B78" s="366"/>
      <c r="C78" s="366"/>
      <c r="D78" s="366"/>
      <c r="E78" s="366"/>
      <c r="F78" s="366"/>
      <c r="G78" s="366"/>
      <c r="H78" s="366"/>
      <c r="I78" s="366"/>
      <c r="J78" s="366"/>
      <c r="K78" s="366"/>
      <c r="L78" s="366"/>
      <c r="M78" s="366"/>
      <c r="N78" s="366"/>
    </row>
    <row r="79" spans="2:14" x14ac:dyDescent="0.3">
      <c r="B79" s="366"/>
      <c r="C79" s="515" t="s">
        <v>644</v>
      </c>
      <c r="D79" s="677"/>
      <c r="E79" s="677"/>
      <c r="F79" s="677"/>
      <c r="G79" s="678"/>
      <c r="H79" s="366"/>
      <c r="I79" s="515" t="s">
        <v>642</v>
      </c>
      <c r="J79" s="677"/>
      <c r="K79" s="677"/>
      <c r="L79" s="677"/>
      <c r="M79" s="678"/>
      <c r="N79" s="366"/>
    </row>
    <row r="80" spans="2:14" x14ac:dyDescent="0.3">
      <c r="B80" s="366"/>
      <c r="C80" s="726"/>
      <c r="D80" s="511" t="s">
        <v>92</v>
      </c>
      <c r="E80" s="511" t="s">
        <v>93</v>
      </c>
      <c r="F80" s="728" t="s">
        <v>94</v>
      </c>
      <c r="G80" s="728" t="s">
        <v>437</v>
      </c>
      <c r="H80" s="366"/>
      <c r="I80" s="726"/>
      <c r="J80" s="511" t="s">
        <v>92</v>
      </c>
      <c r="K80" s="511" t="s">
        <v>93</v>
      </c>
      <c r="L80" s="728" t="s">
        <v>94</v>
      </c>
      <c r="M80" s="728" t="s">
        <v>437</v>
      </c>
      <c r="N80" s="366"/>
    </row>
    <row r="81" spans="2:14" x14ac:dyDescent="0.3">
      <c r="B81" s="366"/>
      <c r="C81" s="725">
        <v>1</v>
      </c>
      <c r="D81" s="556">
        <f>'Energy NPV'!AH13</f>
        <v>-7477.7999999999993</v>
      </c>
      <c r="E81" s="556">
        <f>'Energy NPV'!AH39</f>
        <v>-66136.5</v>
      </c>
      <c r="F81" s="556">
        <f>'Energy NPV'!AH65</f>
        <v>-27838.298333333336</v>
      </c>
      <c r="G81" s="556">
        <f>'Energy NPV'!AH91</f>
        <v>-10887.875</v>
      </c>
      <c r="H81" s="366"/>
      <c r="I81" s="725">
        <v>1</v>
      </c>
      <c r="J81" s="556">
        <f>'Energy NPV'!AI13</f>
        <v>-7006.1599999999989</v>
      </c>
      <c r="K81" s="556">
        <f>'Energy NPV'!AI39</f>
        <v>-65664.86</v>
      </c>
      <c r="L81" s="556">
        <f>'Energy NPV'!AI65</f>
        <v>-27366.658333333336</v>
      </c>
      <c r="M81" s="556">
        <f>'Energy NPV'!AI91</f>
        <v>-10416.235000000001</v>
      </c>
      <c r="N81" s="366"/>
    </row>
    <row r="82" spans="2:14" x14ac:dyDescent="0.3">
      <c r="B82" s="366"/>
      <c r="C82" s="417">
        <v>2</v>
      </c>
      <c r="D82" s="557">
        <f>'Energy NPV'!AH14</f>
        <v>-8138.9230769230762</v>
      </c>
      <c r="E82" s="557">
        <f>'Energy NPV'!AH40</f>
        <v>-67515.327403846153</v>
      </c>
      <c r="F82" s="557">
        <f>'Energy NPV'!AH66</f>
        <v>-28223.235833333336</v>
      </c>
      <c r="G82" s="557">
        <f>'Energy NPV'!AH92</f>
        <v>-11195.150641025641</v>
      </c>
      <c r="H82" s="366"/>
      <c r="I82" s="417">
        <v>2</v>
      </c>
      <c r="J82" s="557">
        <f>'Energy NPV'!AI14</f>
        <v>-7213.7830769230759</v>
      </c>
      <c r="K82" s="557">
        <f>'Energy NPV'!AI40</f>
        <v>-66590.187403846154</v>
      </c>
      <c r="L82" s="557">
        <f>'Energy NPV'!AI66</f>
        <v>-27298.095833333336</v>
      </c>
      <c r="M82" s="557">
        <f>'Energy NPV'!AI92</f>
        <v>-10270.010641025641</v>
      </c>
      <c r="N82" s="366"/>
    </row>
    <row r="83" spans="2:14" x14ac:dyDescent="0.3">
      <c r="B83" s="366"/>
      <c r="C83" s="417">
        <v>3</v>
      </c>
      <c r="D83" s="557">
        <f>'Energy NPV'!AH15</f>
        <v>-8774.618343195265</v>
      </c>
      <c r="E83" s="557">
        <f>'Energy NPV'!AH41</f>
        <v>-67053.343306213021</v>
      </c>
      <c r="F83" s="557">
        <f>'Energy NPV'!AH67</f>
        <v>-27931.411992110458</v>
      </c>
      <c r="G83" s="557">
        <f>'Energy NPV'!AH93</f>
        <v>-10302.90766765286</v>
      </c>
      <c r="H83" s="366"/>
      <c r="I83" s="417">
        <v>3</v>
      </c>
      <c r="J83" s="557">
        <f>'Energy NPV'!AI15</f>
        <v>-7413.4206508875732</v>
      </c>
      <c r="K83" s="557">
        <f>'Energy NPV'!AI41</f>
        <v>-65692.145613905333</v>
      </c>
      <c r="L83" s="557">
        <f>'Energy NPV'!AI67</f>
        <v>-26570.214299802763</v>
      </c>
      <c r="M83" s="557">
        <f>'Energy NPV'!AI93</f>
        <v>-8941.7099753451675</v>
      </c>
      <c r="N83" s="366"/>
    </row>
    <row r="84" spans="2:14" x14ac:dyDescent="0.3">
      <c r="B84" s="366"/>
      <c r="C84" s="417">
        <v>4</v>
      </c>
      <c r="D84" s="557">
        <f>'Energy NPV'!AH16</f>
        <v>-4846.0260867091483</v>
      </c>
      <c r="E84" s="557">
        <f>'Energy NPV'!AH42</f>
        <v>-65827.123958807468</v>
      </c>
      <c r="F84" s="557">
        <f>'Energy NPV'!AH68</f>
        <v>-26784.08973804241</v>
      </c>
      <c r="G84" s="557">
        <f>'Energy NPV'!AH94</f>
        <v>-8496.0818350781374</v>
      </c>
      <c r="H84" s="366"/>
      <c r="I84" s="417">
        <v>4</v>
      </c>
      <c r="J84" s="557">
        <f>'Energy NPV'!AI16</f>
        <v>-3065.5421517979048</v>
      </c>
      <c r="K84" s="557">
        <f>'Energy NPV'!AI42</f>
        <v>-64046.640023896231</v>
      </c>
      <c r="L84" s="557">
        <f>'Energy NPV'!AI68</f>
        <v>-25003.605803131166</v>
      </c>
      <c r="M84" s="557">
        <f>'Energy NPV'!AI94</f>
        <v>-6715.5979001668939</v>
      </c>
      <c r="N84" s="366"/>
    </row>
    <row r="85" spans="2:14" x14ac:dyDescent="0.3">
      <c r="B85" s="366"/>
      <c r="C85" s="417">
        <v>5</v>
      </c>
      <c r="D85" s="557">
        <f>'Energy NPV'!AH17</f>
        <v>-5014.9080411225095</v>
      </c>
      <c r="E85" s="557">
        <f>'Energy NPV'!AH43</f>
        <v>-64648.066893994437</v>
      </c>
      <c r="F85" s="557">
        <f>'Energy NPV'!AH69</f>
        <v>-25680.895262976981</v>
      </c>
      <c r="G85" s="557">
        <f>'Energy NPV'!AH95</f>
        <v>-6628.2064570495313</v>
      </c>
      <c r="H85" s="366"/>
      <c r="I85" s="417">
        <v>5</v>
      </c>
      <c r="J85" s="557">
        <f>'Energy NPV'!AI17</f>
        <v>-2831.2642575540058</v>
      </c>
      <c r="K85" s="557">
        <f>'Energy NPV'!AI43</f>
        <v>-62464.423110425938</v>
      </c>
      <c r="L85" s="557">
        <f>'Energy NPV'!AI69</f>
        <v>-23497.251479408475</v>
      </c>
      <c r="M85" s="557">
        <f>'Energy NPV'!AI95</f>
        <v>-4444.5626734810285</v>
      </c>
      <c r="N85" s="366"/>
    </row>
    <row r="86" spans="2:14" x14ac:dyDescent="0.3">
      <c r="B86" s="366"/>
      <c r="C86" s="417">
        <v>6</v>
      </c>
      <c r="D86" s="557">
        <f>'Energy NPV'!AH18</f>
        <v>-5177.2945357507415</v>
      </c>
      <c r="E86" s="557">
        <f>'Energy NPV'!AH44</f>
        <v>-63514.358177828064</v>
      </c>
      <c r="F86" s="557">
        <f>'Energy NPV'!AH70</f>
        <v>-24620.131344644837</v>
      </c>
      <c r="G86" s="557">
        <f>'Energy NPV'!AH96</f>
        <v>-4832.1724397143334</v>
      </c>
      <c r="H86" s="366"/>
      <c r="I86" s="417">
        <v>6</v>
      </c>
      <c r="J86" s="557">
        <f>'Energy NPV'!AI18</f>
        <v>-2605.9970515502569</v>
      </c>
      <c r="K86" s="557">
        <f>'Energy NPV'!AI44</f>
        <v>-60943.06069362758</v>
      </c>
      <c r="L86" s="557">
        <f>'Energy NPV'!AI70</f>
        <v>-22048.833860444349</v>
      </c>
      <c r="M86" s="557">
        <f>'Energy NPV'!AI96</f>
        <v>-2260.8749555138502</v>
      </c>
      <c r="N86" s="366"/>
    </row>
    <row r="87" spans="2:14" x14ac:dyDescent="0.3">
      <c r="B87" s="366"/>
      <c r="C87" s="417">
        <v>7</v>
      </c>
      <c r="D87" s="557">
        <f>'Energy NPV'!AH19</f>
        <v>-1684.7903250318313</v>
      </c>
      <c r="E87" s="557">
        <f>'Energy NPV'!AH45</f>
        <v>-62424.253643052703</v>
      </c>
      <c r="F87" s="557">
        <f>'Energy NPV'!AH71</f>
        <v>-23600.166038556235</v>
      </c>
      <c r="G87" s="557">
        <f>'Energy NPV'!AH97</f>
        <v>-3105.216653815105</v>
      </c>
      <c r="H87" s="366"/>
      <c r="I87" s="417">
        <v>7</v>
      </c>
      <c r="J87" s="557">
        <f>'Energy NPV'!AI19</f>
        <v>1259.2511020840202</v>
      </c>
      <c r="K87" s="557">
        <f>'Energy NPV'!AI45</f>
        <v>-59480.212215936852</v>
      </c>
      <c r="L87" s="557">
        <f>'Energy NPV'!AI71</f>
        <v>-20656.124611440384</v>
      </c>
      <c r="M87" s="557">
        <f>'Energy NPV'!AI97</f>
        <v>-161.17522669925575</v>
      </c>
      <c r="N87" s="366"/>
    </row>
    <row r="88" spans="2:14" x14ac:dyDescent="0.3">
      <c r="B88" s="366"/>
      <c r="C88" s="417">
        <v>8</v>
      </c>
      <c r="D88" s="557">
        <f>'Energy NPV'!AH20</f>
        <v>-1834.9257675505366</v>
      </c>
      <c r="E88" s="557">
        <f>'Energy NPV'!AH46</f>
        <v>-61376.076205768702</v>
      </c>
      <c r="F88" s="557">
        <f>'Energy NPV'!AH72</f>
        <v>-22619.430167317198</v>
      </c>
      <c r="G88" s="557">
        <f>'Energy NPV'!AH98</f>
        <v>-1444.6822442966161</v>
      </c>
      <c r="H88" s="366"/>
      <c r="I88" s="417">
        <v>8</v>
      </c>
      <c r="J88" s="557">
        <f>'Energy NPV'!AI20</f>
        <v>1467.523296983936</v>
      </c>
      <c r="K88" s="557">
        <f>'Energy NPV'!AI46</f>
        <v>-58073.627141234232</v>
      </c>
      <c r="L88" s="557">
        <f>'Energy NPV'!AI72</f>
        <v>-19316.981102782724</v>
      </c>
      <c r="M88" s="557">
        <f>'Energy NPV'!AI98</f>
        <v>1857.7668202378545</v>
      </c>
      <c r="N88" s="366"/>
    </row>
    <row r="89" spans="2:14" x14ac:dyDescent="0.3">
      <c r="B89" s="366"/>
      <c r="C89" s="417">
        <v>9</v>
      </c>
      <c r="D89" s="557">
        <f>'Energy NPV'!AH21</f>
        <v>-1979.2867699723686</v>
      </c>
      <c r="E89" s="557">
        <f>'Energy NPV'!AH47</f>
        <v>-60368.213285303318</v>
      </c>
      <c r="F89" s="557">
        <f>'Energy NPV'!AH73</f>
        <v>-21676.414906510428</v>
      </c>
      <c r="G89" s="557">
        <f>'Energy NPV'!AH99</f>
        <v>151.98545716346916</v>
      </c>
      <c r="H89" s="366"/>
      <c r="I89" s="417">
        <v>9</v>
      </c>
      <c r="J89" s="557">
        <f>'Energy NPV'!AI21</f>
        <v>1667.7850228492398</v>
      </c>
      <c r="K89" s="557">
        <f>'Energy NPV'!AI47</f>
        <v>-56721.141492481707</v>
      </c>
      <c r="L89" s="557">
        <f>'Energy NPV'!AI73</f>
        <v>-18029.343113688821</v>
      </c>
      <c r="M89" s="557">
        <f>'Energy NPV'!AI99</f>
        <v>3799.0572499850759</v>
      </c>
      <c r="N89" s="366"/>
    </row>
    <row r="90" spans="2:14" x14ac:dyDescent="0.3">
      <c r="B90" s="366"/>
      <c r="C90" s="417">
        <v>10</v>
      </c>
      <c r="D90" s="557">
        <f>'Energy NPV'!AH22</f>
        <v>1125.5367559995796</v>
      </c>
      <c r="E90" s="557">
        <f>'Energy NPV'!AH48</f>
        <v>-59399.114323317372</v>
      </c>
      <c r="F90" s="557">
        <f>'Energy NPV'!AH74</f>
        <v>-20769.669463426999</v>
      </c>
      <c r="G90" s="557">
        <f>'Energy NPV'!AH100</f>
        <v>1687.2428624135509</v>
      </c>
      <c r="H90" s="366"/>
      <c r="I90" s="417">
        <v>10</v>
      </c>
      <c r="J90" s="557">
        <f>'Energy NPV'!AI22</f>
        <v>5103.9765567895884</v>
      </c>
      <c r="K90" s="557">
        <f>'Energy NPV'!AI48</f>
        <v>-55420.674522527363</v>
      </c>
      <c r="L90" s="557">
        <f>'Energy NPV'!AI74</f>
        <v>-16791.22966263699</v>
      </c>
      <c r="M90" s="557">
        <f>'Energy NPV'!AI100</f>
        <v>5665.6826632035572</v>
      </c>
      <c r="N90" s="366"/>
    </row>
    <row r="91" spans="2:14" x14ac:dyDescent="0.3">
      <c r="B91" s="366"/>
      <c r="C91" s="417">
        <v>11</v>
      </c>
      <c r="D91" s="557">
        <f>'Energy NPV'!AH23</f>
        <v>1125.5367559995796</v>
      </c>
      <c r="E91" s="557">
        <f>'Energy NPV'!AH49</f>
        <v>-58467.288398330886</v>
      </c>
      <c r="F91" s="557">
        <f>'Energy NPV'!AH75</f>
        <v>-19897.798845077545</v>
      </c>
      <c r="G91" s="557">
        <f>'Energy NPV'!AH101</f>
        <v>3163.4519059232452</v>
      </c>
      <c r="H91" s="366"/>
      <c r="I91" s="417">
        <v>11</v>
      </c>
      <c r="J91" s="557">
        <f>'Energy NPV'!AI23</f>
        <v>5422.5996413745879</v>
      </c>
      <c r="K91" s="557">
        <f>'Energy NPV'!AI49</f>
        <v>-54170.225512955876</v>
      </c>
      <c r="L91" s="557">
        <f>'Energy NPV'!AI75</f>
        <v>-15600.735959702537</v>
      </c>
      <c r="M91" s="557">
        <f>'Energy NPV'!AI101</f>
        <v>7460.5147912982511</v>
      </c>
      <c r="N91" s="366"/>
    </row>
    <row r="92" spans="2:14" x14ac:dyDescent="0.3">
      <c r="B92" s="366"/>
      <c r="C92" s="417">
        <v>12</v>
      </c>
      <c r="D92" s="557">
        <f>'Energy NPV'!AH24</f>
        <v>1125.5367559995796</v>
      </c>
      <c r="E92" s="557">
        <f>'Energy NPV'!AH50</f>
        <v>-57571.301931997725</v>
      </c>
      <c r="F92" s="557">
        <f>'Energy NPV'!AH76</f>
        <v>-19059.461712049226</v>
      </c>
      <c r="G92" s="557">
        <f>'Energy NPV'!AH102</f>
        <v>4582.8836785287203</v>
      </c>
      <c r="H92" s="366"/>
      <c r="I92" s="417">
        <v>12</v>
      </c>
      <c r="J92" s="557">
        <f>'Energy NPV'!AI24</f>
        <v>5728.9679919370874</v>
      </c>
      <c r="K92" s="557">
        <f>'Energy NPV'!AI50</f>
        <v>-52967.870696060214</v>
      </c>
      <c r="L92" s="557">
        <f>'Energy NPV'!AI76</f>
        <v>-14456.030476111719</v>
      </c>
      <c r="M92" s="557">
        <f>'Energy NPV'!AI102</f>
        <v>9186.3149144662257</v>
      </c>
      <c r="N92" s="366"/>
    </row>
    <row r="93" spans="2:14" x14ac:dyDescent="0.3">
      <c r="B93" s="366"/>
      <c r="C93" s="417">
        <v>13</v>
      </c>
      <c r="D93" s="557">
        <f>'Energy NPV'!AH25</f>
        <v>4009.1139547958664</v>
      </c>
      <c r="E93" s="557">
        <f>'Energy NPV'!AH51</f>
        <v>-56709.77648360045</v>
      </c>
      <c r="F93" s="557">
        <f>'Energy NPV'!AH77</f>
        <v>-18253.368314906609</v>
      </c>
      <c r="G93" s="557">
        <f>'Energy NPV'!AH103</f>
        <v>5947.7219214185998</v>
      </c>
      <c r="H93" s="366"/>
      <c r="I93" s="417">
        <v>13</v>
      </c>
      <c r="J93" s="557">
        <f>'Energy NPV'!AI25</f>
        <v>8907.1301431973152</v>
      </c>
      <c r="K93" s="557">
        <f>'Energy NPV'!AI51</f>
        <v>-51811.760295198997</v>
      </c>
      <c r="L93" s="557">
        <f>'Energy NPV'!AI77</f>
        <v>-13355.352126505162</v>
      </c>
      <c r="M93" s="557">
        <f>'Energy NPV'!AI103</f>
        <v>10845.738109820048</v>
      </c>
      <c r="N93" s="366"/>
    </row>
    <row r="94" spans="2:14" x14ac:dyDescent="0.3">
      <c r="B94" s="366"/>
      <c r="C94" s="417">
        <v>14</v>
      </c>
      <c r="D94" s="557">
        <f>'Energy NPV'!AH26</f>
        <v>4009.1139547958664</v>
      </c>
      <c r="E94" s="557">
        <f>'Energy NPV'!AH52</f>
        <v>-55881.386629372304</v>
      </c>
      <c r="F94" s="557">
        <f>'Energy NPV'!AH78</f>
        <v>-17478.278509961787</v>
      </c>
      <c r="G94" s="557">
        <f>'Energy NPV'!AH104</f>
        <v>7260.0663857357922</v>
      </c>
      <c r="H94" s="366"/>
      <c r="I94" s="417">
        <v>14</v>
      </c>
      <c r="J94" s="557">
        <f>'Energy NPV'!AI26</f>
        <v>9190.3849051818743</v>
      </c>
      <c r="K94" s="557">
        <f>'Energy NPV'!AI52</f>
        <v>-50700.115678986294</v>
      </c>
      <c r="L94" s="557">
        <f>'Energy NPV'!AI78</f>
        <v>-12297.007559575781</v>
      </c>
      <c r="M94" s="557">
        <f>'Energy NPV'!AI104</f>
        <v>12441.3373361218</v>
      </c>
      <c r="N94" s="366"/>
    </row>
    <row r="95" spans="2:14" x14ac:dyDescent="0.3">
      <c r="B95" s="366"/>
      <c r="C95" s="417">
        <v>15</v>
      </c>
      <c r="D95" s="557">
        <f>'Energy NPV'!AH27</f>
        <v>4009.1139547958664</v>
      </c>
      <c r="E95" s="557">
        <f>'Energy NPV'!AH53</f>
        <v>-55084.857923383701</v>
      </c>
      <c r="F95" s="557">
        <f>'Energy NPV'!AH79</f>
        <v>-16732.999851360997</v>
      </c>
      <c r="G95" s="557">
        <f>'Energy NPV'!AH105</f>
        <v>8521.9360629638613</v>
      </c>
      <c r="H95" s="366"/>
      <c r="I95" s="417">
        <v>15</v>
      </c>
      <c r="J95" s="557">
        <f>'Energy NPV'!AI27</f>
        <v>9462.7452532439511</v>
      </c>
      <c r="K95" s="557">
        <f>'Energy NPV'!AI53</f>
        <v>-49631.226624935618</v>
      </c>
      <c r="L95" s="557">
        <f>'Energy NPV'!AI79</f>
        <v>-11279.368552912914</v>
      </c>
      <c r="M95" s="557">
        <f>'Energy NPV'!AI105</f>
        <v>13975.567361411946</v>
      </c>
      <c r="N95" s="366"/>
    </row>
    <row r="96" spans="2:14" x14ac:dyDescent="0.3">
      <c r="B96" s="366"/>
      <c r="C96" s="558">
        <v>16</v>
      </c>
      <c r="D96" s="564">
        <f>'Energy NPV'!AH28</f>
        <v>5406.5481287743651</v>
      </c>
      <c r="E96" s="564">
        <f>'Energy NPV'!AH54</f>
        <v>-54596.597188212836</v>
      </c>
      <c r="F96" s="564">
        <f>'Energy NPV'!AH80</f>
        <v>-16021.938401579677</v>
      </c>
      <c r="G96" s="564">
        <f>'Energy NPV'!AH106</f>
        <v>9457.6400397111374</v>
      </c>
      <c r="H96" s="366"/>
      <c r="I96" s="558">
        <v>16</v>
      </c>
      <c r="J96" s="564">
        <f>'Energy NPV'!AI28</f>
        <v>11122.064377282139</v>
      </c>
      <c r="K96" s="564">
        <f>'Energy NPV'!AI54</f>
        <v>-48881.080939705062</v>
      </c>
      <c r="L96" s="564">
        <f>'Energy NPV'!AI80</f>
        <v>-10306.422153071906</v>
      </c>
      <c r="M96" s="564">
        <f>'Energy NPV'!AI106</f>
        <v>15173.15628821891</v>
      </c>
      <c r="N96" s="366"/>
    </row>
    <row r="97" spans="2:14" x14ac:dyDescent="0.3">
      <c r="B97" s="366"/>
      <c r="C97" s="366"/>
      <c r="D97" s="366"/>
      <c r="E97" s="366"/>
      <c r="F97" s="366"/>
      <c r="G97" s="366"/>
      <c r="H97" s="366"/>
      <c r="I97" s="366"/>
      <c r="J97" s="366"/>
      <c r="K97" s="366"/>
      <c r="L97" s="366"/>
      <c r="M97" s="366"/>
      <c r="N97" s="366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T30"/>
  <sheetViews>
    <sheetView workbookViewId="0">
      <selection activeCell="F4" sqref="F4"/>
    </sheetView>
  </sheetViews>
  <sheetFormatPr defaultColWidth="9" defaultRowHeight="14" x14ac:dyDescent="0.3"/>
  <cols>
    <col min="2" max="2" width="20.08203125" bestFit="1" customWidth="1"/>
    <col min="3" max="30" width="10.58203125" customWidth="1"/>
  </cols>
  <sheetData>
    <row r="4" spans="1:20" ht="40" x14ac:dyDescent="0.3">
      <c r="B4" s="730" t="s">
        <v>290</v>
      </c>
      <c r="C4" s="731" t="s">
        <v>276</v>
      </c>
      <c r="D4" s="732" t="s">
        <v>304</v>
      </c>
      <c r="E4" s="732" t="s">
        <v>333</v>
      </c>
      <c r="F4" s="732" t="s">
        <v>591</v>
      </c>
      <c r="G4" s="733" t="s">
        <v>382</v>
      </c>
      <c r="H4" s="732" t="s">
        <v>384</v>
      </c>
      <c r="I4" s="733" t="s">
        <v>385</v>
      </c>
      <c r="J4" s="732" t="s">
        <v>279</v>
      </c>
      <c r="K4" s="733" t="s">
        <v>438</v>
      </c>
      <c r="L4" s="733" t="s">
        <v>439</v>
      </c>
      <c r="M4" s="733" t="s">
        <v>440</v>
      </c>
      <c r="N4" s="733" t="s">
        <v>441</v>
      </c>
      <c r="O4" s="733" t="s">
        <v>442</v>
      </c>
      <c r="P4" s="733" t="s">
        <v>443</v>
      </c>
      <c r="Q4" s="733" t="s">
        <v>444</v>
      </c>
      <c r="R4" s="733" t="s">
        <v>445</v>
      </c>
      <c r="S4" s="733" t="s">
        <v>446</v>
      </c>
      <c r="T4" s="733" t="s">
        <v>447</v>
      </c>
    </row>
    <row r="5" spans="1:20" x14ac:dyDescent="0.3">
      <c r="B5" s="734"/>
      <c r="C5" s="735"/>
      <c r="D5" s="736"/>
      <c r="E5" s="736"/>
      <c r="F5" s="736"/>
      <c r="G5" s="737"/>
      <c r="H5" s="736"/>
      <c r="I5" s="736"/>
      <c r="J5" s="736"/>
      <c r="K5" s="737"/>
      <c r="L5" s="737"/>
      <c r="M5" s="737"/>
      <c r="N5" s="737"/>
      <c r="O5" s="737"/>
      <c r="P5" s="737"/>
      <c r="Q5" s="737"/>
      <c r="R5" s="737"/>
      <c r="S5" s="737"/>
      <c r="T5" s="737"/>
    </row>
    <row r="6" spans="1:20" x14ac:dyDescent="0.3">
      <c r="A6" s="298"/>
      <c r="B6" s="738"/>
      <c r="C6" s="739"/>
      <c r="D6" s="740" t="s">
        <v>336</v>
      </c>
      <c r="E6" s="740" t="s">
        <v>573</v>
      </c>
      <c r="F6" s="740" t="s">
        <v>571</v>
      </c>
      <c r="G6" s="740" t="s">
        <v>571</v>
      </c>
      <c r="H6" s="740" t="s">
        <v>571</v>
      </c>
      <c r="I6" s="740" t="s">
        <v>571</v>
      </c>
      <c r="J6" s="740" t="s">
        <v>571</v>
      </c>
      <c r="K6" s="740" t="s">
        <v>571</v>
      </c>
      <c r="L6" s="740" t="s">
        <v>571</v>
      </c>
      <c r="M6" s="740" t="s">
        <v>571</v>
      </c>
      <c r="N6" s="740" t="s">
        <v>571</v>
      </c>
      <c r="O6" s="740" t="s">
        <v>571</v>
      </c>
      <c r="P6" s="740" t="s">
        <v>571</v>
      </c>
      <c r="Q6" s="740" t="s">
        <v>571</v>
      </c>
      <c r="R6" s="740" t="s">
        <v>571</v>
      </c>
      <c r="S6" s="740" t="s">
        <v>571</v>
      </c>
      <c r="T6" s="740" t="s">
        <v>571</v>
      </c>
    </row>
    <row r="7" spans="1:20" x14ac:dyDescent="0.3">
      <c r="B7" s="725">
        <v>1</v>
      </c>
      <c r="C7" s="362" t="s">
        <v>94</v>
      </c>
      <c r="D7" s="744">
        <f>INDEX('Energy Model tables'!$D$6:$G$21,MATCH($B7,'Energy Model tables'!$C$6:$C$21,0),MATCH($C$7,'Energy Model tables'!$D$5:$G$5,0))</f>
        <v>2.0466666666666664</v>
      </c>
      <c r="E7" s="744">
        <f>HLOOKUP($C$7,'Energy Model tables'!$D$24:$G$25,2,FALSE)</f>
        <v>269.5</v>
      </c>
      <c r="F7" s="744">
        <f>'Energy Model tables'!$D$28</f>
        <v>471.64</v>
      </c>
      <c r="G7" s="745">
        <f>IF($C7&lt;&gt;"",HLOOKUP($C$7,'Energy Model tables'!$D$31:$G$32,2,FALSE),0)</f>
        <v>27899.875000000004</v>
      </c>
      <c r="H7" s="744">
        <f>INDEX('Energy Model tables'!$D$37:$G$52,MATCH($B7,'Energy Model tables'!$C$37:$C$52,0),MATCH($C$7,'Energy Model tables'!$D$36:$G$36,0))</f>
        <v>0</v>
      </c>
      <c r="I7" s="745">
        <f>IF($C22&lt;&gt;"",HLOOKUP($C$7,'Energy Model tables'!$D$55:$G$56,2,FALSE),0)</f>
        <v>0</v>
      </c>
      <c r="J7" s="744">
        <f>G7+H7+I7</f>
        <v>27899.875000000004</v>
      </c>
      <c r="K7" s="744">
        <f>D7*E7</f>
        <v>551.5766666666666</v>
      </c>
      <c r="L7" s="744">
        <f>K7+F7</f>
        <v>1023.2166666666666</v>
      </c>
      <c r="M7" s="744">
        <f>K7-J7</f>
        <v>-27348.298333333336</v>
      </c>
      <c r="N7" s="744">
        <f>L7-J7</f>
        <v>-26876.658333333336</v>
      </c>
      <c r="O7" s="745">
        <f>M7</f>
        <v>-27348.298333333336</v>
      </c>
      <c r="P7" s="745">
        <f>N7</f>
        <v>-26876.658333333336</v>
      </c>
      <c r="Q7" s="744">
        <f>INDEX('Energy Model tables'!$D$61:$G$76,MATCH($B7,'Energy Model tables'!$C$61:$C$76,0),MATCH($C$7,'Energy Model tables'!$D$60:$G$60,0))</f>
        <v>-27838.298333333336</v>
      </c>
      <c r="R7" s="744">
        <f>INDEX('Energy Model tables'!$J$61:$M$76,MATCH($B7,'Energy Model tables'!$I$61:$I$76,0),MATCH($C$7,'Energy Model tables'!$J$60:$M$60,0))</f>
        <v>-27366.658333333336</v>
      </c>
      <c r="S7" s="744">
        <f>INDEX('Energy Model tables'!$D$81:$G$96,MATCH($B7,'Energy Model tables'!$C$81:$C$96,0),MATCH($C$7,'Energy Model tables'!$D$80:$G$80,0))</f>
        <v>-27838.298333333336</v>
      </c>
      <c r="T7" s="744">
        <f>INDEX('Energy Model tables'!$J$81:$M$96,MATCH($B7,'Energy Model tables'!$I$81:$I$96,0),MATCH($C$7,'Energy Model tables'!$J$80:$M$80,0))</f>
        <v>-27366.658333333336</v>
      </c>
    </row>
    <row r="8" spans="1:20" x14ac:dyDescent="0.3">
      <c r="B8" s="417">
        <v>2</v>
      </c>
      <c r="C8" s="735"/>
      <c r="D8" s="745">
        <f>INDEX('Energy Model tables'!$D$6:$G$21,MATCH($B8,'Energy Model tables'!$C$6:$C$21,0),MATCH($C$7,'Energy Model tables'!$D$5:$G$5,0))</f>
        <v>8.27</v>
      </c>
      <c r="E8" s="745">
        <f>HLOOKUP($C$7,'Energy Model tables'!$D$24:$G$25,2,FALSE)</f>
        <v>269.5</v>
      </c>
      <c r="F8" s="745">
        <f>'Energy Model tables'!$D$28</f>
        <v>471.64</v>
      </c>
      <c r="G8" s="745">
        <f>IF($C8&lt;&gt;"",HLOOKUP($C$7,'Energy Model tables'!$D$31:$G$32,2,FALSE),0)</f>
        <v>0</v>
      </c>
      <c r="H8" s="745">
        <f>INDEX('Energy Model tables'!$D$37:$G$52,MATCH($B8,'Energy Model tables'!$C$37:$C$52,0),MATCH($C$7,'Energy Model tables'!$D$36:$G$36,0))</f>
        <v>1945.3866666666668</v>
      </c>
      <c r="I8" s="745">
        <f>IF($C8&lt;&gt;"",HLOOKUP($C$7,'Energy Model tables'!$D$55:$G$56,2,FALSE),0)</f>
        <v>0</v>
      </c>
      <c r="J8" s="745">
        <f t="shared" ref="J8:J22" si="0">G8+H8+I8</f>
        <v>1945.3866666666668</v>
      </c>
      <c r="K8" s="745">
        <f t="shared" ref="K8:K22" si="1">D8*E8</f>
        <v>2228.7649999999999</v>
      </c>
      <c r="L8" s="745">
        <f t="shared" ref="L8:L22" si="2">K8+F8</f>
        <v>2700.4049999999997</v>
      </c>
      <c r="M8" s="745">
        <f t="shared" ref="M8:M22" si="3">K8-J8</f>
        <v>283.3783333333331</v>
      </c>
      <c r="N8" s="745">
        <f t="shared" ref="N8:N22" si="4">L8-J8</f>
        <v>755.01833333333298</v>
      </c>
      <c r="O8" s="745">
        <f>O7+M8</f>
        <v>-27064.920000000002</v>
      </c>
      <c r="P8" s="745">
        <f>P7+N8</f>
        <v>-26121.640000000003</v>
      </c>
      <c r="Q8" s="745">
        <f>INDEX('Energy Model tables'!$D$61:$G$76,MATCH($B8,'Energy Model tables'!$C$61:$C$76,0),MATCH($C$7,'Energy Model tables'!$D$60:$G$60,0))</f>
        <v>-384.9375</v>
      </c>
      <c r="R8" s="745">
        <f>INDEX('Energy Model tables'!$J$61:$M$76,MATCH($B8,'Energy Model tables'!$I$61:$I$76,0),MATCH($C$7,'Energy Model tables'!$J$60:$M$60,0))</f>
        <v>68.562499999999844</v>
      </c>
      <c r="S8" s="745">
        <f>INDEX('Energy Model tables'!$D$81:$G$96,MATCH($B8,'Energy Model tables'!$C$81:$C$96,0),MATCH($C$7,'Energy Model tables'!$D$80:$G$80,0))</f>
        <v>-28223.235833333336</v>
      </c>
      <c r="T8" s="745">
        <f>INDEX('Energy Model tables'!$J$81:$M$96,MATCH($B8,'Energy Model tables'!$I$81:$I$96,0),MATCH($C$7,'Energy Model tables'!$J$80:$M$80,0))</f>
        <v>-27298.095833333336</v>
      </c>
    </row>
    <row r="9" spans="1:20" x14ac:dyDescent="0.3">
      <c r="B9" s="417">
        <v>3</v>
      </c>
      <c r="C9" s="735"/>
      <c r="D9" s="745">
        <f>INDEX('Energy Model tables'!$D$6:$G$21,MATCH($B9,'Energy Model tables'!$C$6:$C$21,0),MATCH($C$7,'Energy Model tables'!$D$5:$G$5,0))</f>
        <v>10.926666666666668</v>
      </c>
      <c r="E9" s="745">
        <f>HLOOKUP($C$7,'Energy Model tables'!$D$24:$G$25,2,FALSE)</f>
        <v>269.5</v>
      </c>
      <c r="F9" s="745">
        <f>'Energy Model tables'!$D$28</f>
        <v>471.64</v>
      </c>
      <c r="G9" s="745">
        <f>IF($C9&lt;&gt;"",HLOOKUP($C$7,'Energy Model tables'!$D$31:$G$32,2,FALSE),0)</f>
        <v>0</v>
      </c>
      <c r="H9" s="745">
        <f>INDEX('Energy Model tables'!$D$37:$G$52,MATCH($B9,'Energy Model tables'!$C$37:$C$52,0),MATCH($C$7,'Energy Model tables'!$D$36:$G$36,0))</f>
        <v>1945.3866666666668</v>
      </c>
      <c r="I9" s="745">
        <f>IF($C9&lt;&gt;"",HLOOKUP($C$7,'Energy Model tables'!$D$55:$G$56,2,FALSE),0)</f>
        <v>0</v>
      </c>
      <c r="J9" s="745">
        <f t="shared" si="0"/>
        <v>1945.3866666666668</v>
      </c>
      <c r="K9" s="745">
        <f t="shared" si="1"/>
        <v>2944.7366666666671</v>
      </c>
      <c r="L9" s="745">
        <f t="shared" si="2"/>
        <v>3416.376666666667</v>
      </c>
      <c r="M9" s="745">
        <f t="shared" si="3"/>
        <v>999.35000000000036</v>
      </c>
      <c r="N9" s="745">
        <f t="shared" si="4"/>
        <v>1470.9900000000002</v>
      </c>
      <c r="O9" s="745">
        <f t="shared" ref="O9:P22" si="5">O8+M9</f>
        <v>-26065.57</v>
      </c>
      <c r="P9" s="745">
        <f t="shared" si="5"/>
        <v>-24650.65</v>
      </c>
      <c r="Q9" s="745">
        <f>INDEX('Energy Model tables'!$D$61:$G$76,MATCH($B9,'Energy Model tables'!$C$61:$C$76,0),MATCH($C$7,'Energy Model tables'!$D$60:$G$60,0))</f>
        <v>291.82384122288016</v>
      </c>
      <c r="R9" s="745">
        <f>INDEX('Energy Model tables'!$J$61:$M$76,MATCH($B9,'Energy Model tables'!$I$61:$I$76,0),MATCH($C$7,'Energy Model tables'!$J$60:$M$60,0))</f>
        <v>727.88153353057226</v>
      </c>
      <c r="S9" s="745">
        <f>INDEX('Energy Model tables'!$D$81:$G$96,MATCH($B9,'Energy Model tables'!$C$81:$C$96,0),MATCH($C$7,'Energy Model tables'!$D$80:$G$80,0))</f>
        <v>-27931.411992110458</v>
      </c>
      <c r="T9" s="745">
        <f>INDEX('Energy Model tables'!$J$81:$M$96,MATCH($B9,'Energy Model tables'!$I$81:$I$96,0),MATCH($C$7,'Energy Model tables'!$J$80:$M$80,0))</f>
        <v>-26570.214299802763</v>
      </c>
    </row>
    <row r="10" spans="1:20" x14ac:dyDescent="0.3">
      <c r="B10" s="417">
        <v>4</v>
      </c>
      <c r="C10" s="735"/>
      <c r="D10" s="745">
        <f>INDEX('Energy Model tables'!$D$6:$G$21,MATCH($B10,'Energy Model tables'!$C$6:$C$21,0),MATCH($C$7,'Energy Model tables'!$D$5:$G$5,0))</f>
        <v>11.617000000000001</v>
      </c>
      <c r="E10" s="745">
        <f>HLOOKUP($C$7,'Energy Model tables'!$D$24:$G$25,2,FALSE)</f>
        <v>269.5</v>
      </c>
      <c r="F10" s="745">
        <f>'Energy Model tables'!$D$28</f>
        <v>471.64</v>
      </c>
      <c r="G10" s="745">
        <f>IF($C10&lt;&gt;"",HLOOKUP($C$7,'Energy Model tables'!$D$31:$G$32,2,FALSE),0)</f>
        <v>0</v>
      </c>
      <c r="H10" s="745">
        <f>INDEX('Energy Model tables'!$D$37:$G$52,MATCH($B10,'Energy Model tables'!$C$37:$C$52,0),MATCH($C$7,'Energy Model tables'!$D$36:$G$36,0))</f>
        <v>1945.3866666666668</v>
      </c>
      <c r="I10" s="745">
        <f>IF($C10&lt;&gt;"",HLOOKUP($C$7,'Energy Model tables'!$D$55:$G$56,2,FALSE),0)</f>
        <v>0</v>
      </c>
      <c r="J10" s="745">
        <f t="shared" si="0"/>
        <v>1945.3866666666668</v>
      </c>
      <c r="K10" s="745">
        <f t="shared" si="1"/>
        <v>3130.7815000000001</v>
      </c>
      <c r="L10" s="745">
        <f t="shared" si="2"/>
        <v>3602.4214999999999</v>
      </c>
      <c r="M10" s="745">
        <f t="shared" si="3"/>
        <v>1185.3948333333333</v>
      </c>
      <c r="N10" s="745">
        <f t="shared" si="4"/>
        <v>1657.0348333333332</v>
      </c>
      <c r="O10" s="745">
        <f t="shared" si="5"/>
        <v>-24880.175166666668</v>
      </c>
      <c r="P10" s="745">
        <f t="shared" si="5"/>
        <v>-22993.61516666667</v>
      </c>
      <c r="Q10" s="745">
        <f>INDEX('Energy Model tables'!$D$61:$G$76,MATCH($B10,'Energy Model tables'!$C$61:$C$76,0),MATCH($C$7,'Energy Model tables'!$D$60:$G$60,0))</f>
        <v>1147.3222540680474</v>
      </c>
      <c r="R10" s="745">
        <f>INDEX('Energy Model tables'!$J$61:$M$76,MATCH($B10,'Energy Model tables'!$I$61:$I$76,0),MATCH($C$7,'Energy Model tables'!$J$60:$M$60,0))</f>
        <v>1566.6084966715975</v>
      </c>
      <c r="S10" s="745">
        <f>INDEX('Energy Model tables'!$D$81:$G$96,MATCH($B10,'Energy Model tables'!$C$81:$C$96,0),MATCH($C$7,'Energy Model tables'!$D$80:$G$80,0))</f>
        <v>-26784.08973804241</v>
      </c>
      <c r="T10" s="745">
        <f>INDEX('Energy Model tables'!$J$81:$M$96,MATCH($B10,'Energy Model tables'!$I$81:$I$96,0),MATCH($C$7,'Energy Model tables'!$J$80:$M$80,0))</f>
        <v>-25003.605803131166</v>
      </c>
    </row>
    <row r="11" spans="1:20" x14ac:dyDescent="0.3">
      <c r="B11" s="417">
        <v>5</v>
      </c>
      <c r="C11" s="735"/>
      <c r="D11" s="745">
        <f>INDEX('Energy Model tables'!$D$6:$G$21,MATCH($B11,'Energy Model tables'!$C$6:$C$21,0),MATCH($C$7,'Energy Model tables'!$D$5:$G$5,0))</f>
        <v>11.617000000000001</v>
      </c>
      <c r="E11" s="745">
        <f>HLOOKUP($C$7,'Energy Model tables'!$D$24:$G$25,2,FALSE)</f>
        <v>269.5</v>
      </c>
      <c r="F11" s="745">
        <f>'Energy Model tables'!$D$28</f>
        <v>471.64</v>
      </c>
      <c r="G11" s="745">
        <f>IF($C11&lt;&gt;"",HLOOKUP($C$7,'Energy Model tables'!$D$31:$G$32,2,FALSE),0)</f>
        <v>0</v>
      </c>
      <c r="H11" s="745">
        <f>INDEX('Energy Model tables'!$D$37:$G$52,MATCH($B11,'Energy Model tables'!$C$37:$C$52,0),MATCH($C$7,'Energy Model tables'!$D$36:$G$36,0))</f>
        <v>1945.3866666666668</v>
      </c>
      <c r="I11" s="745">
        <f>IF($C11&lt;&gt;"",HLOOKUP($C$7,'Energy Model tables'!$D$55:$G$56,2,FALSE),0)</f>
        <v>0</v>
      </c>
      <c r="J11" s="745">
        <f t="shared" si="0"/>
        <v>1945.3866666666668</v>
      </c>
      <c r="K11" s="745">
        <f t="shared" si="1"/>
        <v>3130.7815000000001</v>
      </c>
      <c r="L11" s="745">
        <f t="shared" si="2"/>
        <v>3602.4214999999999</v>
      </c>
      <c r="M11" s="745">
        <f t="shared" si="3"/>
        <v>1185.3948333333333</v>
      </c>
      <c r="N11" s="745">
        <f t="shared" si="4"/>
        <v>1657.0348333333332</v>
      </c>
      <c r="O11" s="745">
        <f t="shared" si="5"/>
        <v>-23694.780333333336</v>
      </c>
      <c r="P11" s="745">
        <f t="shared" si="5"/>
        <v>-21336.580333333339</v>
      </c>
      <c r="Q11" s="745">
        <f>INDEX('Energy Model tables'!$D$61:$G$76,MATCH($B11,'Energy Model tables'!$C$61:$C$76,0),MATCH($C$7,'Energy Model tables'!$D$60:$G$60,0))</f>
        <v>1103.1944750654302</v>
      </c>
      <c r="R11" s="745">
        <f>INDEX('Energy Model tables'!$J$61:$M$76,MATCH($B11,'Energy Model tables'!$I$61:$I$76,0),MATCH($C$7,'Energy Model tables'!$J$60:$M$60,0))</f>
        <v>1506.3543237226897</v>
      </c>
      <c r="S11" s="745">
        <f>INDEX('Energy Model tables'!$D$81:$G$96,MATCH($B11,'Energy Model tables'!$C$81:$C$96,0),MATCH($C$7,'Energy Model tables'!$D$80:$G$80,0))</f>
        <v>-25680.895262976981</v>
      </c>
      <c r="T11" s="745">
        <f>INDEX('Energy Model tables'!$J$81:$M$96,MATCH($B11,'Energy Model tables'!$I$81:$I$96,0),MATCH($C$7,'Energy Model tables'!$J$80:$M$80,0))</f>
        <v>-23497.251479408475</v>
      </c>
    </row>
    <row r="12" spans="1:20" x14ac:dyDescent="0.3">
      <c r="B12" s="417">
        <v>6</v>
      </c>
      <c r="C12" s="735"/>
      <c r="D12" s="745">
        <f>INDEX('Energy Model tables'!$D$6:$G$21,MATCH($B12,'Energy Model tables'!$C$6:$C$21,0),MATCH($C$7,'Energy Model tables'!$D$5:$G$5,0))</f>
        <v>11.617000000000001</v>
      </c>
      <c r="E12" s="745">
        <f>HLOOKUP($C$7,'Energy Model tables'!$D$24:$G$25,2,FALSE)</f>
        <v>269.5</v>
      </c>
      <c r="F12" s="745">
        <f>'Energy Model tables'!$D$28</f>
        <v>471.64</v>
      </c>
      <c r="G12" s="745">
        <f>IF($C12&lt;&gt;"",HLOOKUP($C$7,'Energy Model tables'!$D$31:$G$32,2,FALSE),0)</f>
        <v>0</v>
      </c>
      <c r="H12" s="745">
        <f>INDEX('Energy Model tables'!$D$37:$G$52,MATCH($B12,'Energy Model tables'!$C$37:$C$52,0),MATCH($C$7,'Energy Model tables'!$D$36:$G$36,0))</f>
        <v>1945.3866666666668</v>
      </c>
      <c r="I12" s="745">
        <f>IF($C12&lt;&gt;"",HLOOKUP($C$7,'Energy Model tables'!$D$55:$G$56,2,FALSE),0)</f>
        <v>0</v>
      </c>
      <c r="J12" s="745">
        <f t="shared" si="0"/>
        <v>1945.3866666666668</v>
      </c>
      <c r="K12" s="745">
        <f t="shared" si="1"/>
        <v>3130.7815000000001</v>
      </c>
      <c r="L12" s="745">
        <f t="shared" si="2"/>
        <v>3602.4214999999999</v>
      </c>
      <c r="M12" s="745">
        <f t="shared" si="3"/>
        <v>1185.3948333333333</v>
      </c>
      <c r="N12" s="745">
        <f t="shared" si="4"/>
        <v>1657.0348333333332</v>
      </c>
      <c r="O12" s="745">
        <f t="shared" si="5"/>
        <v>-22509.385500000004</v>
      </c>
      <c r="P12" s="745">
        <f t="shared" si="5"/>
        <v>-19679.545500000007</v>
      </c>
      <c r="Q12" s="745">
        <f>INDEX('Energy Model tables'!$D$61:$G$76,MATCH($B12,'Energy Model tables'!$C$61:$C$76,0),MATCH($C$7,'Energy Model tables'!$D$60:$G$60,0))</f>
        <v>1060.7639183321442</v>
      </c>
      <c r="R12" s="745">
        <f>INDEX('Energy Model tables'!$J$61:$M$76,MATCH($B12,'Energy Model tables'!$I$61:$I$76,0),MATCH($C$7,'Energy Model tables'!$J$60:$M$60,0))</f>
        <v>1448.4176189641248</v>
      </c>
      <c r="S12" s="745">
        <f>INDEX('Energy Model tables'!$D$81:$G$96,MATCH($B12,'Energy Model tables'!$C$81:$C$96,0),MATCH($C$7,'Energy Model tables'!$D$80:$G$80,0))</f>
        <v>-24620.131344644837</v>
      </c>
      <c r="T12" s="745">
        <f>INDEX('Energy Model tables'!$J$81:$M$96,MATCH($B12,'Energy Model tables'!$I$81:$I$96,0),MATCH($C$7,'Energy Model tables'!$J$80:$M$80,0))</f>
        <v>-22048.833860444349</v>
      </c>
    </row>
    <row r="13" spans="1:20" x14ac:dyDescent="0.3">
      <c r="B13" s="417">
        <v>7</v>
      </c>
      <c r="C13" s="735"/>
      <c r="D13" s="745">
        <f>INDEX('Energy Model tables'!$D$6:$G$21,MATCH($B13,'Energy Model tables'!$C$6:$C$21,0),MATCH($C$7,'Energy Model tables'!$D$5:$G$5,0))</f>
        <v>11.617000000000001</v>
      </c>
      <c r="E13" s="745">
        <f>HLOOKUP($C$7,'Energy Model tables'!$D$24:$G$25,2,FALSE)</f>
        <v>269.5</v>
      </c>
      <c r="F13" s="745">
        <f>'Energy Model tables'!$D$28</f>
        <v>471.64</v>
      </c>
      <c r="G13" s="745">
        <f>IF($C13&lt;&gt;"",HLOOKUP($C$7,'Energy Model tables'!$D$31:$G$32,2,FALSE),0)</f>
        <v>0</v>
      </c>
      <c r="H13" s="745">
        <f>INDEX('Energy Model tables'!$D$37:$G$52,MATCH($B13,'Energy Model tables'!$C$37:$C$52,0),MATCH($C$7,'Energy Model tables'!$D$36:$G$36,0))</f>
        <v>1945.3866666666668</v>
      </c>
      <c r="I13" s="745">
        <f>IF($C13&lt;&gt;"",HLOOKUP($C$7,'Energy Model tables'!$D$55:$G$56,2,FALSE),0)</f>
        <v>0</v>
      </c>
      <c r="J13" s="745">
        <f t="shared" si="0"/>
        <v>1945.3866666666668</v>
      </c>
      <c r="K13" s="745">
        <f t="shared" si="1"/>
        <v>3130.7815000000001</v>
      </c>
      <c r="L13" s="745">
        <f t="shared" si="2"/>
        <v>3602.4214999999999</v>
      </c>
      <c r="M13" s="745">
        <f t="shared" si="3"/>
        <v>1185.3948333333333</v>
      </c>
      <c r="N13" s="745">
        <f t="shared" si="4"/>
        <v>1657.0348333333332</v>
      </c>
      <c r="O13" s="745">
        <f t="shared" si="5"/>
        <v>-21323.990666666672</v>
      </c>
      <c r="P13" s="745">
        <f t="shared" si="5"/>
        <v>-18022.510666666676</v>
      </c>
      <c r="Q13" s="745">
        <f>INDEX('Energy Model tables'!$D$61:$G$76,MATCH($B13,'Energy Model tables'!$C$61:$C$76,0),MATCH($C$7,'Energy Model tables'!$D$60:$G$60,0))</f>
        <v>1019.9653060886002</v>
      </c>
      <c r="R13" s="745">
        <f>INDEX('Energy Model tables'!$J$61:$M$76,MATCH($B13,'Energy Model tables'!$I$61:$I$76,0),MATCH($C$7,'Energy Model tables'!$J$60:$M$60,0))</f>
        <v>1392.7092490039661</v>
      </c>
      <c r="S13" s="745">
        <f>INDEX('Energy Model tables'!$D$81:$G$96,MATCH($B13,'Energy Model tables'!$C$81:$C$96,0),MATCH($C$7,'Energy Model tables'!$D$80:$G$80,0))</f>
        <v>-23600.166038556235</v>
      </c>
      <c r="T13" s="745">
        <f>INDEX('Energy Model tables'!$J$81:$M$96,MATCH($B13,'Energy Model tables'!$I$81:$I$96,0),MATCH($C$7,'Energy Model tables'!$J$80:$M$80,0))</f>
        <v>-20656.124611440384</v>
      </c>
    </row>
    <row r="14" spans="1:20" x14ac:dyDescent="0.3">
      <c r="B14" s="417">
        <v>8</v>
      </c>
      <c r="C14" s="735"/>
      <c r="D14" s="745">
        <f>INDEX('Energy Model tables'!$D$6:$G$21,MATCH($B14,'Energy Model tables'!$C$6:$C$21,0),MATCH($C$7,'Energy Model tables'!$D$5:$G$5,0))</f>
        <v>11.617000000000001</v>
      </c>
      <c r="E14" s="745">
        <f>HLOOKUP($C$7,'Energy Model tables'!$D$24:$G$25,2,FALSE)</f>
        <v>269.5</v>
      </c>
      <c r="F14" s="745">
        <f>'Energy Model tables'!$D$28</f>
        <v>471.64</v>
      </c>
      <c r="G14" s="745">
        <f>IF($C14&lt;&gt;"",HLOOKUP($C$7,'Energy Model tables'!$D$31:$G$32,2,FALSE),0)</f>
        <v>0</v>
      </c>
      <c r="H14" s="745">
        <f>INDEX('Energy Model tables'!$D$37:$G$52,MATCH($B14,'Energy Model tables'!$C$37:$C$52,0),MATCH($C$7,'Energy Model tables'!$D$36:$G$36,0))</f>
        <v>1945.3866666666668</v>
      </c>
      <c r="I14" s="745">
        <f>IF($C14&lt;&gt;"",HLOOKUP($C$7,'Energy Model tables'!$D$55:$G$56,2,FALSE),0)</f>
        <v>0</v>
      </c>
      <c r="J14" s="745">
        <f t="shared" si="0"/>
        <v>1945.3866666666668</v>
      </c>
      <c r="K14" s="745">
        <f t="shared" si="1"/>
        <v>3130.7815000000001</v>
      </c>
      <c r="L14" s="745">
        <f t="shared" si="2"/>
        <v>3602.4214999999999</v>
      </c>
      <c r="M14" s="745">
        <f t="shared" si="3"/>
        <v>1185.3948333333333</v>
      </c>
      <c r="N14" s="745">
        <f t="shared" si="4"/>
        <v>1657.0348333333332</v>
      </c>
      <c r="O14" s="745">
        <f t="shared" si="5"/>
        <v>-20138.59583333334</v>
      </c>
      <c r="P14" s="745">
        <f t="shared" si="5"/>
        <v>-16365.475833333343</v>
      </c>
      <c r="Q14" s="745">
        <f>INDEX('Energy Model tables'!$D$61:$G$76,MATCH($B14,'Energy Model tables'!$C$61:$C$76,0),MATCH($C$7,'Energy Model tables'!$D$60:$G$60,0))</f>
        <v>980.73587123903883</v>
      </c>
      <c r="R14" s="745">
        <f>INDEX('Energy Model tables'!$J$61:$M$76,MATCH($B14,'Energy Model tables'!$I$61:$I$76,0),MATCH($C$7,'Energy Model tables'!$J$60:$M$60,0))</f>
        <v>1339.1435086576598</v>
      </c>
      <c r="S14" s="745">
        <f>INDEX('Energy Model tables'!$D$81:$G$96,MATCH($B14,'Energy Model tables'!$C$81:$C$96,0),MATCH($C$7,'Energy Model tables'!$D$80:$G$80,0))</f>
        <v>-22619.430167317198</v>
      </c>
      <c r="T14" s="745">
        <f>INDEX('Energy Model tables'!$J$81:$M$96,MATCH($B14,'Energy Model tables'!$I$81:$I$96,0),MATCH($C$7,'Energy Model tables'!$J$80:$M$80,0))</f>
        <v>-19316.981102782724</v>
      </c>
    </row>
    <row r="15" spans="1:20" x14ac:dyDescent="0.3">
      <c r="B15" s="417">
        <v>9</v>
      </c>
      <c r="C15" s="735"/>
      <c r="D15" s="745">
        <f>INDEX('Energy Model tables'!$D$6:$G$21,MATCH($B15,'Energy Model tables'!$C$6:$C$21,0),MATCH($C$7,'Energy Model tables'!$D$5:$G$5,0))</f>
        <v>11.617000000000001</v>
      </c>
      <c r="E15" s="745">
        <f>HLOOKUP($C$7,'Energy Model tables'!$D$24:$G$25,2,FALSE)</f>
        <v>269.5</v>
      </c>
      <c r="F15" s="745">
        <f>'Energy Model tables'!$D$28</f>
        <v>471.64</v>
      </c>
      <c r="G15" s="745">
        <f>IF($C15&lt;&gt;"",HLOOKUP($C$7,'Energy Model tables'!$D$31:$G$32,2,FALSE),0)</f>
        <v>0</v>
      </c>
      <c r="H15" s="745">
        <f>INDEX('Energy Model tables'!$D$37:$G$52,MATCH($B15,'Energy Model tables'!$C$37:$C$52,0),MATCH($C$7,'Energy Model tables'!$D$36:$G$36,0))</f>
        <v>1945.3866666666668</v>
      </c>
      <c r="I15" s="745">
        <f>IF($C15&lt;&gt;"",HLOOKUP($C$7,'Energy Model tables'!$D$55:$G$56,2,FALSE),0)</f>
        <v>0</v>
      </c>
      <c r="J15" s="745">
        <f t="shared" si="0"/>
        <v>1945.3866666666668</v>
      </c>
      <c r="K15" s="745">
        <f t="shared" si="1"/>
        <v>3130.7815000000001</v>
      </c>
      <c r="L15" s="745">
        <f t="shared" si="2"/>
        <v>3602.4214999999999</v>
      </c>
      <c r="M15" s="745">
        <f t="shared" si="3"/>
        <v>1185.3948333333333</v>
      </c>
      <c r="N15" s="745">
        <f t="shared" si="4"/>
        <v>1657.0348333333332</v>
      </c>
      <c r="O15" s="745">
        <f t="shared" si="5"/>
        <v>-18953.201000000008</v>
      </c>
      <c r="P15" s="745">
        <f t="shared" si="5"/>
        <v>-14708.44100000001</v>
      </c>
      <c r="Q15" s="745">
        <f>INDEX('Energy Model tables'!$D$61:$G$76,MATCH($B15,'Energy Model tables'!$C$61:$C$76,0),MATCH($C$7,'Energy Model tables'!$D$60:$G$60,0))</f>
        <v>943.01526080676786</v>
      </c>
      <c r="R15" s="745">
        <f>INDEX('Energy Model tables'!$J$61:$M$76,MATCH($B15,'Energy Model tables'!$I$61:$I$76,0),MATCH($C$7,'Energy Model tables'!$J$60:$M$60,0))</f>
        <v>1287.6379890939033</v>
      </c>
      <c r="S15" s="745">
        <f>INDEX('Energy Model tables'!$D$81:$G$96,MATCH($B15,'Energy Model tables'!$C$81:$C$96,0),MATCH($C$7,'Energy Model tables'!$D$80:$G$80,0))</f>
        <v>-21676.414906510428</v>
      </c>
      <c r="T15" s="745">
        <f>INDEX('Energy Model tables'!$J$81:$M$96,MATCH($B15,'Energy Model tables'!$I$81:$I$96,0),MATCH($C$7,'Energy Model tables'!$J$80:$M$80,0))</f>
        <v>-18029.343113688821</v>
      </c>
    </row>
    <row r="16" spans="1:20" x14ac:dyDescent="0.3">
      <c r="B16" s="417">
        <v>10</v>
      </c>
      <c r="C16" s="735"/>
      <c r="D16" s="745">
        <f>INDEX('Energy Model tables'!$D$6:$G$21,MATCH($B16,'Energy Model tables'!$C$6:$C$21,0),MATCH($C$7,'Energy Model tables'!$D$5:$G$5,0))</f>
        <v>11.617000000000001</v>
      </c>
      <c r="E16" s="745">
        <f>HLOOKUP($C$7,'Energy Model tables'!$D$24:$G$25,2,FALSE)</f>
        <v>269.5</v>
      </c>
      <c r="F16" s="745">
        <f>'Energy Model tables'!$D$28</f>
        <v>471.64</v>
      </c>
      <c r="G16" s="745">
        <f>IF($C16&lt;&gt;"",HLOOKUP($C$7,'Energy Model tables'!$D$31:$G$32,2,FALSE),0)</f>
        <v>0</v>
      </c>
      <c r="H16" s="745">
        <f>INDEX('Energy Model tables'!$D$37:$G$52,MATCH($B16,'Energy Model tables'!$C$37:$C$52,0),MATCH($C$7,'Energy Model tables'!$D$36:$G$36,0))</f>
        <v>1945.3866666666668</v>
      </c>
      <c r="I16" s="745">
        <f>IF($C16&lt;&gt;"",HLOOKUP($C$7,'Energy Model tables'!$D$55:$G$56,2,FALSE),0)</f>
        <v>0</v>
      </c>
      <c r="J16" s="745">
        <f t="shared" si="0"/>
        <v>1945.3866666666668</v>
      </c>
      <c r="K16" s="745">
        <f t="shared" si="1"/>
        <v>3130.7815000000001</v>
      </c>
      <c r="L16" s="745">
        <f t="shared" si="2"/>
        <v>3602.4214999999999</v>
      </c>
      <c r="M16" s="745">
        <f t="shared" si="3"/>
        <v>1185.3948333333333</v>
      </c>
      <c r="N16" s="745">
        <f t="shared" si="4"/>
        <v>1657.0348333333332</v>
      </c>
      <c r="O16" s="745">
        <f t="shared" si="5"/>
        <v>-17767.806166666676</v>
      </c>
      <c r="P16" s="745">
        <f t="shared" si="5"/>
        <v>-13051.406166666677</v>
      </c>
      <c r="Q16" s="745">
        <f>INDEX('Energy Model tables'!$D$61:$G$76,MATCH($B16,'Energy Model tables'!$C$61:$C$76,0),MATCH($C$7,'Energy Model tables'!$D$60:$G$60,0))</f>
        <v>906.74544308343059</v>
      </c>
      <c r="R16" s="745">
        <f>INDEX('Energy Model tables'!$J$61:$M$76,MATCH($B16,'Energy Model tables'!$I$61:$I$76,0),MATCH($C$7,'Energy Model tables'!$J$60:$M$60,0))</f>
        <v>1238.1134510518302</v>
      </c>
      <c r="S16" s="745">
        <f>INDEX('Energy Model tables'!$D$81:$G$96,MATCH($B16,'Energy Model tables'!$C$81:$C$96,0),MATCH($C$7,'Energy Model tables'!$D$80:$G$80,0))</f>
        <v>-20769.669463426999</v>
      </c>
      <c r="T16" s="745">
        <f>INDEX('Energy Model tables'!$J$81:$M$96,MATCH($B16,'Energy Model tables'!$I$81:$I$96,0),MATCH($C$7,'Energy Model tables'!$J$80:$M$80,0))</f>
        <v>-16791.22966263699</v>
      </c>
    </row>
    <row r="17" spans="2:20" x14ac:dyDescent="0.3">
      <c r="B17" s="417">
        <v>11</v>
      </c>
      <c r="C17" s="735"/>
      <c r="D17" s="745">
        <f>INDEX('Energy Model tables'!$D$6:$G$21,MATCH($B17,'Energy Model tables'!$C$6:$C$21,0),MATCH($C$7,'Energy Model tables'!$D$5:$G$5,0))</f>
        <v>11.617000000000001</v>
      </c>
      <c r="E17" s="745">
        <f>HLOOKUP($C$7,'Energy Model tables'!$D$24:$G$25,2,FALSE)</f>
        <v>269.5</v>
      </c>
      <c r="F17" s="745">
        <f>'Energy Model tables'!$D$28</f>
        <v>471.64</v>
      </c>
      <c r="G17" s="745">
        <f>IF($C17&lt;&gt;"",HLOOKUP($C$7,'Energy Model tables'!$D$31:$G$32,2,FALSE),0)</f>
        <v>0</v>
      </c>
      <c r="H17" s="745">
        <f>INDEX('Energy Model tables'!$D$37:$G$52,MATCH($B17,'Energy Model tables'!$C$37:$C$52,0),MATCH($C$7,'Energy Model tables'!$D$36:$G$36,0))</f>
        <v>1945.3866666666668</v>
      </c>
      <c r="I17" s="745">
        <f>IF($C17&lt;&gt;"",HLOOKUP($C$7,'Energy Model tables'!$D$55:$G$56,2,FALSE),0)</f>
        <v>0</v>
      </c>
      <c r="J17" s="745">
        <f t="shared" si="0"/>
        <v>1945.3866666666668</v>
      </c>
      <c r="K17" s="745">
        <f t="shared" si="1"/>
        <v>3130.7815000000001</v>
      </c>
      <c r="L17" s="745">
        <f t="shared" si="2"/>
        <v>3602.4214999999999</v>
      </c>
      <c r="M17" s="745">
        <f t="shared" si="3"/>
        <v>1185.3948333333333</v>
      </c>
      <c r="N17" s="745">
        <f t="shared" si="4"/>
        <v>1657.0348333333332</v>
      </c>
      <c r="O17" s="745">
        <f t="shared" si="5"/>
        <v>-16582.411333333344</v>
      </c>
      <c r="P17" s="745">
        <f t="shared" si="5"/>
        <v>-11394.371333333344</v>
      </c>
      <c r="Q17" s="745">
        <f>INDEX('Energy Model tables'!$D$61:$G$76,MATCH($B17,'Energy Model tables'!$C$61:$C$76,0),MATCH($C$7,'Energy Model tables'!$D$60:$G$60,0))</f>
        <v>871.87061834945246</v>
      </c>
      <c r="R17" s="745">
        <f>INDEX('Energy Model tables'!$J$61:$M$76,MATCH($B17,'Energy Model tables'!$I$61:$I$76,0),MATCH($C$7,'Energy Model tables'!$J$60:$M$60,0))</f>
        <v>1190.4937029344521</v>
      </c>
      <c r="S17" s="745">
        <f>INDEX('Energy Model tables'!$D$81:$G$96,MATCH($B17,'Energy Model tables'!$C$81:$C$96,0),MATCH($C$7,'Energy Model tables'!$D$80:$G$80,0))</f>
        <v>-19897.798845077545</v>
      </c>
      <c r="T17" s="745">
        <f>INDEX('Energy Model tables'!$J$81:$M$96,MATCH($B17,'Energy Model tables'!$I$81:$I$96,0),MATCH($C$7,'Energy Model tables'!$J$80:$M$80,0))</f>
        <v>-15600.735959702537</v>
      </c>
    </row>
    <row r="18" spans="2:20" x14ac:dyDescent="0.3">
      <c r="B18" s="417">
        <v>12</v>
      </c>
      <c r="C18" s="735"/>
      <c r="D18" s="745">
        <f>INDEX('Energy Model tables'!$D$6:$G$21,MATCH($B18,'Energy Model tables'!$C$6:$C$21,0),MATCH($C$7,'Energy Model tables'!$D$5:$G$5,0))</f>
        <v>11.617000000000001</v>
      </c>
      <c r="E18" s="745">
        <f>HLOOKUP($C$7,'Energy Model tables'!$D$24:$G$25,2,FALSE)</f>
        <v>269.5</v>
      </c>
      <c r="F18" s="745">
        <f>'Energy Model tables'!$D$28</f>
        <v>471.64</v>
      </c>
      <c r="G18" s="745">
        <f>IF($C18&lt;&gt;"",HLOOKUP($C$7,'Energy Model tables'!$D$31:$G$32,2,FALSE),0)</f>
        <v>0</v>
      </c>
      <c r="H18" s="745">
        <f>INDEX('Energy Model tables'!$D$37:$G$52,MATCH($B18,'Energy Model tables'!$C$37:$C$52,0),MATCH($C$7,'Energy Model tables'!$D$36:$G$36,0))</f>
        <v>1945.3866666666668</v>
      </c>
      <c r="I18" s="745">
        <f>IF($C18&lt;&gt;"",HLOOKUP($C$7,'Energy Model tables'!$D$55:$G$56,2,FALSE),0)</f>
        <v>0</v>
      </c>
      <c r="J18" s="745">
        <f t="shared" si="0"/>
        <v>1945.3866666666668</v>
      </c>
      <c r="K18" s="745">
        <f t="shared" si="1"/>
        <v>3130.7815000000001</v>
      </c>
      <c r="L18" s="745">
        <f t="shared" si="2"/>
        <v>3602.4214999999999</v>
      </c>
      <c r="M18" s="745">
        <f t="shared" si="3"/>
        <v>1185.3948333333333</v>
      </c>
      <c r="N18" s="745">
        <f t="shared" si="4"/>
        <v>1657.0348333333332</v>
      </c>
      <c r="O18" s="745">
        <f t="shared" si="5"/>
        <v>-15397.016500000011</v>
      </c>
      <c r="P18" s="745">
        <f t="shared" si="5"/>
        <v>-9737.3365000000103</v>
      </c>
      <c r="Q18" s="745">
        <f>INDEX('Energy Model tables'!$D$61:$G$76,MATCH($B18,'Energy Model tables'!$C$61:$C$76,0),MATCH($C$7,'Energy Model tables'!$D$60:$G$60,0))</f>
        <v>838.33713302831973</v>
      </c>
      <c r="R18" s="745">
        <f>INDEX('Energy Model tables'!$J$61:$M$76,MATCH($B18,'Energy Model tables'!$I$61:$I$76,0),MATCH($C$7,'Energy Model tables'!$J$60:$M$60,0))</f>
        <v>1144.7054835908193</v>
      </c>
      <c r="S18" s="745">
        <f>INDEX('Energy Model tables'!$D$81:$G$96,MATCH($B18,'Energy Model tables'!$C$81:$C$96,0),MATCH($C$7,'Energy Model tables'!$D$80:$G$80,0))</f>
        <v>-19059.461712049226</v>
      </c>
      <c r="T18" s="745">
        <f>INDEX('Energy Model tables'!$J$81:$M$96,MATCH($B18,'Energy Model tables'!$I$81:$I$96,0),MATCH($C$7,'Energy Model tables'!$J$80:$M$80,0))</f>
        <v>-14456.030476111719</v>
      </c>
    </row>
    <row r="19" spans="2:20" x14ac:dyDescent="0.3">
      <c r="B19" s="417">
        <v>13</v>
      </c>
      <c r="C19" s="735"/>
      <c r="D19" s="745">
        <f>INDEX('Energy Model tables'!$D$6:$G$21,MATCH($B19,'Energy Model tables'!$C$6:$C$21,0),MATCH($C$7,'Energy Model tables'!$D$5:$G$5,0))</f>
        <v>11.617000000000001</v>
      </c>
      <c r="E19" s="745">
        <f>HLOOKUP($C$7,'Energy Model tables'!$D$24:$G$25,2,FALSE)</f>
        <v>269.5</v>
      </c>
      <c r="F19" s="745">
        <f>'Energy Model tables'!$D$28</f>
        <v>471.64</v>
      </c>
      <c r="G19" s="745">
        <f>IF($C19&lt;&gt;"",HLOOKUP($C$7,'Energy Model tables'!$D$31:$G$32,2,FALSE),0)</f>
        <v>0</v>
      </c>
      <c r="H19" s="745">
        <f>INDEX('Energy Model tables'!$D$37:$G$52,MATCH($B19,'Energy Model tables'!$C$37:$C$52,0),MATCH($C$7,'Energy Model tables'!$D$36:$G$36,0))</f>
        <v>1945.3866666666668</v>
      </c>
      <c r="I19" s="745">
        <f>IF($C19&lt;&gt;"",HLOOKUP($C$7,'Energy Model tables'!$D$55:$G$56,2,FALSE),0)</f>
        <v>0</v>
      </c>
      <c r="J19" s="745">
        <f t="shared" si="0"/>
        <v>1945.3866666666668</v>
      </c>
      <c r="K19" s="745">
        <f t="shared" si="1"/>
        <v>3130.7815000000001</v>
      </c>
      <c r="L19" s="745">
        <f t="shared" si="2"/>
        <v>3602.4214999999999</v>
      </c>
      <c r="M19" s="745">
        <f t="shared" si="3"/>
        <v>1185.3948333333333</v>
      </c>
      <c r="N19" s="745">
        <f t="shared" si="4"/>
        <v>1657.0348333333332</v>
      </c>
      <c r="O19" s="745">
        <f t="shared" si="5"/>
        <v>-14211.621666666677</v>
      </c>
      <c r="P19" s="745">
        <f t="shared" si="5"/>
        <v>-8080.3016666666772</v>
      </c>
      <c r="Q19" s="745">
        <f>INDEX('Energy Model tables'!$D$61:$G$76,MATCH($B19,'Energy Model tables'!$C$61:$C$76,0),MATCH($C$7,'Energy Model tables'!$D$60:$G$60,0))</f>
        <v>806.093397142615</v>
      </c>
      <c r="R19" s="745">
        <f>INDEX('Energy Model tables'!$J$61:$M$76,MATCH($B19,'Energy Model tables'!$I$61:$I$76,0),MATCH($C$7,'Energy Model tables'!$J$60:$M$60,0))</f>
        <v>1100.6783496065568</v>
      </c>
      <c r="S19" s="745">
        <f>INDEX('Energy Model tables'!$D$81:$G$96,MATCH($B19,'Energy Model tables'!$C$81:$C$96,0),MATCH($C$7,'Energy Model tables'!$D$80:$G$80,0))</f>
        <v>-18253.368314906609</v>
      </c>
      <c r="T19" s="745">
        <f>INDEX('Energy Model tables'!$J$81:$M$96,MATCH($B19,'Energy Model tables'!$I$81:$I$96,0),MATCH($C$7,'Energy Model tables'!$J$80:$M$80,0))</f>
        <v>-13355.352126505162</v>
      </c>
    </row>
    <row r="20" spans="2:20" x14ac:dyDescent="0.3">
      <c r="B20" s="417">
        <v>14</v>
      </c>
      <c r="C20" s="735"/>
      <c r="D20" s="745">
        <f>INDEX('Energy Model tables'!$D$6:$G$21,MATCH($B20,'Energy Model tables'!$C$6:$C$21,0),MATCH($C$7,'Energy Model tables'!$D$5:$G$5,0))</f>
        <v>11.617000000000001</v>
      </c>
      <c r="E20" s="745">
        <f>HLOOKUP($C$7,'Energy Model tables'!$D$24:$G$25,2,FALSE)</f>
        <v>269.5</v>
      </c>
      <c r="F20" s="745">
        <f>'Energy Model tables'!$D$28</f>
        <v>471.64</v>
      </c>
      <c r="G20" s="745">
        <f>IF($C20&lt;&gt;"",HLOOKUP($C$7,'Energy Model tables'!$D$31:$G$32,2,FALSE),0)</f>
        <v>0</v>
      </c>
      <c r="H20" s="745">
        <f>INDEX('Energy Model tables'!$D$37:$G$52,MATCH($B20,'Energy Model tables'!$C$37:$C$52,0),MATCH($C$7,'Energy Model tables'!$D$36:$G$36,0))</f>
        <v>1945.3866666666668</v>
      </c>
      <c r="I20" s="745">
        <f>IF($C20&lt;&gt;"",HLOOKUP($C$7,'Energy Model tables'!$D$55:$G$56,2,FALSE),0)</f>
        <v>0</v>
      </c>
      <c r="J20" s="745">
        <f t="shared" si="0"/>
        <v>1945.3866666666668</v>
      </c>
      <c r="K20" s="745">
        <f t="shared" si="1"/>
        <v>3130.7815000000001</v>
      </c>
      <c r="L20" s="745">
        <f t="shared" si="2"/>
        <v>3602.4214999999999</v>
      </c>
      <c r="M20" s="745">
        <f t="shared" si="3"/>
        <v>1185.3948333333333</v>
      </c>
      <c r="N20" s="745">
        <f t="shared" si="4"/>
        <v>1657.0348333333332</v>
      </c>
      <c r="O20" s="745">
        <f t="shared" si="5"/>
        <v>-13026.226833333343</v>
      </c>
      <c r="P20" s="745">
        <f t="shared" si="5"/>
        <v>-6423.266833333344</v>
      </c>
      <c r="Q20" s="745">
        <f>INDEX('Energy Model tables'!$D$61:$G$76,MATCH($B20,'Energy Model tables'!$C$61:$C$76,0),MATCH($C$7,'Energy Model tables'!$D$60:$G$60,0))</f>
        <v>775.08980494482205</v>
      </c>
      <c r="R20" s="745">
        <f>INDEX('Energy Model tables'!$J$61:$M$76,MATCH($B20,'Energy Model tables'!$I$61:$I$76,0),MATCH($C$7,'Energy Model tables'!$J$60:$M$60,0))</f>
        <v>1058.3445669293815</v>
      </c>
      <c r="S20" s="745">
        <f>INDEX('Energy Model tables'!$D$81:$G$96,MATCH($B20,'Energy Model tables'!$C$81:$C$96,0),MATCH($C$7,'Energy Model tables'!$D$80:$G$80,0))</f>
        <v>-17478.278509961787</v>
      </c>
      <c r="T20" s="745">
        <f>INDEX('Energy Model tables'!$J$81:$M$96,MATCH($B20,'Energy Model tables'!$I$81:$I$96,0),MATCH($C$7,'Energy Model tables'!$J$80:$M$80,0))</f>
        <v>-12297.007559575781</v>
      </c>
    </row>
    <row r="21" spans="2:20" x14ac:dyDescent="0.3">
      <c r="B21" s="417">
        <v>15</v>
      </c>
      <c r="C21" s="735"/>
      <c r="D21" s="745">
        <f>INDEX('Energy Model tables'!$D$6:$G$21,MATCH($B21,'Energy Model tables'!$C$6:$C$21,0),MATCH($C$7,'Energy Model tables'!$D$5:$G$5,0))</f>
        <v>11.617000000000001</v>
      </c>
      <c r="E21" s="745">
        <f>HLOOKUP($C$7,'Energy Model tables'!$D$24:$G$25,2,FALSE)</f>
        <v>269.5</v>
      </c>
      <c r="F21" s="745">
        <f>'Energy Model tables'!$D$28</f>
        <v>471.64</v>
      </c>
      <c r="G21" s="745">
        <f>IF($C21&lt;&gt;"",HLOOKUP($C$7,'Energy Model tables'!$D$31:$G$32,2,FALSE),0)</f>
        <v>0</v>
      </c>
      <c r="H21" s="745">
        <f>INDEX('Energy Model tables'!$D$37:$G$52,MATCH($B21,'Energy Model tables'!$C$37:$C$52,0),MATCH($C$7,'Energy Model tables'!$D$36:$G$36,0))</f>
        <v>1945.3866666666668</v>
      </c>
      <c r="I21" s="745">
        <f>IF($C21&lt;&gt;"",HLOOKUP($C$7,'Energy Model tables'!$D$55:$G$56,2,FALSE),0)</f>
        <v>0</v>
      </c>
      <c r="J21" s="745">
        <f t="shared" si="0"/>
        <v>1945.3866666666668</v>
      </c>
      <c r="K21" s="745">
        <f t="shared" si="1"/>
        <v>3130.7815000000001</v>
      </c>
      <c r="L21" s="745">
        <f t="shared" si="2"/>
        <v>3602.4214999999999</v>
      </c>
      <c r="M21" s="745">
        <f t="shared" si="3"/>
        <v>1185.3948333333333</v>
      </c>
      <c r="N21" s="745">
        <f t="shared" si="4"/>
        <v>1657.0348333333332</v>
      </c>
      <c r="O21" s="745">
        <f t="shared" si="5"/>
        <v>-11840.832000000009</v>
      </c>
      <c r="P21" s="745">
        <f t="shared" si="5"/>
        <v>-4766.2320000000109</v>
      </c>
      <c r="Q21" s="745">
        <f>INDEX('Energy Model tables'!$D$61:$G$76,MATCH($B21,'Energy Model tables'!$C$61:$C$76,0),MATCH($C$7,'Energy Model tables'!$D$60:$G$60,0))</f>
        <v>745.27865860079044</v>
      </c>
      <c r="R21" s="745">
        <f>INDEX('Energy Model tables'!$J$61:$M$76,MATCH($B21,'Energy Model tables'!$I$61:$I$76,0),MATCH($C$7,'Energy Model tables'!$J$60:$M$60,0))</f>
        <v>1017.6390066628669</v>
      </c>
      <c r="S21" s="745">
        <f>INDEX('Energy Model tables'!$D$81:$G$96,MATCH($B21,'Energy Model tables'!$C$81:$C$96,0),MATCH($C$7,'Energy Model tables'!$D$80:$G$80,0))</f>
        <v>-16732.999851360997</v>
      </c>
      <c r="T21" s="745">
        <f>INDEX('Energy Model tables'!$J$81:$M$96,MATCH($B21,'Energy Model tables'!$I$81:$I$96,0),MATCH($C$7,'Energy Model tables'!$J$80:$M$80,0))</f>
        <v>-11279.368552912914</v>
      </c>
    </row>
    <row r="22" spans="2:20" x14ac:dyDescent="0.3">
      <c r="B22" s="558">
        <v>16</v>
      </c>
      <c r="C22" s="739"/>
      <c r="D22" s="746">
        <f>INDEX('Energy Model tables'!$D$6:$G$21,MATCH($B22,'Energy Model tables'!$C$6:$C$21,0),MATCH($C$7,'Energy Model tables'!$D$5:$G$5,0))</f>
        <v>11.617000000000001</v>
      </c>
      <c r="E22" s="746">
        <f>HLOOKUP($C$7,'Energy Model tables'!$D$24:$G$25,2,FALSE)</f>
        <v>269.5</v>
      </c>
      <c r="F22" s="746">
        <f>'Energy Model tables'!$D$28</f>
        <v>471.64</v>
      </c>
      <c r="G22" s="746">
        <f>IF($C22&lt;&gt;"",HLOOKUP($C$7,'Energy Model tables'!$D$31:$G$32,2,FALSE),0)</f>
        <v>0</v>
      </c>
      <c r="H22" s="746">
        <f>INDEX('Energy Model tables'!$D$37:$G$52,MATCH($B22,'Energy Model tables'!$C$37:$C$52,0),MATCH($C$7,'Energy Model tables'!$D$36:$G$36,0))</f>
        <v>1945.3866666666668</v>
      </c>
      <c r="I22" s="746">
        <f>IF($C7&lt;&gt;"",HLOOKUP($C$7,'Energy Model tables'!$D$55:$G$56,2,FALSE),0)</f>
        <v>500</v>
      </c>
      <c r="J22" s="746">
        <f t="shared" si="0"/>
        <v>2445.3866666666668</v>
      </c>
      <c r="K22" s="746">
        <f t="shared" si="1"/>
        <v>3130.7815000000001</v>
      </c>
      <c r="L22" s="746">
        <f t="shared" si="2"/>
        <v>3602.4214999999999</v>
      </c>
      <c r="M22" s="746">
        <f t="shared" si="3"/>
        <v>685.39483333333328</v>
      </c>
      <c r="N22" s="746">
        <f t="shared" si="4"/>
        <v>1157.0348333333332</v>
      </c>
      <c r="O22" s="746">
        <f t="shared" si="5"/>
        <v>-11155.437166666676</v>
      </c>
      <c r="P22" s="746">
        <f t="shared" si="5"/>
        <v>-3609.1971666666777</v>
      </c>
      <c r="Q22" s="746">
        <f>INDEX('Energy Model tables'!$D$61:$G$76,MATCH($B22,'Energy Model tables'!$C$61:$C$76,0),MATCH($C$7,'Energy Model tables'!$D$60:$G$60,0))</f>
        <v>711.06144978131965</v>
      </c>
      <c r="R22" s="746">
        <f>INDEX('Energy Model tables'!$J$61:$M$76,MATCH($B22,'Energy Model tables'!$I$61:$I$76,0),MATCH($C$7,'Energy Model tables'!$J$60:$M$60,0))</f>
        <v>972.94639984100854</v>
      </c>
      <c r="S22" s="746">
        <f>INDEX('Energy Model tables'!$D$81:$G$96,MATCH($B22,'Energy Model tables'!$C$81:$C$96,0),MATCH($C$7,'Energy Model tables'!$D$80:$G$80,0))</f>
        <v>-16021.938401579677</v>
      </c>
      <c r="T22" s="746">
        <f>INDEX('Energy Model tables'!$J$81:$M$96,MATCH($B22,'Energy Model tables'!$I$81:$I$96,0),MATCH($C$7,'Energy Model tables'!$J$80:$M$80,0))</f>
        <v>-10306.422153071906</v>
      </c>
    </row>
    <row r="23" spans="2:20" x14ac:dyDescent="0.3">
      <c r="C23" s="363"/>
      <c r="N23" s="39"/>
      <c r="O23" s="39"/>
      <c r="P23" s="39"/>
      <c r="Q23" s="39"/>
      <c r="R23" s="39"/>
    </row>
    <row r="25" spans="2:20" x14ac:dyDescent="0.3">
      <c r="D25" s="24"/>
      <c r="E25" s="24"/>
      <c r="F25" s="24"/>
    </row>
    <row r="26" spans="2:20" ht="30" x14ac:dyDescent="0.3">
      <c r="B26" s="86"/>
      <c r="C26" s="359" t="s">
        <v>349</v>
      </c>
      <c r="D26" s="360" t="s">
        <v>350</v>
      </c>
      <c r="E26" s="360" t="s">
        <v>351</v>
      </c>
      <c r="F26" s="360" t="s">
        <v>352</v>
      </c>
    </row>
    <row r="27" spans="2:20" x14ac:dyDescent="0.3">
      <c r="B27" s="86"/>
      <c r="C27" s="359" t="s">
        <v>587</v>
      </c>
      <c r="D27" s="360" t="s">
        <v>571</v>
      </c>
      <c r="E27" s="360" t="s">
        <v>571</v>
      </c>
      <c r="F27" s="360" t="s">
        <v>586</v>
      </c>
    </row>
    <row r="28" spans="2:20" x14ac:dyDescent="0.3">
      <c r="B28" s="86" t="s">
        <v>287</v>
      </c>
      <c r="C28" s="361">
        <v>0</v>
      </c>
      <c r="D28" s="749">
        <f>'Energy NPV'!C6</f>
        <v>0.04</v>
      </c>
      <c r="E28" s="86"/>
      <c r="F28" s="86"/>
    </row>
    <row r="29" spans="2:20" x14ac:dyDescent="0.3">
      <c r="B29" s="86" t="s">
        <v>435</v>
      </c>
      <c r="C29" s="782">
        <f>O22</f>
        <v>-11155.437166666676</v>
      </c>
      <c r="D29" s="782">
        <f>S22</f>
        <v>-16021.938401579677</v>
      </c>
      <c r="E29" s="782">
        <f>D29*((1+$D$28)^16)/(((1+$D$28)^16)-1)</f>
        <v>-34375.068528943862</v>
      </c>
      <c r="F29" s="782">
        <f>E29*$D$28</f>
        <v>-1375.0027411577546</v>
      </c>
    </row>
    <row r="30" spans="2:20" x14ac:dyDescent="0.3">
      <c r="B30" s="86" t="s">
        <v>436</v>
      </c>
      <c r="C30" s="782">
        <f>P22</f>
        <v>-3609.1971666666777</v>
      </c>
      <c r="D30" s="782">
        <f>T22</f>
        <v>-10306.422153071906</v>
      </c>
      <c r="E30" s="782">
        <f>D30*((1+$D$28)^16)/(((1+$D$28)^16)-1)</f>
        <v>-22112.428528943878</v>
      </c>
      <c r="F30" s="782">
        <f>E30*$D$28</f>
        <v>-884.4971411577551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'Energy Model tables'!$D$5:$G$5</xm:f>
          </x14:formula1>
          <xm:sqref>C7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I106"/>
  <sheetViews>
    <sheetView topLeftCell="W89" workbookViewId="0">
      <selection activeCell="Z91" sqref="Z91:AD106"/>
    </sheetView>
  </sheetViews>
  <sheetFormatPr defaultColWidth="9" defaultRowHeight="14" x14ac:dyDescent="0.3"/>
  <cols>
    <col min="1" max="1" width="13.75" customWidth="1"/>
    <col min="2" max="5" width="9" customWidth="1"/>
  </cols>
  <sheetData>
    <row r="2" spans="2:35" ht="14.5" thickBot="1" x14ac:dyDescent="0.35"/>
    <row r="3" spans="2:35" ht="14.5" thickBot="1" x14ac:dyDescent="0.35">
      <c r="B3" s="352" t="s">
        <v>584</v>
      </c>
      <c r="C3" s="353"/>
      <c r="D3" s="353"/>
      <c r="E3" s="229"/>
      <c r="F3" s="200"/>
    </row>
    <row r="6" spans="2:35" x14ac:dyDescent="0.3">
      <c r="B6" s="86" t="s">
        <v>287</v>
      </c>
      <c r="C6" s="767">
        <f>'Arable NPV'!C6</f>
        <v>0.04</v>
      </c>
    </row>
    <row r="7" spans="2:35" x14ac:dyDescent="0.3">
      <c r="B7" s="24"/>
      <c r="C7" s="24"/>
      <c r="D7" s="24"/>
      <c r="E7" s="24"/>
      <c r="F7" s="24"/>
    </row>
    <row r="9" spans="2:35" x14ac:dyDescent="0.3">
      <c r="B9" s="211" t="s">
        <v>92</v>
      </c>
      <c r="C9" s="230"/>
      <c r="D9" s="230"/>
      <c r="E9" s="230"/>
      <c r="F9" s="194"/>
      <c r="G9" s="193"/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  <c r="AC9" s="102"/>
      <c r="AD9" s="102"/>
      <c r="AE9" s="102"/>
      <c r="AF9" s="102"/>
      <c r="AG9" s="102"/>
      <c r="AH9" s="102"/>
      <c r="AI9" s="102"/>
    </row>
    <row r="10" spans="2:35" x14ac:dyDescent="0.3">
      <c r="B10" s="203"/>
      <c r="C10" s="148"/>
      <c r="D10" s="148"/>
      <c r="E10" s="148"/>
      <c r="F10" s="1082"/>
      <c r="G10" s="1082"/>
      <c r="H10" s="1082"/>
      <c r="I10" s="148"/>
      <c r="J10" s="956" t="s">
        <v>86</v>
      </c>
      <c r="K10" s="957"/>
      <c r="L10" s="957"/>
      <c r="M10" s="957"/>
      <c r="N10" s="957"/>
      <c r="O10" s="957"/>
      <c r="P10" s="957"/>
      <c r="Q10" s="957"/>
      <c r="R10" s="957"/>
      <c r="S10" s="957"/>
      <c r="T10" s="957"/>
      <c r="U10" s="958"/>
      <c r="V10" s="1082"/>
      <c r="W10" s="1082"/>
      <c r="X10" s="148"/>
      <c r="Y10" s="148"/>
      <c r="Z10" s="1083" t="s">
        <v>273</v>
      </c>
      <c r="AA10" s="1084"/>
      <c r="AB10" s="1084"/>
      <c r="AC10" s="1084"/>
      <c r="AD10" s="1085"/>
      <c r="AE10" s="1083" t="s">
        <v>274</v>
      </c>
      <c r="AF10" s="1084"/>
      <c r="AG10" s="1084"/>
      <c r="AH10" s="1084"/>
      <c r="AI10" s="1085"/>
    </row>
    <row r="11" spans="2:35" ht="51" x14ac:dyDescent="0.3">
      <c r="B11" s="204" t="s">
        <v>275</v>
      </c>
      <c r="C11" s="205" t="s">
        <v>536</v>
      </c>
      <c r="D11" s="205" t="s">
        <v>293</v>
      </c>
      <c r="E11" s="205" t="s">
        <v>294</v>
      </c>
      <c r="F11" s="171" t="s">
        <v>622</v>
      </c>
      <c r="G11" s="171" t="s">
        <v>591</v>
      </c>
      <c r="H11" s="171" t="s">
        <v>623</v>
      </c>
      <c r="I11" s="205" t="s">
        <v>291</v>
      </c>
      <c r="J11" s="928" t="s">
        <v>253</v>
      </c>
      <c r="K11" s="929" t="s">
        <v>33</v>
      </c>
      <c r="L11" s="929" t="s">
        <v>520</v>
      </c>
      <c r="M11" s="929" t="s">
        <v>145</v>
      </c>
      <c r="N11" s="930" t="s">
        <v>542</v>
      </c>
      <c r="O11" s="930" t="s">
        <v>543</v>
      </c>
      <c r="P11" s="930" t="s">
        <v>544</v>
      </c>
      <c r="Q11" s="944" t="s">
        <v>180</v>
      </c>
      <c r="R11" s="944" t="s">
        <v>464</v>
      </c>
      <c r="S11" s="945" t="s">
        <v>465</v>
      </c>
      <c r="T11" s="944" t="s">
        <v>466</v>
      </c>
      <c r="U11" s="931" t="s">
        <v>292</v>
      </c>
      <c r="V11" s="205" t="s">
        <v>295</v>
      </c>
      <c r="W11" s="171" t="s">
        <v>279</v>
      </c>
      <c r="X11" s="171" t="s">
        <v>624</v>
      </c>
      <c r="Y11" s="171" t="s">
        <v>625</v>
      </c>
      <c r="Z11" s="195" t="s">
        <v>280</v>
      </c>
      <c r="AA11" s="171" t="s">
        <v>626</v>
      </c>
      <c r="AB11" s="171" t="s">
        <v>281</v>
      </c>
      <c r="AC11" s="171" t="s">
        <v>627</v>
      </c>
      <c r="AD11" s="198" t="s">
        <v>282</v>
      </c>
      <c r="AE11" s="195" t="s">
        <v>283</v>
      </c>
      <c r="AF11" s="171" t="s">
        <v>628</v>
      </c>
      <c r="AG11" s="171" t="s">
        <v>284</v>
      </c>
      <c r="AH11" s="171" t="s">
        <v>629</v>
      </c>
      <c r="AI11" s="198" t="s">
        <v>285</v>
      </c>
    </row>
    <row r="12" spans="2:35" x14ac:dyDescent="0.3">
      <c r="B12" s="210"/>
      <c r="C12" s="225" t="s">
        <v>537</v>
      </c>
      <c r="D12" s="225" t="s">
        <v>336</v>
      </c>
      <c r="E12" s="225" t="s">
        <v>573</v>
      </c>
      <c r="F12" s="225" t="s">
        <v>571</v>
      </c>
      <c r="G12" s="225" t="s">
        <v>571</v>
      </c>
      <c r="H12" s="225" t="s">
        <v>571</v>
      </c>
      <c r="I12" s="225" t="s">
        <v>571</v>
      </c>
      <c r="J12" s="932" t="s">
        <v>571</v>
      </c>
      <c r="K12" s="933" t="s">
        <v>571</v>
      </c>
      <c r="L12" s="933" t="s">
        <v>571</v>
      </c>
      <c r="M12" s="933" t="s">
        <v>571</v>
      </c>
      <c r="N12" s="933" t="s">
        <v>571</v>
      </c>
      <c r="O12" s="933" t="s">
        <v>571</v>
      </c>
      <c r="P12" s="933" t="s">
        <v>571</v>
      </c>
      <c r="Q12" s="934" t="s">
        <v>571</v>
      </c>
      <c r="R12" s="934" t="s">
        <v>571</v>
      </c>
      <c r="S12" s="934" t="s">
        <v>571</v>
      </c>
      <c r="T12" s="934" t="s">
        <v>573</v>
      </c>
      <c r="U12" s="935" t="s">
        <v>571</v>
      </c>
      <c r="V12" s="226" t="s">
        <v>571</v>
      </c>
      <c r="W12" s="226" t="s">
        <v>571</v>
      </c>
      <c r="X12" s="226" t="s">
        <v>571</v>
      </c>
      <c r="Y12" s="727" t="s">
        <v>571</v>
      </c>
      <c r="Z12" s="226" t="s">
        <v>571</v>
      </c>
      <c r="AA12" s="226" t="s">
        <v>571</v>
      </c>
      <c r="AB12" s="226" t="s">
        <v>571</v>
      </c>
      <c r="AC12" s="226" t="s">
        <v>571</v>
      </c>
      <c r="AD12" s="727" t="s">
        <v>571</v>
      </c>
      <c r="AE12" s="226" t="s">
        <v>571</v>
      </c>
      <c r="AF12" s="226" t="s">
        <v>571</v>
      </c>
      <c r="AG12" s="226" t="s">
        <v>571</v>
      </c>
      <c r="AH12" s="226" t="s">
        <v>571</v>
      </c>
      <c r="AI12" s="727" t="s">
        <v>571</v>
      </c>
    </row>
    <row r="13" spans="2:35" x14ac:dyDescent="0.3">
      <c r="B13" s="894">
        <v>1</v>
      </c>
      <c r="C13" s="923">
        <f>'Energy Inputs'!D30</f>
        <v>0</v>
      </c>
      <c r="D13" s="923">
        <f>C13*'Energy Inputs'!$D$24</f>
        <v>0</v>
      </c>
      <c r="E13" s="213">
        <f>'Energy margins'!$E$12</f>
        <v>269.5</v>
      </c>
      <c r="F13" s="923">
        <f t="shared" ref="F13:F28" si="0">D13*E13</f>
        <v>0</v>
      </c>
      <c r="G13" s="923">
        <f>'Energy Inputs'!$D$10</f>
        <v>471.64</v>
      </c>
      <c r="H13" s="213">
        <f>F13+G13</f>
        <v>471.64</v>
      </c>
      <c r="I13" s="924">
        <f>'Margins summary'!P20</f>
        <v>7477.7999999999993</v>
      </c>
      <c r="J13" s="965">
        <f>IF(ISERROR(IF(MOD(IF(AND(B13&gt;='Energy margins'!$F$44,B13&lt;='Energy margins'!$G$44),B13-'Energy margins'!$F$44,""),'Energy margins'!$H$44)=0,'Energy margins'!$E$44,0)),0,IF(MOD(IF(AND(B13&gt;='Energy margins'!$F$44,B13&lt;='Energy margins'!$G$44),B13-'Energy margins'!$F$44,""),'Energy margins'!$H$44)=0,'Energy margins'!$E$44,0))</f>
        <v>0</v>
      </c>
      <c r="K13" s="923">
        <f>IF(ISERROR(IF(MOD(IF(AND(B13&gt;='Energy margins'!$F$45,B13&lt;='Energy margins'!$G$45),B13-'Energy margins'!$F$45,""),'Energy margins'!$H$45)=0,'Energy margins'!$E$45,0)),0,IF(MOD(IF(AND(B13&gt;='Energy margins'!$F$45,B13&lt;='Energy margins'!$G$45),B13-'Energy margins'!$F$45,""),'Energy margins'!$H$45)=0,'Energy margins'!$E$45,0))</f>
        <v>0</v>
      </c>
      <c r="L13" s="923">
        <f>IF(ISERROR(IF(MOD(IF(AND(B13&gt;='Energy margins'!$F$46,B13&lt;='Energy margins'!$G$46),B13-'Energy margins'!$F$46,""),'Energy margins'!$H$46)=0,'Energy margins'!$E$46,0)),0,IF(MOD(IF(AND(B13&gt;='Energy margins'!$F$46,B13&lt;='Energy margins'!$G$46),B13-'Energy margins'!$F$46,""),'Energy margins'!$H$46)=0,'Energy margins'!$E$46,0))</f>
        <v>0</v>
      </c>
      <c r="M13" s="923">
        <f>IF(ISERROR(IF(MOD(IF(AND(B13&gt;='Energy margins'!$F$47,B13&lt;='Energy margins'!$G$47),B13-'Energy margins'!$F$47,""),'Energy margins'!$H$47)=0,'Energy margins'!$E$47,0)),0,IF(MOD(IF(AND(B13&gt;='Energy margins'!$F$47,B13&lt;='Energy margins'!$G$47),B13-'Energy margins'!$F$47,""),'Energy margins'!$H$47)=0,'Energy margins'!$E$47,0))</f>
        <v>0</v>
      </c>
      <c r="N13" s="923">
        <f>IF(ISERROR(IF(MOD(IF(AND(B13&gt;='Energy margins'!$F$50,B13&lt;='Energy margins'!$G$50),B13-'Energy margins'!$F$50,""),'Energy margins'!$H$50)=0,'Energy margins'!$E$50,0)),0,IF(MOD(IF(AND(B13&gt;='Energy margins'!$F$50,B13&lt;='Energy margins'!$G$50),B13-'Energy margins'!$F$50,""),'Energy margins'!$H$50)=0,'Energy margins'!$E$50,0))</f>
        <v>0</v>
      </c>
      <c r="O13" s="923">
        <f>IF(ISERROR(IF(MOD(IF(AND(B13&gt;='Energy margins'!$F$53,B13&lt;='Energy margins'!$G$53),B13-'Energy margins'!$F$53,""),'Energy margins'!$H$53)=0,'Energy margins'!$E$53,0)),0,IF(MOD(IF(AND(B13&gt;='Energy margins'!$F$53,B13&lt;='Energy margins'!$G$53),B13-'Energy margins'!$F$53,""),'Energy margins'!$H$53)=0,'Energy margins'!$E$53,0))</f>
        <v>0</v>
      </c>
      <c r="P13" s="923">
        <f>IF(ISERROR(IF(MOD(IF(AND(B13&gt;='Energy margins'!$F$56,B13&lt;='Energy margins'!$G$56),B13-'Energy margins'!$F$56,""),'Energy margins'!$H$56)=0,'Energy margins'!$E$56,0)),0,IF(MOD(IF(AND(B13&gt;='Energy margins'!$F$56,B13&lt;='Energy margins'!$G$56),B13-'Energy margins'!$F$56,""),'Energy margins'!$H$56)=0,'Energy margins'!$E$56,0))</f>
        <v>0</v>
      </c>
      <c r="Q13" s="923">
        <f>IF(ISERROR(IF(MOD(IF(AND(B13&gt;='Energy margins'!$F$59,B13&lt;='Energy margins'!$G$59),B13-'Energy margins'!$F$59,""),'Energy margins'!$H$59)=0,'Energy margins'!$E$59,0)),0,IF(MOD(IF(AND(B13&gt;='Energy margins'!$F$59,B13&lt;='Energy margins'!$G$59),B13-'Energy margins'!$F$59,""),'Energy margins'!$H$59)=0,'Energy margins'!$E$59,0))</f>
        <v>0</v>
      </c>
      <c r="R13" s="923">
        <f>IF(ISERROR(IF(MOD(IF(AND(B13&gt;='Energy margins'!$F$60,B13&lt;='Energy margins'!$G$60),B13-'Energy margins'!$F$60,""),'Energy margins'!$H$60)=0,'Energy margins'!$E$60,0)),0,IF(MOD(IF(AND(B13&gt;='Energy margins'!$F$60,B13&lt;='Energy margins'!$G$60),B13-'Energy margins'!$F$60,""),'Energy margins'!$H$60)=0,'Energy margins'!$E$60,0))</f>
        <v>0</v>
      </c>
      <c r="S13" s="923">
        <f>IF(ISERROR(IF(MOD(IF(AND(B13&gt;='Energy margins'!$F$61,B13&lt;='Energy margins'!$G$61),B13-'Energy margins'!$F$61,""),'Energy margins'!$H$61)=0,'Energy margins'!$E$61,0)),0,IF(MOD(IF(AND(B13&gt;='Energy margins'!$F$61,B13&lt;='Energy margins'!$G$61),B13-'Energy margins'!$F$61,""),'Energy margins'!$H$61)=0,'Energy margins'!$E$61,0))</f>
        <v>0</v>
      </c>
      <c r="T13" s="923">
        <f>IF(ISERROR(IF(MOD(IF(AND(B13&gt;='Energy margins'!$F$62,B13&lt;='Energy margins'!$G$62),B13-'Energy margins'!$F$62,""),'Energy margins'!$H$62)=0,'Energy margins'!$E$62,0)),0,IF(MOD(IF(AND(B13&gt;='Energy margins'!$F$62,B13&lt;='Energy margins'!$G$62),B13-'Energy margins'!$F$62,""),'Energy margins'!$H$62)=0,'Energy margins'!$E$62,0))</f>
        <v>0</v>
      </c>
      <c r="U13" s="937">
        <f>SUM(J13:T13)</f>
        <v>0</v>
      </c>
      <c r="V13" s="197"/>
      <c r="W13" s="197">
        <f>I13+U13+V13</f>
        <v>7477.7999999999993</v>
      </c>
      <c r="X13" s="197">
        <f t="shared" ref="X13:X28" si="1">F13-W13</f>
        <v>-7477.7999999999993</v>
      </c>
      <c r="Y13" s="197">
        <f t="shared" ref="Y13:Y28" si="2">H13-W13</f>
        <v>-7006.1599999999989</v>
      </c>
      <c r="Z13" s="1015">
        <f>F13/((1+$C$6)^($B13-1))</f>
        <v>0</v>
      </c>
      <c r="AA13" s="974">
        <f>G13/(1+$C$6)^($B13-1)</f>
        <v>471.64</v>
      </c>
      <c r="AB13" s="974">
        <f>W13/((1+$C$6)^($B13-1))</f>
        <v>7477.7999999999993</v>
      </c>
      <c r="AC13" s="974">
        <f t="shared" ref="AC13:AD13" si="3">X13/((1+$C$6)^($B13-1))</f>
        <v>-7477.7999999999993</v>
      </c>
      <c r="AD13" s="1016">
        <f t="shared" si="3"/>
        <v>-7006.1599999999989</v>
      </c>
      <c r="AE13" s="968">
        <f>Z13</f>
        <v>0</v>
      </c>
      <c r="AF13" s="969">
        <f>AA13</f>
        <v>471.64</v>
      </c>
      <c r="AG13" s="969">
        <f>AB13</f>
        <v>7477.7999999999993</v>
      </c>
      <c r="AH13" s="969">
        <f>AC13</f>
        <v>-7477.7999999999993</v>
      </c>
      <c r="AI13" s="970">
        <f>AD13</f>
        <v>-7006.1599999999989</v>
      </c>
    </row>
    <row r="14" spans="2:35" x14ac:dyDescent="0.3">
      <c r="B14" s="895">
        <v>2</v>
      </c>
      <c r="C14" s="913">
        <f>'Energy Inputs'!D31</f>
        <v>0</v>
      </c>
      <c r="D14" s="913">
        <f>C14*'Energy Inputs'!$D$24</f>
        <v>0</v>
      </c>
      <c r="E14" s="197">
        <f>'Energy margins'!$E$12</f>
        <v>269.5</v>
      </c>
      <c r="F14" s="913">
        <f t="shared" si="0"/>
        <v>0</v>
      </c>
      <c r="G14" s="913">
        <f>'Energy Inputs'!$D$10</f>
        <v>471.64</v>
      </c>
      <c r="H14" s="197">
        <f t="shared" ref="H14:H28" si="4">F14+G14</f>
        <v>471.64</v>
      </c>
      <c r="I14" s="199"/>
      <c r="J14" s="915">
        <f>IF(ISERROR(IF(MOD(IF(AND(B14&gt;='Energy margins'!$F$44,B14&lt;='Energy margins'!$G$44),B14-'Energy margins'!$F$44,""),'Energy margins'!$H$44)=0,'Energy margins'!$E$44,0)),0,IF(MOD(IF(AND(B14&gt;='Energy margins'!$F$44,B14&lt;='Energy margins'!$G$44),B14-'Energy margins'!$F$44,""),'Energy margins'!$H$44)=0,'Energy margins'!$E$44,0))</f>
        <v>0</v>
      </c>
      <c r="K14" s="913">
        <f>IF(ISERROR(IF(MOD(IF(AND(B14&gt;='Energy margins'!$F$45,B14&lt;='Energy margins'!$G$45),B14-'Energy margins'!$F$45,""),'Energy margins'!$H$45)=0,'Energy margins'!$E$45,0)),0,IF(MOD(IF(AND(B14&gt;='Energy margins'!$F$45,B14&lt;='Energy margins'!$G$45),B14-'Energy margins'!$F$45,""),'Energy margins'!$H$45)=0,'Energy margins'!$E$45,0))</f>
        <v>197.56800000000001</v>
      </c>
      <c r="L14" s="913">
        <f>IF(ISERROR(IF(MOD(IF(AND(B14&gt;='Energy margins'!$F$46,B14&lt;='Energy margins'!$G$46),B14-'Energy margins'!$F$46,""),'Energy margins'!$H$46)=0,'Energy margins'!$E$46,0)),0,IF(MOD(IF(AND(B14&gt;='Energy margins'!$F$46,B14&lt;='Energy margins'!$G$46),B14-'Energy margins'!$F$46,""),'Energy margins'!$H$46)=0,'Energy margins'!$E$46,0))</f>
        <v>490.00000000000006</v>
      </c>
      <c r="M14" s="913">
        <f>IF(ISERROR(IF(MOD(IF(AND(B14&gt;='Energy margins'!$F$47,B14&lt;='Energy margins'!$G$47),B14-'Energy margins'!$F$47,""),'Energy margins'!$H$47)=0,'Energy margins'!$E$47,0)),0,IF(MOD(IF(AND(B14&gt;='Energy margins'!$F$47,B14&lt;='Energy margins'!$G$47),B14-'Energy margins'!$F$47,""),'Energy margins'!$H$47)=0,'Energy margins'!$E$47,0))</f>
        <v>0</v>
      </c>
      <c r="N14" s="913">
        <f>IF(ISERROR(IF(MOD(IF(AND(B14&gt;='Energy margins'!$F$50,B14&lt;='Energy margins'!$G$50),B14-'Energy margins'!$F$50,""),'Energy margins'!$H$50)=0,'Energy margins'!$E$50,0)),0,IF(MOD(IF(AND(B14&gt;='Energy margins'!$F$50,B14&lt;='Energy margins'!$G$50),B14-'Energy margins'!$F$50,""),'Energy margins'!$H$50)=0,'Energy margins'!$E$50,0))</f>
        <v>0</v>
      </c>
      <c r="O14" s="913">
        <f>IF(ISERROR(IF(MOD(IF(AND(B14&gt;='Energy margins'!$F$53,B14&lt;='Energy margins'!$G$53),B14-'Energy margins'!$F$53,""),'Energy margins'!$H$53)=0,'Energy margins'!$E$53,0)),0,IF(MOD(IF(AND(B14&gt;='Energy margins'!$F$53,B14&lt;='Energy margins'!$G$53),B14-'Energy margins'!$F$53,""),'Energy margins'!$H$53)=0,'Energy margins'!$E$53,0))</f>
        <v>0</v>
      </c>
      <c r="P14" s="913">
        <f>IF(ISERROR(IF(MOD(IF(AND(B14&gt;='Energy margins'!$F$56,B14&lt;='Energy margins'!$G$56),B14-'Energy margins'!$F$56,""),'Energy margins'!$H$56)=0,'Energy margins'!$E$56,0)),0,IF(MOD(IF(AND(B14&gt;='Energy margins'!$F$56,B14&lt;='Energy margins'!$G$56),B14-'Energy margins'!$F$56,""),'Energy margins'!$H$56)=0,'Energy margins'!$E$56,0))</f>
        <v>0</v>
      </c>
      <c r="Q14" s="913">
        <f>IF(ISERROR(IF(MOD(IF(AND(B14&gt;='Energy margins'!$F$59,B14&lt;='Energy margins'!$G$59),B14-'Energy margins'!$F$59,""),'Energy margins'!$H$59)=0,'Energy margins'!$E$59,0)),0,IF(MOD(IF(AND(B14&gt;='Energy margins'!$F$59,B14&lt;='Energy margins'!$G$59),B14-'Energy margins'!$F$59,""),'Energy margins'!$H$59)=0,'Energy margins'!$E$59,0))</f>
        <v>0</v>
      </c>
      <c r="R14" s="913">
        <f>IF(ISERROR(IF(MOD(IF(AND(B14&gt;='Energy margins'!$F$60,B14&lt;='Energy margins'!$G$60),B14-'Energy margins'!$F$60,""),'Energy margins'!$H$60)=0,'Energy margins'!$E$60,0)),0,IF(MOD(IF(AND(B14&gt;='Energy margins'!$F$60,B14&lt;='Energy margins'!$G$60),B14-'Energy margins'!$F$60,""),'Energy margins'!$H$60)=0,'Energy margins'!$E$60,0))</f>
        <v>0</v>
      </c>
      <c r="S14" s="913">
        <f>IF(ISERROR(IF(MOD(IF(AND(B14&gt;='Energy margins'!$F$61,B14&lt;='Energy margins'!$G$61),B14-'Energy margins'!$F$61,""),'Energy margins'!$H$61)=0,'Energy margins'!$E$61,0)),0,IF(MOD(IF(AND(B14&gt;='Energy margins'!$F$61,B14&lt;='Energy margins'!$G$61),B14-'Energy margins'!$F$61,""),'Energy margins'!$H$61)=0,'Energy margins'!$E$61,0))</f>
        <v>0</v>
      </c>
      <c r="T14" s="913">
        <f>IF(ISERROR(IF(MOD(IF(AND(B14&gt;='Energy margins'!$F$62,B14&lt;='Energy margins'!$G$62),B14-'Energy margins'!$F$62,""),'Energy margins'!$H$62)=0,'Energy margins'!$E$62,0)),0,IF(MOD(IF(AND(B14&gt;='Energy margins'!$F$62,B14&lt;='Energy margins'!$G$62),B14-'Energy margins'!$F$62,""),'Energy margins'!$H$62)=0,'Energy margins'!$E$62,0))</f>
        <v>0</v>
      </c>
      <c r="U14" s="939">
        <f t="shared" ref="U14:U28" si="5">SUM(J14:T14)</f>
        <v>687.5680000000001</v>
      </c>
      <c r="V14" s="197"/>
      <c r="W14" s="197">
        <f t="shared" ref="W14:W28" si="6">I14+U14+V14</f>
        <v>687.5680000000001</v>
      </c>
      <c r="X14" s="197">
        <f t="shared" si="1"/>
        <v>-687.5680000000001</v>
      </c>
      <c r="Y14" s="197">
        <f t="shared" si="2"/>
        <v>-215.92800000000011</v>
      </c>
      <c r="Z14" s="968">
        <f t="shared" ref="Z14:Z28" si="7">F14/((1+$C$6)^($B14-1))</f>
        <v>0</v>
      </c>
      <c r="AA14" s="969">
        <f t="shared" ref="AA14:AA28" si="8">G14/(1+$C$6)^($B14-1)</f>
        <v>453.49999999999994</v>
      </c>
      <c r="AB14" s="969">
        <f t="shared" ref="AB14:AB28" si="9">W14/((1+$C$6)^($B14-1))</f>
        <v>661.12307692307695</v>
      </c>
      <c r="AC14" s="969">
        <f t="shared" ref="AC14:AC28" si="10">X14/((1+$C$6)^($B14-1))</f>
        <v>-661.12307692307695</v>
      </c>
      <c r="AD14" s="970">
        <f t="shared" ref="AD14:AD28" si="11">Y14/((1+$C$6)^($B14-1))</f>
        <v>-207.62307692307704</v>
      </c>
      <c r="AE14" s="968">
        <f>AE13+Z14</f>
        <v>0</v>
      </c>
      <c r="AF14" s="969">
        <f t="shared" ref="AF14:AI28" si="12">AF13+AA14</f>
        <v>925.13999999999987</v>
      </c>
      <c r="AG14" s="969">
        <f t="shared" si="12"/>
        <v>8138.9230769230762</v>
      </c>
      <c r="AH14" s="969">
        <f t="shared" si="12"/>
        <v>-8138.9230769230762</v>
      </c>
      <c r="AI14" s="970">
        <f t="shared" si="12"/>
        <v>-7213.7830769230759</v>
      </c>
    </row>
    <row r="15" spans="2:35" x14ac:dyDescent="0.3">
      <c r="B15" s="895">
        <v>3</v>
      </c>
      <c r="C15" s="913">
        <f>'Energy Inputs'!D32</f>
        <v>0</v>
      </c>
      <c r="D15" s="913">
        <f>C15*'Energy Inputs'!$D$24</f>
        <v>0</v>
      </c>
      <c r="E15" s="197">
        <f>'Energy margins'!$E$12</f>
        <v>269.5</v>
      </c>
      <c r="F15" s="913">
        <f t="shared" si="0"/>
        <v>0</v>
      </c>
      <c r="G15" s="913">
        <f>'Energy Inputs'!$D$10</f>
        <v>471.64</v>
      </c>
      <c r="H15" s="197">
        <f t="shared" si="4"/>
        <v>471.64</v>
      </c>
      <c r="I15" s="199"/>
      <c r="J15" s="915">
        <f>IF(ISERROR(IF(MOD(IF(AND(B15&gt;='Energy margins'!$F$44,B15&lt;='Energy margins'!$G$44),B15-'Energy margins'!$F$44,""),'Energy margins'!$H$44)=0,'Energy margins'!$E$44,0)),0,IF(MOD(IF(AND(B15&gt;='Energy margins'!$F$44,B15&lt;='Energy margins'!$G$44),B15-'Energy margins'!$F$44,""),'Energy margins'!$H$44)=0,'Energy margins'!$E$44,0))</f>
        <v>0</v>
      </c>
      <c r="K15" s="913">
        <f>IF(ISERROR(IF(MOD(IF(AND(B15&gt;='Energy margins'!$F$45,B15&lt;='Energy margins'!$G$45),B15-'Energy margins'!$F$45,""),'Energy margins'!$H$45)=0,'Energy margins'!$E$45,0)),0,IF(MOD(IF(AND(B15&gt;='Energy margins'!$F$45,B15&lt;='Energy margins'!$G$45),B15-'Energy margins'!$F$45,""),'Energy margins'!$H$45)=0,'Energy margins'!$E$45,0))</f>
        <v>197.56800000000001</v>
      </c>
      <c r="L15" s="913">
        <f>IF(ISERROR(IF(MOD(IF(AND(B15&gt;='Energy margins'!$F$46,B15&lt;='Energy margins'!$G$46),B15-'Energy margins'!$F$46,""),'Energy margins'!$H$46)=0,'Energy margins'!$E$46,0)),0,IF(MOD(IF(AND(B15&gt;='Energy margins'!$F$46,B15&lt;='Energy margins'!$G$46),B15-'Energy margins'!$F$46,""),'Energy margins'!$H$46)=0,'Energy margins'!$E$46,0))</f>
        <v>490.00000000000006</v>
      </c>
      <c r="M15" s="913">
        <f>IF(ISERROR(IF(MOD(IF(AND(B15&gt;='Energy margins'!$F$47,B15&lt;='Energy margins'!$G$47),B15-'Energy margins'!$F$47,""),'Energy margins'!$H$47)=0,'Energy margins'!$E$47,0)),0,IF(MOD(IF(AND(B15&gt;='Energy margins'!$F$47,B15&lt;='Energy margins'!$G$47),B15-'Energy margins'!$F$47,""),'Energy margins'!$H$47)=0,'Energy margins'!$E$47,0))</f>
        <v>0</v>
      </c>
      <c r="N15" s="913">
        <f>IF(ISERROR(IF(MOD(IF(AND(B15&gt;='Energy margins'!$F$50,B15&lt;='Energy margins'!$G$50),B15-'Energy margins'!$F$50,""),'Energy margins'!$H$50)=0,'Energy margins'!$E$50,0)),0,IF(MOD(IF(AND(B15&gt;='Energy margins'!$F$50,B15&lt;='Energy margins'!$G$50),B15-'Energy margins'!$F$50,""),'Energy margins'!$H$50)=0,'Energy margins'!$E$50,0))</f>
        <v>0</v>
      </c>
      <c r="O15" s="913">
        <f>IF(ISERROR(IF(MOD(IF(AND(B15&gt;='Energy margins'!$F$53,B15&lt;='Energy margins'!$G$53),B15-'Energy margins'!$F$53,""),'Energy margins'!$H$53)=0,'Energy margins'!$E$53,0)),0,IF(MOD(IF(AND(B15&gt;='Energy margins'!$F$53,B15&lt;='Energy margins'!$G$53),B15-'Energy margins'!$F$53,""),'Energy margins'!$H$53)=0,'Energy margins'!$E$53,0))</f>
        <v>0</v>
      </c>
      <c r="P15" s="913">
        <f>IF(ISERROR(IF(MOD(IF(AND(B15&gt;='Energy margins'!$F$56,B15&lt;='Energy margins'!$G$56),B15-'Energy margins'!$F$56,""),'Energy margins'!$H$56)=0,'Energy margins'!$E$56,0)),0,IF(MOD(IF(AND(B15&gt;='Energy margins'!$F$56,B15&lt;='Energy margins'!$G$56),B15-'Energy margins'!$F$56,""),'Energy margins'!$H$56)=0,'Energy margins'!$E$56,0))</f>
        <v>0</v>
      </c>
      <c r="Q15" s="913">
        <f>IF(ISERROR(IF(MOD(IF(AND(B15&gt;='Energy margins'!$F$59,B15&lt;='Energy margins'!$G$59),B15-'Energy margins'!$F$59,""),'Energy margins'!$H$59)=0,'Energy margins'!$E$59,0)),0,IF(MOD(IF(AND(B15&gt;='Energy margins'!$F$59,B15&lt;='Energy margins'!$G$59),B15-'Energy margins'!$F$59,""),'Energy margins'!$H$59)=0,'Energy margins'!$E$59,0))</f>
        <v>0</v>
      </c>
      <c r="R15" s="913">
        <f>IF(ISERROR(IF(MOD(IF(AND(B15&gt;='Energy margins'!$F$60,B15&lt;='Energy margins'!$G$60),B15-'Energy margins'!$F$60,""),'Energy margins'!$H$60)=0,'Energy margins'!$E$60,0)),0,IF(MOD(IF(AND(B15&gt;='Energy margins'!$F$60,B15&lt;='Energy margins'!$G$60),B15-'Energy margins'!$F$60,""),'Energy margins'!$H$60)=0,'Energy margins'!$E$60,0))</f>
        <v>0</v>
      </c>
      <c r="S15" s="913">
        <f>IF(ISERROR(IF(MOD(IF(AND(B15&gt;='Energy margins'!$F$61,B15&lt;='Energy margins'!$G$61),B15-'Energy margins'!$F$61,""),'Energy margins'!$H$61)=0,'Energy margins'!$E$61,0)),0,IF(MOD(IF(AND(B15&gt;='Energy margins'!$F$61,B15&lt;='Energy margins'!$G$61),B15-'Energy margins'!$F$61,""),'Energy margins'!$H$61)=0,'Energy margins'!$E$61,0))</f>
        <v>0</v>
      </c>
      <c r="T15" s="913">
        <f>IF(ISERROR(IF(MOD(IF(AND(B15&gt;='Energy margins'!$F$62,B15&lt;='Energy margins'!$G$62),B15-'Energy margins'!$F$62,""),'Energy margins'!$H$62)=0,'Energy margins'!$E$62,0)),0,IF(MOD(IF(AND(B15&gt;='Energy margins'!$F$62,B15&lt;='Energy margins'!$G$62),B15-'Energy margins'!$F$62,""),'Energy margins'!$H$62)=0,'Energy margins'!$E$62,0))</f>
        <v>0</v>
      </c>
      <c r="U15" s="939">
        <f t="shared" si="5"/>
        <v>687.5680000000001</v>
      </c>
      <c r="V15" s="197"/>
      <c r="W15" s="197">
        <f t="shared" si="6"/>
        <v>687.5680000000001</v>
      </c>
      <c r="X15" s="197">
        <f t="shared" si="1"/>
        <v>-687.5680000000001</v>
      </c>
      <c r="Y15" s="197">
        <f t="shared" si="2"/>
        <v>-215.92800000000011</v>
      </c>
      <c r="Z15" s="968">
        <f t="shared" si="7"/>
        <v>0</v>
      </c>
      <c r="AA15" s="969">
        <f t="shared" si="8"/>
        <v>436.05769230769226</v>
      </c>
      <c r="AB15" s="969">
        <f t="shared" si="9"/>
        <v>635.69526627218931</v>
      </c>
      <c r="AC15" s="969">
        <f t="shared" si="10"/>
        <v>-635.69526627218931</v>
      </c>
      <c r="AD15" s="970">
        <f t="shared" si="11"/>
        <v>-199.63757396449714</v>
      </c>
      <c r="AE15" s="968">
        <f t="shared" ref="AE15:AE28" si="13">AE14+Z15</f>
        <v>0</v>
      </c>
      <c r="AF15" s="969">
        <f t="shared" si="12"/>
        <v>1361.1976923076923</v>
      </c>
      <c r="AG15" s="969">
        <f t="shared" si="12"/>
        <v>8774.618343195265</v>
      </c>
      <c r="AH15" s="969">
        <f t="shared" si="12"/>
        <v>-8774.618343195265</v>
      </c>
      <c r="AI15" s="970">
        <f t="shared" si="12"/>
        <v>-7413.4206508875732</v>
      </c>
    </row>
    <row r="16" spans="2:35" x14ac:dyDescent="0.3">
      <c r="B16" s="895">
        <v>4</v>
      </c>
      <c r="C16" s="913">
        <f>'Energy Inputs'!D33</f>
        <v>1</v>
      </c>
      <c r="D16" s="913">
        <f>C16*'Energy Inputs'!$D$24</f>
        <v>25</v>
      </c>
      <c r="E16" s="197">
        <f>'Energy margins'!$E$12</f>
        <v>269.5</v>
      </c>
      <c r="F16" s="913">
        <f t="shared" si="0"/>
        <v>6737.5</v>
      </c>
      <c r="G16" s="913">
        <f>'Energy Inputs'!$D$10</f>
        <v>471.64</v>
      </c>
      <c r="H16" s="197">
        <f t="shared" si="4"/>
        <v>7209.14</v>
      </c>
      <c r="I16" s="199"/>
      <c r="J16" s="915">
        <f>IF(ISERROR(IF(MOD(IF(AND(B16&gt;='Energy margins'!$F$44,B16&lt;='Energy margins'!$G$44),B16-'Energy margins'!$F$44,""),'Energy margins'!$H$44)=0,'Energy margins'!$E$44,0)),0,IF(MOD(IF(AND(B16&gt;='Energy margins'!$F$44,B16&lt;='Energy margins'!$G$44),B16-'Energy margins'!$F$44,""),'Energy margins'!$H$44)=0,'Energy margins'!$E$44,0))</f>
        <v>0</v>
      </c>
      <c r="K16" s="913">
        <f>IF(ISERROR(IF(MOD(IF(AND(B16&gt;='Energy margins'!$F$45,B16&lt;='Energy margins'!$G$45),B16-'Energy margins'!$F$45,""),'Energy margins'!$H$45)=0,'Energy margins'!$E$45,0)),0,IF(MOD(IF(AND(B16&gt;='Energy margins'!$F$45,B16&lt;='Energy margins'!$G$45),B16-'Energy margins'!$F$45,""),'Energy margins'!$H$45)=0,'Energy margins'!$E$45,0))</f>
        <v>197.56800000000001</v>
      </c>
      <c r="L16" s="913">
        <f>IF(ISERROR(IF(MOD(IF(AND(B16&gt;='Energy margins'!$F$46,B16&lt;='Energy margins'!$G$46),B16-'Energy margins'!$F$46,""),'Energy margins'!$H$46)=0,'Energy margins'!$E$46,0)),0,IF(MOD(IF(AND(B16&gt;='Energy margins'!$F$46,B16&lt;='Energy margins'!$G$46),B16-'Energy margins'!$F$46,""),'Energy margins'!$H$46)=0,'Energy margins'!$E$46,0))</f>
        <v>0</v>
      </c>
      <c r="M16" s="913">
        <f>IF(ISERROR(IF(MOD(IF(AND(B16&gt;='Energy margins'!$F$47,B16&lt;='Energy margins'!$G$47),B16-'Energy margins'!$F$47,""),'Energy margins'!$H$47)=0,'Energy margins'!$E$47,0)),0,IF(MOD(IF(AND(B16&gt;='Energy margins'!$F$47,B16&lt;='Energy margins'!$G$47),B16-'Energy margins'!$F$47,""),'Energy margins'!$H$47)=0,'Energy margins'!$E$47,0))</f>
        <v>327</v>
      </c>
      <c r="N16" s="913">
        <f>IF(ISERROR(IF(MOD(IF(AND(B16&gt;='Energy margins'!$F$50,B16&lt;='Energy margins'!$G$50),B16-'Energy margins'!$F$50,""),'Energy margins'!$H$50)=0,'Energy margins'!$E$50,0)),0,IF(MOD(IF(AND(B16&gt;='Energy margins'!$F$50,B16&lt;='Energy margins'!$G$50),B16-'Energy margins'!$F$50,""),'Energy margins'!$H$50)=0,'Energy margins'!$E$50,0))</f>
        <v>309.60000000000002</v>
      </c>
      <c r="O16" s="913">
        <f>IF(ISERROR(IF(MOD(IF(AND(B16&gt;='Energy margins'!$F$53,B16&lt;='Energy margins'!$G$53),B16-'Energy margins'!$F$53,""),'Energy margins'!$H$53)=0,'Energy margins'!$E$53,0)),0,IF(MOD(IF(AND(B16&gt;='Energy margins'!$F$53,B16&lt;='Energy margins'!$G$53),B16-'Energy margins'!$F$53,""),'Energy margins'!$H$53)=0,'Energy margins'!$E$53,0))</f>
        <v>357.59999999999997</v>
      </c>
      <c r="P16" s="913">
        <f>IF(ISERROR(IF(MOD(IF(AND(B16&gt;='Energy margins'!$F$56,B16&lt;='Energy margins'!$G$56),B16-'Energy margins'!$F$56,""),'Energy margins'!$H$56)=0,'Energy margins'!$E$56,0)),0,IF(MOD(IF(AND(B16&gt;='Energy margins'!$F$56,B16&lt;='Energy margins'!$G$56),B16-'Energy margins'!$F$56,""),'Energy margins'!$H$56)=0,'Energy margins'!$E$56,0))</f>
        <v>321.60000000000002</v>
      </c>
      <c r="Q16" s="913">
        <f>IF(ISERROR(IF(MOD(IF(AND(B16&gt;='Energy margins'!$F$59,B16&lt;='Energy margins'!$G$59),B16-'Energy margins'!$F$59,""),'Energy margins'!$H$59)=0,'Energy margins'!$E$59,0)),0,IF(MOD(IF(AND(B16&gt;='Energy margins'!$F$59,B16&lt;='Energy margins'!$G$59),B16-'Energy margins'!$F$59,""),'Energy margins'!$H$59)=0,'Energy margins'!$E$59,0))</f>
        <v>805</v>
      </c>
      <c r="R16" s="913">
        <f>IF(ISERROR(IF(MOD(IF(AND(B16&gt;='Energy margins'!$F$60,B16&lt;='Energy margins'!$G$60),B16-'Energy margins'!$F$60,""),'Energy margins'!$H$60)=0,'Energy margins'!$E$60,0)),0,IF(MOD(IF(AND(B16&gt;='Energy margins'!$F$60,B16&lt;='Energy margins'!$G$60),B16-'Energy margins'!$F$60,""),'Energy margins'!$H$60)=0,'Energy margins'!$E$60,0))</f>
        <v>0</v>
      </c>
      <c r="S16" s="913">
        <f>IF(ISERROR(IF(MOD(IF(AND(B16&gt;='Energy margins'!$F$61,B16&lt;='Energy margins'!$G$61),B16-'Energy margins'!$F$61,""),'Energy margins'!$H$61)=0,'Energy margins'!$E$61,0)),0,IF(MOD(IF(AND(B16&gt;='Energy margins'!$F$61,B16&lt;='Energy margins'!$G$61),B16-'Energy margins'!$F$61,""),'Energy margins'!$H$61)=0,'Energy margins'!$E$61,0))</f>
        <v>0</v>
      </c>
      <c r="T16" s="913">
        <f>IF(ISERROR(IF(MOD(IF(AND(B16&gt;='Energy margins'!$F$62,B16&lt;='Energy margins'!$G$62),B16-'Energy margins'!$F$62,""),'Energy margins'!$H$62)=0,'Energy margins'!$E$62,0)),0,IF(MOD(IF(AND(B16&gt;='Energy margins'!$F$62,B16&lt;='Energy margins'!$G$62),B16-'Energy margins'!$F$62,""),'Energy margins'!$H$62)=0,'Energy margins'!$E$62,0))</f>
        <v>0</v>
      </c>
      <c r="U16" s="939">
        <f t="shared" si="5"/>
        <v>2318.3679999999999</v>
      </c>
      <c r="V16" s="197"/>
      <c r="W16" s="197">
        <f t="shared" si="6"/>
        <v>2318.3679999999999</v>
      </c>
      <c r="X16" s="197">
        <f t="shared" si="1"/>
        <v>4419.1319999999996</v>
      </c>
      <c r="Y16" s="197">
        <f t="shared" si="2"/>
        <v>4890.7720000000008</v>
      </c>
      <c r="Z16" s="968">
        <f t="shared" si="7"/>
        <v>5989.6129665452881</v>
      </c>
      <c r="AA16" s="969">
        <f t="shared" si="8"/>
        <v>419.28624260355025</v>
      </c>
      <c r="AB16" s="969">
        <f t="shared" si="9"/>
        <v>2061.0207100591715</v>
      </c>
      <c r="AC16" s="969">
        <f t="shared" si="10"/>
        <v>3928.5922564861166</v>
      </c>
      <c r="AD16" s="970">
        <f t="shared" si="11"/>
        <v>4347.8784990896684</v>
      </c>
      <c r="AE16" s="968">
        <f t="shared" si="13"/>
        <v>5989.6129665452881</v>
      </c>
      <c r="AF16" s="969">
        <f t="shared" si="12"/>
        <v>1780.4839349112426</v>
      </c>
      <c r="AG16" s="969">
        <f t="shared" si="12"/>
        <v>10835.639053254436</v>
      </c>
      <c r="AH16" s="969">
        <f t="shared" si="12"/>
        <v>-4846.0260867091483</v>
      </c>
      <c r="AI16" s="970">
        <f t="shared" si="12"/>
        <v>-3065.5421517979048</v>
      </c>
    </row>
    <row r="17" spans="2:35" x14ac:dyDescent="0.3">
      <c r="B17" s="895">
        <v>5</v>
      </c>
      <c r="C17" s="913">
        <f>'Energy Inputs'!D34</f>
        <v>0</v>
      </c>
      <c r="D17" s="913">
        <f>C17*'Energy Inputs'!$D$24</f>
        <v>0</v>
      </c>
      <c r="E17" s="197">
        <f>'Energy margins'!$E$12</f>
        <v>269.5</v>
      </c>
      <c r="F17" s="913">
        <f t="shared" si="0"/>
        <v>0</v>
      </c>
      <c r="G17" s="913">
        <f>'Energy Inputs'!$D$10</f>
        <v>471.64</v>
      </c>
      <c r="H17" s="197">
        <f t="shared" si="4"/>
        <v>471.64</v>
      </c>
      <c r="I17" s="199"/>
      <c r="J17" s="915">
        <f>IF(ISERROR(IF(MOD(IF(AND(B17&gt;='Energy margins'!$F$44,B17&lt;='Energy margins'!$G$44),B17-'Energy margins'!$F$44,""),'Energy margins'!$H$44)=0,'Energy margins'!$E$44,0)),0,IF(MOD(IF(AND(B17&gt;='Energy margins'!$F$44,B17&lt;='Energy margins'!$G$44),B17-'Energy margins'!$F$44,""),'Energy margins'!$H$44)=0,'Energy margins'!$E$44,0))</f>
        <v>0</v>
      </c>
      <c r="K17" s="913">
        <f>IF(ISERROR(IF(MOD(IF(AND(B17&gt;='Energy margins'!$F$45,B17&lt;='Energy margins'!$G$45),B17-'Energy margins'!$F$45,""),'Energy margins'!$H$45)=0,'Energy margins'!$E$45,0)),0,IF(MOD(IF(AND(B17&gt;='Energy margins'!$F$45,B17&lt;='Energy margins'!$G$45),B17-'Energy margins'!$F$45,""),'Energy margins'!$H$45)=0,'Energy margins'!$E$45,0))</f>
        <v>197.56800000000001</v>
      </c>
      <c r="L17" s="913">
        <f>IF(ISERROR(IF(MOD(IF(AND(B17&gt;='Energy margins'!$F$46,B17&lt;='Energy margins'!$G$46),B17-'Energy margins'!$F$46,""),'Energy margins'!$H$46)=0,'Energy margins'!$E$46,0)),0,IF(MOD(IF(AND(B17&gt;='Energy margins'!$F$46,B17&lt;='Energy margins'!$G$46),B17-'Energy margins'!$F$46,""),'Energy margins'!$H$46)=0,'Energy margins'!$E$46,0))</f>
        <v>0</v>
      </c>
      <c r="M17" s="913">
        <f>IF(ISERROR(IF(MOD(IF(AND(B17&gt;='Energy margins'!$F$47,B17&lt;='Energy margins'!$G$47),B17-'Energy margins'!$F$47,""),'Energy margins'!$H$47)=0,'Energy margins'!$E$47,0)),0,IF(MOD(IF(AND(B17&gt;='Energy margins'!$F$47,B17&lt;='Energy margins'!$G$47),B17-'Energy margins'!$F$47,""),'Energy margins'!$H$47)=0,'Energy margins'!$E$47,0))</f>
        <v>0</v>
      </c>
      <c r="N17" s="913">
        <f>IF(ISERROR(IF(MOD(IF(AND(B17&gt;='Energy margins'!$F$50,B17&lt;='Energy margins'!$G$50),B17-'Energy margins'!$F$50,""),'Energy margins'!$H$50)=0,'Energy margins'!$E$50,0)),0,IF(MOD(IF(AND(B17&gt;='Energy margins'!$F$50,B17&lt;='Energy margins'!$G$50),B17-'Energy margins'!$F$50,""),'Energy margins'!$H$50)=0,'Energy margins'!$E$50,0))</f>
        <v>0</v>
      </c>
      <c r="O17" s="913">
        <f>IF(ISERROR(IF(MOD(IF(AND(B17&gt;='Energy margins'!$F$53,B17&lt;='Energy margins'!$G$53),B17-'Energy margins'!$F$53,""),'Energy margins'!$H$53)=0,'Energy margins'!$E$53,0)),0,IF(MOD(IF(AND(B17&gt;='Energy margins'!$F$53,B17&lt;='Energy margins'!$G$53),B17-'Energy margins'!$F$53,""),'Energy margins'!$H$53)=0,'Energy margins'!$E$53,0))</f>
        <v>0</v>
      </c>
      <c r="P17" s="913">
        <f>IF(ISERROR(IF(MOD(IF(AND(B17&gt;='Energy margins'!$F$56,B17&lt;='Energy margins'!$G$56),B17-'Energy margins'!$F$56,""),'Energy margins'!$H$56)=0,'Energy margins'!$E$56,0)),0,IF(MOD(IF(AND(B17&gt;='Energy margins'!$F$56,B17&lt;='Energy margins'!$G$56),B17-'Energy margins'!$F$56,""),'Energy margins'!$H$56)=0,'Energy margins'!$E$56,0))</f>
        <v>0</v>
      </c>
      <c r="Q17" s="913">
        <f>IF(ISERROR(IF(MOD(IF(AND(B17&gt;='Energy margins'!$F$59,B17&lt;='Energy margins'!$G$59),B17-'Energy margins'!$F$59,""),'Energy margins'!$H$59)=0,'Energy margins'!$E$59,0)),0,IF(MOD(IF(AND(B17&gt;='Energy margins'!$F$59,B17&lt;='Energy margins'!$G$59),B17-'Energy margins'!$F$59,""),'Energy margins'!$H$59)=0,'Energy margins'!$E$59,0))</f>
        <v>0</v>
      </c>
      <c r="R17" s="913">
        <f>IF(ISERROR(IF(MOD(IF(AND(B17&gt;='Energy margins'!$F$60,B17&lt;='Energy margins'!$G$60),B17-'Energy margins'!$F$60,""),'Energy margins'!$H$60)=0,'Energy margins'!$E$60,0)),0,IF(MOD(IF(AND(B17&gt;='Energy margins'!$F$60,B17&lt;='Energy margins'!$G$60),B17-'Energy margins'!$F$60,""),'Energy margins'!$H$60)=0,'Energy margins'!$E$60,0))</f>
        <v>0</v>
      </c>
      <c r="S17" s="913">
        <f>IF(ISERROR(IF(MOD(IF(AND(B17&gt;='Energy margins'!$F$61,B17&lt;='Energy margins'!$G$61),B17-'Energy margins'!$F$61,""),'Energy margins'!$H$61)=0,'Energy margins'!$E$61,0)),0,IF(MOD(IF(AND(B17&gt;='Energy margins'!$F$61,B17&lt;='Energy margins'!$G$61),B17-'Energy margins'!$F$61,""),'Energy margins'!$H$61)=0,'Energy margins'!$E$61,0))</f>
        <v>0</v>
      </c>
      <c r="T17" s="913">
        <f>IF(ISERROR(IF(MOD(IF(AND(B17&gt;='Energy margins'!$F$62,B17&lt;='Energy margins'!$G$62),B17-'Energy margins'!$F$62,""),'Energy margins'!$H$62)=0,'Energy margins'!$E$62,0)),0,IF(MOD(IF(AND(B17&gt;='Energy margins'!$F$62,B17&lt;='Energy margins'!$G$62),B17-'Energy margins'!$F$62,""),'Energy margins'!$H$62)=0,'Energy margins'!$E$62,0))</f>
        <v>0</v>
      </c>
      <c r="U17" s="939">
        <f t="shared" si="5"/>
        <v>197.56800000000001</v>
      </c>
      <c r="V17" s="197"/>
      <c r="W17" s="197">
        <f t="shared" si="6"/>
        <v>197.56800000000001</v>
      </c>
      <c r="X17" s="197">
        <f t="shared" si="1"/>
        <v>-197.56800000000001</v>
      </c>
      <c r="Y17" s="197">
        <f t="shared" si="2"/>
        <v>274.072</v>
      </c>
      <c r="Z17" s="968">
        <f t="shared" si="7"/>
        <v>0</v>
      </c>
      <c r="AA17" s="969">
        <f t="shared" si="8"/>
        <v>403.15984865725983</v>
      </c>
      <c r="AB17" s="969">
        <f t="shared" si="9"/>
        <v>168.88195441336086</v>
      </c>
      <c r="AC17" s="969">
        <f t="shared" si="10"/>
        <v>-168.88195441336086</v>
      </c>
      <c r="AD17" s="970">
        <f t="shared" si="11"/>
        <v>234.27789424389897</v>
      </c>
      <c r="AE17" s="968">
        <f t="shared" si="13"/>
        <v>5989.6129665452881</v>
      </c>
      <c r="AF17" s="969">
        <f t="shared" si="12"/>
        <v>2183.6437835685024</v>
      </c>
      <c r="AG17" s="969">
        <f t="shared" si="12"/>
        <v>11004.521007667796</v>
      </c>
      <c r="AH17" s="969">
        <f t="shared" si="12"/>
        <v>-5014.9080411225095</v>
      </c>
      <c r="AI17" s="970">
        <f t="shared" si="12"/>
        <v>-2831.2642575540058</v>
      </c>
    </row>
    <row r="18" spans="2:35" x14ac:dyDescent="0.3">
      <c r="B18" s="895">
        <v>6</v>
      </c>
      <c r="C18" s="913">
        <f>'Energy Inputs'!D35</f>
        <v>0</v>
      </c>
      <c r="D18" s="913">
        <f>C18*'Energy Inputs'!$D$24</f>
        <v>0</v>
      </c>
      <c r="E18" s="197">
        <f>'Energy margins'!$E$12</f>
        <v>269.5</v>
      </c>
      <c r="F18" s="913">
        <f t="shared" si="0"/>
        <v>0</v>
      </c>
      <c r="G18" s="913">
        <f>'Energy Inputs'!$D$10</f>
        <v>471.64</v>
      </c>
      <c r="H18" s="197">
        <f t="shared" si="4"/>
        <v>471.64</v>
      </c>
      <c r="I18" s="199"/>
      <c r="J18" s="915">
        <f>IF(ISERROR(IF(MOD(IF(AND(B18&gt;='Energy margins'!$F$44,B18&lt;='Energy margins'!$G$44),B18-'Energy margins'!$F$44,""),'Energy margins'!$H$44)=0,'Energy margins'!$E$44,0)),0,IF(MOD(IF(AND(B18&gt;='Energy margins'!$F$44,B18&lt;='Energy margins'!$G$44),B18-'Energy margins'!$F$44,""),'Energy margins'!$H$44)=0,'Energy margins'!$E$44,0))</f>
        <v>0</v>
      </c>
      <c r="K18" s="913">
        <f>IF(ISERROR(IF(MOD(IF(AND(B18&gt;='Energy margins'!$F$45,B18&lt;='Energy margins'!$G$45),B18-'Energy margins'!$F$45,""),'Energy margins'!$H$45)=0,'Energy margins'!$E$45,0)),0,IF(MOD(IF(AND(B18&gt;='Energy margins'!$F$45,B18&lt;='Energy margins'!$G$45),B18-'Energy margins'!$F$45,""),'Energy margins'!$H$45)=0,'Energy margins'!$E$45,0))</f>
        <v>197.56800000000001</v>
      </c>
      <c r="L18" s="913">
        <f>IF(ISERROR(IF(MOD(IF(AND(B18&gt;='Energy margins'!$F$46,B18&lt;='Energy margins'!$G$46),B18-'Energy margins'!$F$46,""),'Energy margins'!$H$46)=0,'Energy margins'!$E$46,0)),0,IF(MOD(IF(AND(B18&gt;='Energy margins'!$F$46,B18&lt;='Energy margins'!$G$46),B18-'Energy margins'!$F$46,""),'Energy margins'!$H$46)=0,'Energy margins'!$E$46,0))</f>
        <v>0</v>
      </c>
      <c r="M18" s="913">
        <f>IF(ISERROR(IF(MOD(IF(AND(B18&gt;='Energy margins'!$F$47,B18&lt;='Energy margins'!$G$47),B18-'Energy margins'!$F$47,""),'Energy margins'!$H$47)=0,'Energy margins'!$E$47,0)),0,IF(MOD(IF(AND(B18&gt;='Energy margins'!$F$47,B18&lt;='Energy margins'!$G$47),B18-'Energy margins'!$F$47,""),'Energy margins'!$H$47)=0,'Energy margins'!$E$47,0))</f>
        <v>0</v>
      </c>
      <c r="N18" s="913">
        <f>IF(ISERROR(IF(MOD(IF(AND(B18&gt;='Energy margins'!$F$50,B18&lt;='Energy margins'!$G$50),B18-'Energy margins'!$F$50,""),'Energy margins'!$H$50)=0,'Energy margins'!$E$50,0)),0,IF(MOD(IF(AND(B18&gt;='Energy margins'!$F$50,B18&lt;='Energy margins'!$G$50),B18-'Energy margins'!$F$50,""),'Energy margins'!$H$50)=0,'Energy margins'!$E$50,0))</f>
        <v>0</v>
      </c>
      <c r="O18" s="913">
        <f>IF(ISERROR(IF(MOD(IF(AND(B18&gt;='Energy margins'!$F$53,B18&lt;='Energy margins'!$G$53),B18-'Energy margins'!$F$53,""),'Energy margins'!$H$53)=0,'Energy margins'!$E$53,0)),0,IF(MOD(IF(AND(B18&gt;='Energy margins'!$F$53,B18&lt;='Energy margins'!$G$53),B18-'Energy margins'!$F$53,""),'Energy margins'!$H$53)=0,'Energy margins'!$E$53,0))</f>
        <v>0</v>
      </c>
      <c r="P18" s="913">
        <f>IF(ISERROR(IF(MOD(IF(AND(B18&gt;='Energy margins'!$F$56,B18&lt;='Energy margins'!$G$56),B18-'Energy margins'!$F$56,""),'Energy margins'!$H$56)=0,'Energy margins'!$E$56,0)),0,IF(MOD(IF(AND(B18&gt;='Energy margins'!$F$56,B18&lt;='Energy margins'!$G$56),B18-'Energy margins'!$F$56,""),'Energy margins'!$H$56)=0,'Energy margins'!$E$56,0))</f>
        <v>0</v>
      </c>
      <c r="Q18" s="913">
        <f>IF(ISERROR(IF(MOD(IF(AND(B18&gt;='Energy margins'!$F$59,B18&lt;='Energy margins'!$G$59),B18-'Energy margins'!$F$59,""),'Energy margins'!$H$59)=0,'Energy margins'!$E$59,0)),0,IF(MOD(IF(AND(B18&gt;='Energy margins'!$F$59,B18&lt;='Energy margins'!$G$59),B18-'Energy margins'!$F$59,""),'Energy margins'!$H$59)=0,'Energy margins'!$E$59,0))</f>
        <v>0</v>
      </c>
      <c r="R18" s="913">
        <f>IF(ISERROR(IF(MOD(IF(AND(B18&gt;='Energy margins'!$F$60,B18&lt;='Energy margins'!$G$60),B18-'Energy margins'!$F$60,""),'Energy margins'!$H$60)=0,'Energy margins'!$E$60,0)),0,IF(MOD(IF(AND(B18&gt;='Energy margins'!$F$60,B18&lt;='Energy margins'!$G$60),B18-'Energy margins'!$F$60,""),'Energy margins'!$H$60)=0,'Energy margins'!$E$60,0))</f>
        <v>0</v>
      </c>
      <c r="S18" s="913">
        <f>IF(ISERROR(IF(MOD(IF(AND(B18&gt;='Energy margins'!$F$61,B18&lt;='Energy margins'!$G$61),B18-'Energy margins'!$F$61,""),'Energy margins'!$H$61)=0,'Energy margins'!$E$61,0)),0,IF(MOD(IF(AND(B18&gt;='Energy margins'!$F$61,B18&lt;='Energy margins'!$G$61),B18-'Energy margins'!$F$61,""),'Energy margins'!$H$61)=0,'Energy margins'!$E$61,0))</f>
        <v>0</v>
      </c>
      <c r="T18" s="913">
        <f>IF(ISERROR(IF(MOD(IF(AND(B18&gt;='Energy margins'!$F$62,B18&lt;='Energy margins'!$G$62),B18-'Energy margins'!$F$62,""),'Energy margins'!$H$62)=0,'Energy margins'!$E$62,0)),0,IF(MOD(IF(AND(B18&gt;='Energy margins'!$F$62,B18&lt;='Energy margins'!$G$62),B18-'Energy margins'!$F$62,""),'Energy margins'!$H$62)=0,'Energy margins'!$E$62,0))</f>
        <v>0</v>
      </c>
      <c r="U18" s="939">
        <f t="shared" si="5"/>
        <v>197.56800000000001</v>
      </c>
      <c r="V18" s="197"/>
      <c r="W18" s="197">
        <f t="shared" si="6"/>
        <v>197.56800000000001</v>
      </c>
      <c r="X18" s="197">
        <f t="shared" si="1"/>
        <v>-197.56800000000001</v>
      </c>
      <c r="Y18" s="197">
        <f t="shared" si="2"/>
        <v>274.072</v>
      </c>
      <c r="Z18" s="968">
        <f t="shared" si="7"/>
        <v>0</v>
      </c>
      <c r="AA18" s="969">
        <f t="shared" si="8"/>
        <v>387.65370063198054</v>
      </c>
      <c r="AB18" s="969">
        <f t="shared" si="9"/>
        <v>162.38649462823159</v>
      </c>
      <c r="AC18" s="969">
        <f t="shared" si="10"/>
        <v>-162.38649462823159</v>
      </c>
      <c r="AD18" s="970">
        <f t="shared" si="11"/>
        <v>225.26720600374901</v>
      </c>
      <c r="AE18" s="968">
        <f t="shared" si="13"/>
        <v>5989.6129665452881</v>
      </c>
      <c r="AF18" s="969">
        <f t="shared" si="12"/>
        <v>2571.2974842004828</v>
      </c>
      <c r="AG18" s="969">
        <f t="shared" si="12"/>
        <v>11166.907502296028</v>
      </c>
      <c r="AH18" s="969">
        <f t="shared" si="12"/>
        <v>-5177.2945357507415</v>
      </c>
      <c r="AI18" s="970">
        <f t="shared" si="12"/>
        <v>-2605.9970515502569</v>
      </c>
    </row>
    <row r="19" spans="2:35" x14ac:dyDescent="0.3">
      <c r="B19" s="895">
        <v>7</v>
      </c>
      <c r="C19" s="913">
        <f>'Energy Inputs'!D36</f>
        <v>1</v>
      </c>
      <c r="D19" s="913">
        <f>C19*'Energy Inputs'!$D$24</f>
        <v>25</v>
      </c>
      <c r="E19" s="197">
        <f>'Energy margins'!$E$12</f>
        <v>269.5</v>
      </c>
      <c r="F19" s="913">
        <f t="shared" si="0"/>
        <v>6737.5</v>
      </c>
      <c r="G19" s="913">
        <f>'Energy Inputs'!$D$10</f>
        <v>471.64</v>
      </c>
      <c r="H19" s="197">
        <f t="shared" si="4"/>
        <v>7209.14</v>
      </c>
      <c r="I19" s="199"/>
      <c r="J19" s="915">
        <f>IF(ISERROR(IF(MOD(IF(AND(B19&gt;='Energy margins'!$F$44,B19&lt;='Energy margins'!$G$44),B19-'Energy margins'!$F$44,""),'Energy margins'!$H$44)=0,'Energy margins'!$E$44,0)),0,IF(MOD(IF(AND(B19&gt;='Energy margins'!$F$44,B19&lt;='Energy margins'!$G$44),B19-'Energy margins'!$F$44,""),'Energy margins'!$H$44)=0,'Energy margins'!$E$44,0))</f>
        <v>0</v>
      </c>
      <c r="K19" s="913">
        <f>IF(ISERROR(IF(MOD(IF(AND(B19&gt;='Energy margins'!$F$45,B19&lt;='Energy margins'!$G$45),B19-'Energy margins'!$F$45,""),'Energy margins'!$H$45)=0,'Energy margins'!$E$45,0)),0,IF(MOD(IF(AND(B19&gt;='Energy margins'!$F$45,B19&lt;='Energy margins'!$G$45),B19-'Energy margins'!$F$45,""),'Energy margins'!$H$45)=0,'Energy margins'!$E$45,0))</f>
        <v>197.56800000000001</v>
      </c>
      <c r="L19" s="913">
        <f>IF(ISERROR(IF(MOD(IF(AND(B19&gt;='Energy margins'!$F$46,B19&lt;='Energy margins'!$G$46),B19-'Energy margins'!$F$46,""),'Energy margins'!$H$46)=0,'Energy margins'!$E$46,0)),0,IF(MOD(IF(AND(B19&gt;='Energy margins'!$F$46,B19&lt;='Energy margins'!$G$46),B19-'Energy margins'!$F$46,""),'Energy margins'!$H$46)=0,'Energy margins'!$E$46,0))</f>
        <v>0</v>
      </c>
      <c r="M19" s="913">
        <f>IF(ISERROR(IF(MOD(IF(AND(B19&gt;='Energy margins'!$F$47,B19&lt;='Energy margins'!$G$47),B19-'Energy margins'!$F$47,""),'Energy margins'!$H$47)=0,'Energy margins'!$E$47,0)),0,IF(MOD(IF(AND(B19&gt;='Energy margins'!$F$47,B19&lt;='Energy margins'!$G$47),B19-'Energy margins'!$F$47,""),'Energy margins'!$H$47)=0,'Energy margins'!$E$47,0))</f>
        <v>327</v>
      </c>
      <c r="N19" s="913">
        <f>IF(ISERROR(IF(MOD(IF(AND(B19&gt;='Energy margins'!$F$50,B19&lt;='Energy margins'!$G$50),B19-'Energy margins'!$F$50,""),'Energy margins'!$H$50)=0,'Energy margins'!$E$50,0)),0,IF(MOD(IF(AND(B19&gt;='Energy margins'!$F$50,B19&lt;='Energy margins'!$G$50),B19-'Energy margins'!$F$50,""),'Energy margins'!$H$50)=0,'Energy margins'!$E$50,0))</f>
        <v>309.60000000000002</v>
      </c>
      <c r="O19" s="913">
        <f>IF(ISERROR(IF(MOD(IF(AND(B19&gt;='Energy margins'!$F$53,B19&lt;='Energy margins'!$G$53),B19-'Energy margins'!$F$53,""),'Energy margins'!$H$53)=0,'Energy margins'!$E$53,0)),0,IF(MOD(IF(AND(B19&gt;='Energy margins'!$F$53,B19&lt;='Energy margins'!$G$53),B19-'Energy margins'!$F$53,""),'Energy margins'!$H$53)=0,'Energy margins'!$E$53,0))</f>
        <v>357.59999999999997</v>
      </c>
      <c r="P19" s="913">
        <f>IF(ISERROR(IF(MOD(IF(AND(B19&gt;='Energy margins'!$F$56,B19&lt;='Energy margins'!$G$56),B19-'Energy margins'!$F$56,""),'Energy margins'!$H$56)=0,'Energy margins'!$E$56,0)),0,IF(MOD(IF(AND(B19&gt;='Energy margins'!$F$56,B19&lt;='Energy margins'!$G$56),B19-'Energy margins'!$F$56,""),'Energy margins'!$H$56)=0,'Energy margins'!$E$56,0))</f>
        <v>321.60000000000002</v>
      </c>
      <c r="Q19" s="913">
        <f>IF(ISERROR(IF(MOD(IF(AND(B19&gt;='Energy margins'!$F$59,B19&lt;='Energy margins'!$G$59),B19-'Energy margins'!$F$59,""),'Energy margins'!$H$59)=0,'Energy margins'!$E$59,0)),0,IF(MOD(IF(AND(B19&gt;='Energy margins'!$F$59,B19&lt;='Energy margins'!$G$59),B19-'Energy margins'!$F$59,""),'Energy margins'!$H$59)=0,'Energy margins'!$E$59,0))</f>
        <v>805</v>
      </c>
      <c r="R19" s="913">
        <f>IF(ISERROR(IF(MOD(IF(AND(B19&gt;='Energy margins'!$F$60,B19&lt;='Energy margins'!$G$60),B19-'Energy margins'!$F$60,""),'Energy margins'!$H$60)=0,'Energy margins'!$E$60,0)),0,IF(MOD(IF(AND(B19&gt;='Energy margins'!$F$60,B19&lt;='Energy margins'!$G$60),B19-'Energy margins'!$F$60,""),'Energy margins'!$H$60)=0,'Energy margins'!$E$60,0))</f>
        <v>0</v>
      </c>
      <c r="S19" s="913">
        <f>IF(ISERROR(IF(MOD(IF(AND(B19&gt;='Energy margins'!$F$61,B19&lt;='Energy margins'!$G$61),B19-'Energy margins'!$F$61,""),'Energy margins'!$H$61)=0,'Energy margins'!$E$61,0)),0,IF(MOD(IF(AND(B19&gt;='Energy margins'!$F$61,B19&lt;='Energy margins'!$G$61),B19-'Energy margins'!$F$61,""),'Energy margins'!$H$61)=0,'Energy margins'!$E$61,0))</f>
        <v>0</v>
      </c>
      <c r="T19" s="913">
        <f>IF(ISERROR(IF(MOD(IF(AND(B19&gt;='Energy margins'!$F$62,B19&lt;='Energy margins'!$G$62),B19-'Energy margins'!$F$62,""),'Energy margins'!$H$62)=0,'Energy margins'!$E$62,0)),0,IF(MOD(IF(AND(B19&gt;='Energy margins'!$F$62,B19&lt;='Energy margins'!$G$62),B19-'Energy margins'!$F$62,""),'Energy margins'!$H$62)=0,'Energy margins'!$E$62,0))</f>
        <v>0</v>
      </c>
      <c r="U19" s="939">
        <f t="shared" si="5"/>
        <v>2318.3679999999999</v>
      </c>
      <c r="V19" s="197"/>
      <c r="W19" s="197">
        <f t="shared" si="6"/>
        <v>2318.3679999999999</v>
      </c>
      <c r="X19" s="197">
        <f t="shared" si="1"/>
        <v>4419.1319999999996</v>
      </c>
      <c r="Y19" s="197">
        <f t="shared" si="2"/>
        <v>4890.7720000000008</v>
      </c>
      <c r="Z19" s="968">
        <f t="shared" si="7"/>
        <v>5324.7441171068567</v>
      </c>
      <c r="AA19" s="969">
        <f t="shared" si="8"/>
        <v>372.74394291536589</v>
      </c>
      <c r="AB19" s="969">
        <f t="shared" si="9"/>
        <v>1832.2399063879463</v>
      </c>
      <c r="AC19" s="969">
        <f t="shared" si="10"/>
        <v>3492.5042107189101</v>
      </c>
      <c r="AD19" s="970">
        <f t="shared" si="11"/>
        <v>3865.2481536342771</v>
      </c>
      <c r="AE19" s="968">
        <f t="shared" si="13"/>
        <v>11314.357083652145</v>
      </c>
      <c r="AF19" s="969">
        <f t="shared" si="12"/>
        <v>2944.0414271158488</v>
      </c>
      <c r="AG19" s="969">
        <f t="shared" si="12"/>
        <v>12999.147408683973</v>
      </c>
      <c r="AH19" s="969">
        <f t="shared" si="12"/>
        <v>-1684.7903250318313</v>
      </c>
      <c r="AI19" s="970">
        <f t="shared" si="12"/>
        <v>1259.2511020840202</v>
      </c>
    </row>
    <row r="20" spans="2:35" x14ac:dyDescent="0.3">
      <c r="B20" s="895">
        <v>8</v>
      </c>
      <c r="C20" s="913">
        <f>'Energy Inputs'!D37</f>
        <v>0</v>
      </c>
      <c r="D20" s="913">
        <f>C20*'Energy Inputs'!$D$24</f>
        <v>0</v>
      </c>
      <c r="E20" s="197">
        <f>'Energy margins'!$E$12</f>
        <v>269.5</v>
      </c>
      <c r="F20" s="913">
        <f t="shared" si="0"/>
        <v>0</v>
      </c>
      <c r="G20" s="913">
        <f>'Energy Inputs'!$D$10</f>
        <v>471.64</v>
      </c>
      <c r="H20" s="197">
        <f t="shared" si="4"/>
        <v>471.64</v>
      </c>
      <c r="I20" s="199"/>
      <c r="J20" s="915">
        <f>IF(ISERROR(IF(MOD(IF(AND(B20&gt;='Energy margins'!$F$44,B20&lt;='Energy margins'!$G$44),B20-'Energy margins'!$F$44,""),'Energy margins'!$H$44)=0,'Energy margins'!$E$44,0)),0,IF(MOD(IF(AND(B20&gt;='Energy margins'!$F$44,B20&lt;='Energy margins'!$G$44),B20-'Energy margins'!$F$44,""),'Energy margins'!$H$44)=0,'Energy margins'!$E$44,0))</f>
        <v>0</v>
      </c>
      <c r="K20" s="913">
        <f>IF(ISERROR(IF(MOD(IF(AND(B20&gt;='Energy margins'!$F$45,B20&lt;='Energy margins'!$G$45),B20-'Energy margins'!$F$45,""),'Energy margins'!$H$45)=0,'Energy margins'!$E$45,0)),0,IF(MOD(IF(AND(B20&gt;='Energy margins'!$F$45,B20&lt;='Energy margins'!$G$45),B20-'Energy margins'!$F$45,""),'Energy margins'!$H$45)=0,'Energy margins'!$E$45,0))</f>
        <v>197.56800000000001</v>
      </c>
      <c r="L20" s="913">
        <f>IF(ISERROR(IF(MOD(IF(AND(B20&gt;='Energy margins'!$F$46,B20&lt;='Energy margins'!$G$46),B20-'Energy margins'!$F$46,""),'Energy margins'!$H$46)=0,'Energy margins'!$E$46,0)),0,IF(MOD(IF(AND(B20&gt;='Energy margins'!$F$46,B20&lt;='Energy margins'!$G$46),B20-'Energy margins'!$F$46,""),'Energy margins'!$H$46)=0,'Energy margins'!$E$46,0))</f>
        <v>0</v>
      </c>
      <c r="M20" s="913">
        <f>IF(ISERROR(IF(MOD(IF(AND(B20&gt;='Energy margins'!$F$47,B20&lt;='Energy margins'!$G$47),B20-'Energy margins'!$F$47,""),'Energy margins'!$H$47)=0,'Energy margins'!$E$47,0)),0,IF(MOD(IF(AND(B20&gt;='Energy margins'!$F$47,B20&lt;='Energy margins'!$G$47),B20-'Energy margins'!$F$47,""),'Energy margins'!$H$47)=0,'Energy margins'!$E$47,0))</f>
        <v>0</v>
      </c>
      <c r="N20" s="913">
        <f>IF(ISERROR(IF(MOD(IF(AND(B20&gt;='Energy margins'!$F$50,B20&lt;='Energy margins'!$G$50),B20-'Energy margins'!$F$50,""),'Energy margins'!$H$50)=0,'Energy margins'!$E$50,0)),0,IF(MOD(IF(AND(B20&gt;='Energy margins'!$F$50,B20&lt;='Energy margins'!$G$50),B20-'Energy margins'!$F$50,""),'Energy margins'!$H$50)=0,'Energy margins'!$E$50,0))</f>
        <v>0</v>
      </c>
      <c r="O20" s="913">
        <f>IF(ISERROR(IF(MOD(IF(AND(B20&gt;='Energy margins'!$F$53,B20&lt;='Energy margins'!$G$53),B20-'Energy margins'!$F$53,""),'Energy margins'!$H$53)=0,'Energy margins'!$E$53,0)),0,IF(MOD(IF(AND(B20&gt;='Energy margins'!$F$53,B20&lt;='Energy margins'!$G$53),B20-'Energy margins'!$F$53,""),'Energy margins'!$H$53)=0,'Energy margins'!$E$53,0))</f>
        <v>0</v>
      </c>
      <c r="P20" s="913">
        <f>IF(ISERROR(IF(MOD(IF(AND(B20&gt;='Energy margins'!$F$56,B20&lt;='Energy margins'!$G$56),B20-'Energy margins'!$F$56,""),'Energy margins'!$H$56)=0,'Energy margins'!$E$56,0)),0,IF(MOD(IF(AND(B20&gt;='Energy margins'!$F$56,B20&lt;='Energy margins'!$G$56),B20-'Energy margins'!$F$56,""),'Energy margins'!$H$56)=0,'Energy margins'!$E$56,0))</f>
        <v>0</v>
      </c>
      <c r="Q20" s="913">
        <f>IF(ISERROR(IF(MOD(IF(AND(B20&gt;='Energy margins'!$F$59,B20&lt;='Energy margins'!$G$59),B20-'Energy margins'!$F$59,""),'Energy margins'!$H$59)=0,'Energy margins'!$E$59,0)),0,IF(MOD(IF(AND(B20&gt;='Energy margins'!$F$59,B20&lt;='Energy margins'!$G$59),B20-'Energy margins'!$F$59,""),'Energy margins'!$H$59)=0,'Energy margins'!$E$59,0))</f>
        <v>0</v>
      </c>
      <c r="R20" s="913">
        <f>IF(ISERROR(IF(MOD(IF(AND(B20&gt;='Energy margins'!$F$60,B20&lt;='Energy margins'!$G$60),B20-'Energy margins'!$F$60,""),'Energy margins'!$H$60)=0,'Energy margins'!$E$60,0)),0,IF(MOD(IF(AND(B20&gt;='Energy margins'!$F$60,B20&lt;='Energy margins'!$G$60),B20-'Energy margins'!$F$60,""),'Energy margins'!$H$60)=0,'Energy margins'!$E$60,0))</f>
        <v>0</v>
      </c>
      <c r="S20" s="913">
        <f>IF(ISERROR(IF(MOD(IF(AND(B20&gt;='Energy margins'!$F$61,B20&lt;='Energy margins'!$G$61),B20-'Energy margins'!$F$61,""),'Energy margins'!$H$61)=0,'Energy margins'!$E$61,0)),0,IF(MOD(IF(AND(B20&gt;='Energy margins'!$F$61,B20&lt;='Energy margins'!$G$61),B20-'Energy margins'!$F$61,""),'Energy margins'!$H$61)=0,'Energy margins'!$E$61,0))</f>
        <v>0</v>
      </c>
      <c r="T20" s="913">
        <f>IF(ISERROR(IF(MOD(IF(AND(B20&gt;='Energy margins'!$F$62,B20&lt;='Energy margins'!$G$62),B20-'Energy margins'!$F$62,""),'Energy margins'!$H$62)=0,'Energy margins'!$E$62,0)),0,IF(MOD(IF(AND(B20&gt;='Energy margins'!$F$62,B20&lt;='Energy margins'!$G$62),B20-'Energy margins'!$F$62,""),'Energy margins'!$H$62)=0,'Energy margins'!$E$62,0))</f>
        <v>0</v>
      </c>
      <c r="U20" s="939">
        <f t="shared" si="5"/>
        <v>197.56800000000001</v>
      </c>
      <c r="V20" s="197"/>
      <c r="W20" s="197">
        <f t="shared" si="6"/>
        <v>197.56800000000001</v>
      </c>
      <c r="X20" s="197">
        <f t="shared" si="1"/>
        <v>-197.56800000000001</v>
      </c>
      <c r="Y20" s="197">
        <f t="shared" si="2"/>
        <v>274.072</v>
      </c>
      <c r="Z20" s="968">
        <f t="shared" si="7"/>
        <v>0</v>
      </c>
      <c r="AA20" s="969">
        <f t="shared" si="8"/>
        <v>358.40763741862111</v>
      </c>
      <c r="AB20" s="969">
        <f t="shared" si="9"/>
        <v>150.13544251870525</v>
      </c>
      <c r="AC20" s="969">
        <f t="shared" si="10"/>
        <v>-150.13544251870525</v>
      </c>
      <c r="AD20" s="970">
        <f t="shared" si="11"/>
        <v>208.27219489991589</v>
      </c>
      <c r="AE20" s="968">
        <f t="shared" si="13"/>
        <v>11314.357083652145</v>
      </c>
      <c r="AF20" s="969">
        <f t="shared" si="12"/>
        <v>3302.4490645344699</v>
      </c>
      <c r="AG20" s="969">
        <f t="shared" si="12"/>
        <v>13149.282851202679</v>
      </c>
      <c r="AH20" s="969">
        <f t="shared" si="12"/>
        <v>-1834.9257675505366</v>
      </c>
      <c r="AI20" s="970">
        <f t="shared" si="12"/>
        <v>1467.523296983936</v>
      </c>
    </row>
    <row r="21" spans="2:35" x14ac:dyDescent="0.3">
      <c r="B21" s="895">
        <v>9</v>
      </c>
      <c r="C21" s="913">
        <f>'Energy Inputs'!D38</f>
        <v>0</v>
      </c>
      <c r="D21" s="913">
        <f>C21*'Energy Inputs'!$D$24</f>
        <v>0</v>
      </c>
      <c r="E21" s="197">
        <f>'Energy margins'!$E$12</f>
        <v>269.5</v>
      </c>
      <c r="F21" s="913">
        <f t="shared" si="0"/>
        <v>0</v>
      </c>
      <c r="G21" s="913">
        <f>'Energy Inputs'!$D$10</f>
        <v>471.64</v>
      </c>
      <c r="H21" s="197">
        <f t="shared" si="4"/>
        <v>471.64</v>
      </c>
      <c r="I21" s="199"/>
      <c r="J21" s="915">
        <f>IF(ISERROR(IF(MOD(IF(AND(B21&gt;='Energy margins'!$F$44,B21&lt;='Energy margins'!$G$44),B21-'Energy margins'!$F$44,""),'Energy margins'!$H$44)=0,'Energy margins'!$E$44,0)),0,IF(MOD(IF(AND(B21&gt;='Energy margins'!$F$44,B21&lt;='Energy margins'!$G$44),B21-'Energy margins'!$F$44,""),'Energy margins'!$H$44)=0,'Energy margins'!$E$44,0))</f>
        <v>0</v>
      </c>
      <c r="K21" s="913">
        <f>IF(ISERROR(IF(MOD(IF(AND(B21&gt;='Energy margins'!$F$45,B21&lt;='Energy margins'!$G$45),B21-'Energy margins'!$F$45,""),'Energy margins'!$H$45)=0,'Energy margins'!$E$45,0)),0,IF(MOD(IF(AND(B21&gt;='Energy margins'!$F$45,B21&lt;='Energy margins'!$G$45),B21-'Energy margins'!$F$45,""),'Energy margins'!$H$45)=0,'Energy margins'!$E$45,0))</f>
        <v>197.56800000000001</v>
      </c>
      <c r="L21" s="913">
        <f>IF(ISERROR(IF(MOD(IF(AND(B21&gt;='Energy margins'!$F$46,B21&lt;='Energy margins'!$G$46),B21-'Energy margins'!$F$46,""),'Energy margins'!$H$46)=0,'Energy margins'!$E$46,0)),0,IF(MOD(IF(AND(B21&gt;='Energy margins'!$F$46,B21&lt;='Energy margins'!$G$46),B21-'Energy margins'!$F$46,""),'Energy margins'!$H$46)=0,'Energy margins'!$E$46,0))</f>
        <v>0</v>
      </c>
      <c r="M21" s="913">
        <f>IF(ISERROR(IF(MOD(IF(AND(B21&gt;='Energy margins'!$F$47,B21&lt;='Energy margins'!$G$47),B21-'Energy margins'!$F$47,""),'Energy margins'!$H$47)=0,'Energy margins'!$E$47,0)),0,IF(MOD(IF(AND(B21&gt;='Energy margins'!$F$47,B21&lt;='Energy margins'!$G$47),B21-'Energy margins'!$F$47,""),'Energy margins'!$H$47)=0,'Energy margins'!$E$47,0))</f>
        <v>0</v>
      </c>
      <c r="N21" s="913">
        <f>IF(ISERROR(IF(MOD(IF(AND(B21&gt;='Energy margins'!$F$50,B21&lt;='Energy margins'!$G$50),B21-'Energy margins'!$F$50,""),'Energy margins'!$H$50)=0,'Energy margins'!$E$50,0)),0,IF(MOD(IF(AND(B21&gt;='Energy margins'!$F$50,B21&lt;='Energy margins'!$G$50),B21-'Energy margins'!$F$50,""),'Energy margins'!$H$50)=0,'Energy margins'!$E$50,0))</f>
        <v>0</v>
      </c>
      <c r="O21" s="913">
        <f>IF(ISERROR(IF(MOD(IF(AND(B21&gt;='Energy margins'!$F$53,B21&lt;='Energy margins'!$G$53),B21-'Energy margins'!$F$53,""),'Energy margins'!$H$53)=0,'Energy margins'!$E$53,0)),0,IF(MOD(IF(AND(B21&gt;='Energy margins'!$F$53,B21&lt;='Energy margins'!$G$53),B21-'Energy margins'!$F$53,""),'Energy margins'!$H$53)=0,'Energy margins'!$E$53,0))</f>
        <v>0</v>
      </c>
      <c r="P21" s="913">
        <f>IF(ISERROR(IF(MOD(IF(AND(B21&gt;='Energy margins'!$F$56,B21&lt;='Energy margins'!$G$56),B21-'Energy margins'!$F$56,""),'Energy margins'!$H$56)=0,'Energy margins'!$E$56,0)),0,IF(MOD(IF(AND(B21&gt;='Energy margins'!$F$56,B21&lt;='Energy margins'!$G$56),B21-'Energy margins'!$F$56,""),'Energy margins'!$H$56)=0,'Energy margins'!$E$56,0))</f>
        <v>0</v>
      </c>
      <c r="Q21" s="913">
        <f>IF(ISERROR(IF(MOD(IF(AND(B21&gt;='Energy margins'!$F$59,B21&lt;='Energy margins'!$G$59),B21-'Energy margins'!$F$59,""),'Energy margins'!$H$59)=0,'Energy margins'!$E$59,0)),0,IF(MOD(IF(AND(B21&gt;='Energy margins'!$F$59,B21&lt;='Energy margins'!$G$59),B21-'Energy margins'!$F$59,""),'Energy margins'!$H$59)=0,'Energy margins'!$E$59,0))</f>
        <v>0</v>
      </c>
      <c r="R21" s="913">
        <f>IF(ISERROR(IF(MOD(IF(AND(B21&gt;='Energy margins'!$F$60,B21&lt;='Energy margins'!$G$60),B21-'Energy margins'!$F$60,""),'Energy margins'!$H$60)=0,'Energy margins'!$E$60,0)),0,IF(MOD(IF(AND(B21&gt;='Energy margins'!$F$60,B21&lt;='Energy margins'!$G$60),B21-'Energy margins'!$F$60,""),'Energy margins'!$H$60)=0,'Energy margins'!$E$60,0))</f>
        <v>0</v>
      </c>
      <c r="S21" s="913">
        <f>IF(ISERROR(IF(MOD(IF(AND(B21&gt;='Energy margins'!$F$61,B21&lt;='Energy margins'!$G$61),B21-'Energy margins'!$F$61,""),'Energy margins'!$H$61)=0,'Energy margins'!$E$61,0)),0,IF(MOD(IF(AND(B21&gt;='Energy margins'!$F$61,B21&lt;='Energy margins'!$G$61),B21-'Energy margins'!$F$61,""),'Energy margins'!$H$61)=0,'Energy margins'!$E$61,0))</f>
        <v>0</v>
      </c>
      <c r="T21" s="913">
        <f>IF(ISERROR(IF(MOD(IF(AND(B21&gt;='Energy margins'!$F$62,B21&lt;='Energy margins'!$G$62),B21-'Energy margins'!$F$62,""),'Energy margins'!$H$62)=0,'Energy margins'!$E$62,0)),0,IF(MOD(IF(AND(B21&gt;='Energy margins'!$F$62,B21&lt;='Energy margins'!$G$62),B21-'Energy margins'!$F$62,""),'Energy margins'!$H$62)=0,'Energy margins'!$E$62,0))</f>
        <v>0</v>
      </c>
      <c r="U21" s="939">
        <f t="shared" si="5"/>
        <v>197.56800000000001</v>
      </c>
      <c r="V21" s="197"/>
      <c r="W21" s="197">
        <f t="shared" si="6"/>
        <v>197.56800000000001</v>
      </c>
      <c r="X21" s="197">
        <f t="shared" si="1"/>
        <v>-197.56800000000001</v>
      </c>
      <c r="Y21" s="197">
        <f t="shared" si="2"/>
        <v>274.072</v>
      </c>
      <c r="Z21" s="968">
        <f t="shared" si="7"/>
        <v>0</v>
      </c>
      <c r="AA21" s="969">
        <f t="shared" si="8"/>
        <v>344.6227282871356</v>
      </c>
      <c r="AB21" s="969">
        <f t="shared" si="9"/>
        <v>144.36100242183193</v>
      </c>
      <c r="AC21" s="969">
        <f t="shared" si="10"/>
        <v>-144.36100242183193</v>
      </c>
      <c r="AD21" s="970">
        <f t="shared" si="11"/>
        <v>200.2617258653037</v>
      </c>
      <c r="AE21" s="968">
        <f t="shared" si="13"/>
        <v>11314.357083652145</v>
      </c>
      <c r="AF21" s="969">
        <f t="shared" si="12"/>
        <v>3647.0717928216054</v>
      </c>
      <c r="AG21" s="969">
        <f t="shared" si="12"/>
        <v>13293.643853624511</v>
      </c>
      <c r="AH21" s="969">
        <f t="shared" si="12"/>
        <v>-1979.2867699723686</v>
      </c>
      <c r="AI21" s="970">
        <f t="shared" si="12"/>
        <v>1667.7850228492398</v>
      </c>
    </row>
    <row r="22" spans="2:35" x14ac:dyDescent="0.3">
      <c r="B22" s="895">
        <v>10</v>
      </c>
      <c r="C22" s="913">
        <f>'Energy Inputs'!D39</f>
        <v>1</v>
      </c>
      <c r="D22" s="913">
        <f>C22*'Energy Inputs'!$D$24</f>
        <v>25</v>
      </c>
      <c r="E22" s="197">
        <f>'Energy margins'!$E$12</f>
        <v>269.5</v>
      </c>
      <c r="F22" s="913">
        <f t="shared" si="0"/>
        <v>6737.5</v>
      </c>
      <c r="G22" s="913">
        <f>'Energy Inputs'!$D$10</f>
        <v>471.64</v>
      </c>
      <c r="H22" s="197">
        <f t="shared" si="4"/>
        <v>7209.14</v>
      </c>
      <c r="I22" s="199"/>
      <c r="J22" s="915">
        <f>IF(ISERROR(IF(MOD(IF(AND(B22&gt;='Energy margins'!$F$44,B22&lt;='Energy margins'!$G$44),B22-'Energy margins'!$F$44,""),'Energy margins'!$H$44)=0,'Energy margins'!$E$44,0)),0,IF(MOD(IF(AND(B22&gt;='Energy margins'!$F$44,B22&lt;='Energy margins'!$G$44),B22-'Energy margins'!$F$44,""),'Energy margins'!$H$44)=0,'Energy margins'!$E$44,0))</f>
        <v>0</v>
      </c>
      <c r="K22" s="913">
        <f>IF(ISERROR(IF(MOD(IF(AND(B22&gt;='Energy margins'!$F$45,B22&lt;='Energy margins'!$G$45),B22-'Energy margins'!$F$45,""),'Energy margins'!$H$45)=0,'Energy margins'!$E$45,0)),0,IF(MOD(IF(AND(B22&gt;='Energy margins'!$F$45,B22&lt;='Energy margins'!$G$45),B22-'Energy margins'!$F$45,""),'Energy margins'!$H$45)=0,'Energy margins'!$E$45,0))</f>
        <v>197.56800000000001</v>
      </c>
      <c r="L22" s="913">
        <f>IF(ISERROR(IF(MOD(IF(AND(B22&gt;='Energy margins'!$F$46,B22&lt;='Energy margins'!$G$46),B22-'Energy margins'!$F$46,""),'Energy margins'!$H$46)=0,'Energy margins'!$E$46,0)),0,IF(MOD(IF(AND(B22&gt;='Energy margins'!$F$46,B22&lt;='Energy margins'!$G$46),B22-'Energy margins'!$F$46,""),'Energy margins'!$H$46)=0,'Energy margins'!$E$46,0))</f>
        <v>0</v>
      </c>
      <c r="M22" s="913">
        <f>IF(ISERROR(IF(MOD(IF(AND(B22&gt;='Energy margins'!$F$47,B22&lt;='Energy margins'!$G$47),B22-'Energy margins'!$F$47,""),'Energy margins'!$H$47)=0,'Energy margins'!$E$47,0)),0,IF(MOD(IF(AND(B22&gt;='Energy margins'!$F$47,B22&lt;='Energy margins'!$G$47),B22-'Energy margins'!$F$47,""),'Energy margins'!$H$47)=0,'Energy margins'!$E$47,0))</f>
        <v>327</v>
      </c>
      <c r="N22" s="913">
        <f>IF(ISERROR(IF(MOD(IF(AND(B22&gt;='Energy margins'!$F$50,B22&lt;='Energy margins'!$G$50),B22-'Energy margins'!$F$50,""),'Energy margins'!$H$50)=0,'Energy margins'!$E$50,0)),0,IF(MOD(IF(AND(B22&gt;='Energy margins'!$F$50,B22&lt;='Energy margins'!$G$50),B22-'Energy margins'!$F$50,""),'Energy margins'!$H$50)=0,'Energy margins'!$E$50,0))</f>
        <v>309.60000000000002</v>
      </c>
      <c r="O22" s="913">
        <f>IF(ISERROR(IF(MOD(IF(AND(B22&gt;='Energy margins'!$F$53,B22&lt;='Energy margins'!$G$53),B22-'Energy margins'!$F$53,""),'Energy margins'!$H$53)=0,'Energy margins'!$E$53,0)),0,IF(MOD(IF(AND(B22&gt;='Energy margins'!$F$53,B22&lt;='Energy margins'!$G$53),B22-'Energy margins'!$F$53,""),'Energy margins'!$H$53)=0,'Energy margins'!$E$53,0))</f>
        <v>357.59999999999997</v>
      </c>
      <c r="P22" s="913">
        <f>IF(ISERROR(IF(MOD(IF(AND(B22&gt;='Energy margins'!$F$56,B22&lt;='Energy margins'!$G$56),B22-'Energy margins'!$F$56,""),'Energy margins'!$H$56)=0,'Energy margins'!$E$56,0)),0,IF(MOD(IF(AND(B22&gt;='Energy margins'!$F$56,B22&lt;='Energy margins'!$G$56),B22-'Energy margins'!$F$56,""),'Energy margins'!$H$56)=0,'Energy margins'!$E$56,0))</f>
        <v>321.60000000000002</v>
      </c>
      <c r="Q22" s="913">
        <f>IF(ISERROR(IF(MOD(IF(AND(B22&gt;='Energy margins'!$F$59,B22&lt;='Energy margins'!$G$59),B22-'Energy margins'!$F$59,""),'Energy margins'!$H$59)=0,'Energy margins'!$E$59,0)),0,IF(MOD(IF(AND(B22&gt;='Energy margins'!$F$59,B22&lt;='Energy margins'!$G$59),B22-'Energy margins'!$F$59,""),'Energy margins'!$H$59)=0,'Energy margins'!$E$59,0))</f>
        <v>805</v>
      </c>
      <c r="R22" s="913">
        <f>IF(ISERROR(IF(MOD(IF(AND(B22&gt;='Energy margins'!$F$60,B22&lt;='Energy margins'!$G$60),B22-'Energy margins'!$F$60,""),'Energy margins'!$H$60)=0,'Energy margins'!$E$60,0)),0,IF(MOD(IF(AND(B22&gt;='Energy margins'!$F$60,B22&lt;='Energy margins'!$G$60),B22-'Energy margins'!$F$60,""),'Energy margins'!$H$60)=0,'Energy margins'!$E$60,0))</f>
        <v>0</v>
      </c>
      <c r="S22" s="913">
        <f>IF(ISERROR(IF(MOD(IF(AND(B22&gt;='Energy margins'!$F$61,B22&lt;='Energy margins'!$G$61),B22-'Energy margins'!$F$61,""),'Energy margins'!$H$61)=0,'Energy margins'!$E$61,0)),0,IF(MOD(IF(AND(B22&gt;='Energy margins'!$F$61,B22&lt;='Energy margins'!$G$61),B22-'Energy margins'!$F$61,""),'Energy margins'!$H$61)=0,'Energy margins'!$E$61,0))</f>
        <v>0</v>
      </c>
      <c r="T22" s="913">
        <f>IF(ISERROR(IF(MOD(IF(AND(B22&gt;='Energy margins'!$F$62,B22&lt;='Energy margins'!$G$62),B22-'Energy margins'!$F$62,""),'Energy margins'!$H$62)=0,'Energy margins'!$E$62,0)),0,IF(MOD(IF(AND(B22&gt;='Energy margins'!$F$62,B22&lt;='Energy margins'!$G$62),B22-'Energy margins'!$F$62,""),'Energy margins'!$H$62)=0,'Energy margins'!$E$62,0))</f>
        <v>0</v>
      </c>
      <c r="U22" s="939">
        <f t="shared" si="5"/>
        <v>2318.3679999999999</v>
      </c>
      <c r="V22" s="197"/>
      <c r="W22" s="197">
        <f t="shared" si="6"/>
        <v>2318.3679999999999</v>
      </c>
      <c r="X22" s="197">
        <f t="shared" si="1"/>
        <v>4419.1319999999996</v>
      </c>
      <c r="Y22" s="197">
        <f t="shared" si="2"/>
        <v>4890.7720000000008</v>
      </c>
      <c r="Z22" s="968">
        <f t="shared" si="7"/>
        <v>4733.6781309623702</v>
      </c>
      <c r="AA22" s="969">
        <f t="shared" si="8"/>
        <v>331.36800796839958</v>
      </c>
      <c r="AB22" s="969">
        <f t="shared" si="9"/>
        <v>1628.8546049904221</v>
      </c>
      <c r="AC22" s="969">
        <f t="shared" si="10"/>
        <v>3104.8235259719481</v>
      </c>
      <c r="AD22" s="970">
        <f t="shared" si="11"/>
        <v>3436.1915339403486</v>
      </c>
      <c r="AE22" s="968">
        <f t="shared" si="13"/>
        <v>16048.035214614516</v>
      </c>
      <c r="AF22" s="969">
        <f t="shared" si="12"/>
        <v>3978.4398007900049</v>
      </c>
      <c r="AG22" s="969">
        <f t="shared" si="12"/>
        <v>14922.498458614933</v>
      </c>
      <c r="AH22" s="969">
        <f t="shared" si="12"/>
        <v>1125.5367559995796</v>
      </c>
      <c r="AI22" s="970">
        <f t="shared" si="12"/>
        <v>5103.9765567895884</v>
      </c>
    </row>
    <row r="23" spans="2:35" x14ac:dyDescent="0.3">
      <c r="B23" s="895">
        <v>11</v>
      </c>
      <c r="C23" s="913">
        <f>'Energy Inputs'!D40</f>
        <v>0</v>
      </c>
      <c r="D23" s="913">
        <f>C23*'Energy Inputs'!$D$24</f>
        <v>0</v>
      </c>
      <c r="E23" s="197">
        <f>'Energy margins'!$E$12</f>
        <v>269.5</v>
      </c>
      <c r="F23" s="913">
        <f t="shared" si="0"/>
        <v>0</v>
      </c>
      <c r="G23" s="913">
        <f>'Energy Inputs'!$D$10</f>
        <v>471.64</v>
      </c>
      <c r="H23" s="197">
        <f t="shared" si="4"/>
        <v>471.64</v>
      </c>
      <c r="I23" s="199"/>
      <c r="J23" s="915">
        <f>IF(ISERROR(IF(MOD(IF(AND(B23&gt;='Energy margins'!$F$44,B23&lt;='Energy margins'!$G$44),B23-'Energy margins'!$F$44,""),'Energy margins'!$H$44)=0,'Energy margins'!$E$44,0)),0,IF(MOD(IF(AND(B23&gt;='Energy margins'!$F$44,B23&lt;='Energy margins'!$G$44),B23-'Energy margins'!$F$44,""),'Energy margins'!$H$44)=0,'Energy margins'!$E$44,0))</f>
        <v>0</v>
      </c>
      <c r="K23" s="913">
        <f>IF(ISERROR(IF(MOD(IF(AND(B23&gt;='Energy margins'!$F$45,B23&lt;='Energy margins'!$G$45),B23-'Energy margins'!$F$45,""),'Energy margins'!$H$45)=0,'Energy margins'!$E$45,0)),0,IF(MOD(IF(AND(B23&gt;='Energy margins'!$F$45,B23&lt;='Energy margins'!$G$45),B23-'Energy margins'!$F$45,""),'Energy margins'!$H$45)=0,'Energy margins'!$E$45,0))</f>
        <v>0</v>
      </c>
      <c r="L23" s="913">
        <f>IF(ISERROR(IF(MOD(IF(AND(B23&gt;='Energy margins'!$F$46,B23&lt;='Energy margins'!$G$46),B23-'Energy margins'!$F$46,""),'Energy margins'!$H$46)=0,'Energy margins'!$E$46,0)),0,IF(MOD(IF(AND(B23&gt;='Energy margins'!$F$46,B23&lt;='Energy margins'!$G$46),B23-'Energy margins'!$F$46,""),'Energy margins'!$H$46)=0,'Energy margins'!$E$46,0))</f>
        <v>0</v>
      </c>
      <c r="M23" s="913">
        <f>IF(ISERROR(IF(MOD(IF(AND(B23&gt;='Energy margins'!$F$47,B23&lt;='Energy margins'!$G$47),B23-'Energy margins'!$F$47,""),'Energy margins'!$H$47)=0,'Energy margins'!$E$47,0)),0,IF(MOD(IF(AND(B23&gt;='Energy margins'!$F$47,B23&lt;='Energy margins'!$G$47),B23-'Energy margins'!$F$47,""),'Energy margins'!$H$47)=0,'Energy margins'!$E$47,0))</f>
        <v>0</v>
      </c>
      <c r="N23" s="913">
        <f>IF(ISERROR(IF(MOD(IF(AND(B23&gt;='Energy margins'!$F$50,B23&lt;='Energy margins'!$G$50),B23-'Energy margins'!$F$50,""),'Energy margins'!$H$50)=0,'Energy margins'!$E$50,0)),0,IF(MOD(IF(AND(B23&gt;='Energy margins'!$F$50,B23&lt;='Energy margins'!$G$50),B23-'Energy margins'!$F$50,""),'Energy margins'!$H$50)=0,'Energy margins'!$E$50,0))</f>
        <v>0</v>
      </c>
      <c r="O23" s="913">
        <f>IF(ISERROR(IF(MOD(IF(AND(B23&gt;='Energy margins'!$F$53,B23&lt;='Energy margins'!$G$53),B23-'Energy margins'!$F$53,""),'Energy margins'!$H$53)=0,'Energy margins'!$E$53,0)),0,IF(MOD(IF(AND(B23&gt;='Energy margins'!$F$53,B23&lt;='Energy margins'!$G$53),B23-'Energy margins'!$F$53,""),'Energy margins'!$H$53)=0,'Energy margins'!$E$53,0))</f>
        <v>0</v>
      </c>
      <c r="P23" s="913">
        <f>IF(ISERROR(IF(MOD(IF(AND(B23&gt;='Energy margins'!$F$56,B23&lt;='Energy margins'!$G$56),B23-'Energy margins'!$F$56,""),'Energy margins'!$H$56)=0,'Energy margins'!$E$56,0)),0,IF(MOD(IF(AND(B23&gt;='Energy margins'!$F$56,B23&lt;='Energy margins'!$G$56),B23-'Energy margins'!$F$56,""),'Energy margins'!$H$56)=0,'Energy margins'!$E$56,0))</f>
        <v>0</v>
      </c>
      <c r="Q23" s="913">
        <f>IF(ISERROR(IF(MOD(IF(AND(B23&gt;='Energy margins'!$F$59,B23&lt;='Energy margins'!$G$59),B23-'Energy margins'!$F$59,""),'Energy margins'!$H$59)=0,'Energy margins'!$E$59,0)),0,IF(MOD(IF(AND(B23&gt;='Energy margins'!$F$59,B23&lt;='Energy margins'!$G$59),B23-'Energy margins'!$F$59,""),'Energy margins'!$H$59)=0,'Energy margins'!$E$59,0))</f>
        <v>0</v>
      </c>
      <c r="R23" s="913">
        <f>IF(ISERROR(IF(MOD(IF(AND(B23&gt;='Energy margins'!$F$60,B23&lt;='Energy margins'!$G$60),B23-'Energy margins'!$F$60,""),'Energy margins'!$H$60)=0,'Energy margins'!$E$60,0)),0,IF(MOD(IF(AND(B23&gt;='Energy margins'!$F$60,B23&lt;='Energy margins'!$G$60),B23-'Energy margins'!$F$60,""),'Energy margins'!$H$60)=0,'Energy margins'!$E$60,0))</f>
        <v>0</v>
      </c>
      <c r="S23" s="913">
        <f>IF(ISERROR(IF(MOD(IF(AND(B23&gt;='Energy margins'!$F$61,B23&lt;='Energy margins'!$G$61),B23-'Energy margins'!$F$61,""),'Energy margins'!$H$61)=0,'Energy margins'!$E$61,0)),0,IF(MOD(IF(AND(B23&gt;='Energy margins'!$F$61,B23&lt;='Energy margins'!$G$61),B23-'Energy margins'!$F$61,""),'Energy margins'!$H$61)=0,'Energy margins'!$E$61,0))</f>
        <v>0</v>
      </c>
      <c r="T23" s="913">
        <f>IF(ISERROR(IF(MOD(IF(AND(B23&gt;='Energy margins'!$F$62,B23&lt;='Energy margins'!$G$62),B23-'Energy margins'!$F$62,""),'Energy margins'!$H$62)=0,'Energy margins'!$E$62,0)),0,IF(MOD(IF(AND(B23&gt;='Energy margins'!$F$62,B23&lt;='Energy margins'!$G$62),B23-'Energy margins'!$F$62,""),'Energy margins'!$H$62)=0,'Energy margins'!$E$62,0))</f>
        <v>0</v>
      </c>
      <c r="U23" s="939">
        <f t="shared" si="5"/>
        <v>0</v>
      </c>
      <c r="V23" s="197"/>
      <c r="W23" s="197">
        <f t="shared" si="6"/>
        <v>0</v>
      </c>
      <c r="X23" s="197">
        <f t="shared" si="1"/>
        <v>0</v>
      </c>
      <c r="Y23" s="197">
        <f t="shared" si="2"/>
        <v>471.64</v>
      </c>
      <c r="Z23" s="968">
        <f t="shared" si="7"/>
        <v>0</v>
      </c>
      <c r="AA23" s="969">
        <f t="shared" si="8"/>
        <v>318.62308458499962</v>
      </c>
      <c r="AB23" s="969">
        <f t="shared" si="9"/>
        <v>0</v>
      </c>
      <c r="AC23" s="969">
        <f t="shared" si="10"/>
        <v>0</v>
      </c>
      <c r="AD23" s="970">
        <f t="shared" si="11"/>
        <v>318.62308458499962</v>
      </c>
      <c r="AE23" s="968">
        <f t="shared" si="13"/>
        <v>16048.035214614516</v>
      </c>
      <c r="AF23" s="969">
        <f t="shared" si="12"/>
        <v>4297.062885375005</v>
      </c>
      <c r="AG23" s="969">
        <f t="shared" si="12"/>
        <v>14922.498458614933</v>
      </c>
      <c r="AH23" s="969">
        <f t="shared" si="12"/>
        <v>1125.5367559995796</v>
      </c>
      <c r="AI23" s="970">
        <f t="shared" si="12"/>
        <v>5422.5996413745879</v>
      </c>
    </row>
    <row r="24" spans="2:35" x14ac:dyDescent="0.3">
      <c r="B24" s="895">
        <v>12</v>
      </c>
      <c r="C24" s="913">
        <f>'Energy Inputs'!D41</f>
        <v>0</v>
      </c>
      <c r="D24" s="913">
        <f>C24*'Energy Inputs'!$D$24</f>
        <v>0</v>
      </c>
      <c r="E24" s="197">
        <f>'Energy margins'!$E$12</f>
        <v>269.5</v>
      </c>
      <c r="F24" s="913">
        <f t="shared" si="0"/>
        <v>0</v>
      </c>
      <c r="G24" s="913">
        <f>'Energy Inputs'!$D$10</f>
        <v>471.64</v>
      </c>
      <c r="H24" s="197">
        <f t="shared" si="4"/>
        <v>471.64</v>
      </c>
      <c r="I24" s="199"/>
      <c r="J24" s="915">
        <f>IF(ISERROR(IF(MOD(IF(AND(B24&gt;='Energy margins'!$F$44,B24&lt;='Energy margins'!$G$44),B24-'Energy margins'!$F$44,""),'Energy margins'!$H$44)=0,'Energy margins'!$E$44,0)),0,IF(MOD(IF(AND(B24&gt;='Energy margins'!$F$44,B24&lt;='Energy margins'!$G$44),B24-'Energy margins'!$F$44,""),'Energy margins'!$H$44)=0,'Energy margins'!$E$44,0))</f>
        <v>0</v>
      </c>
      <c r="K24" s="913">
        <f>IF(ISERROR(IF(MOD(IF(AND(B24&gt;='Energy margins'!$F$45,B24&lt;='Energy margins'!$G$45),B24-'Energy margins'!$F$45,""),'Energy margins'!$H$45)=0,'Energy margins'!$E$45,0)),0,IF(MOD(IF(AND(B24&gt;='Energy margins'!$F$45,B24&lt;='Energy margins'!$G$45),B24-'Energy margins'!$F$45,""),'Energy margins'!$H$45)=0,'Energy margins'!$E$45,0))</f>
        <v>0</v>
      </c>
      <c r="L24" s="913">
        <f>IF(ISERROR(IF(MOD(IF(AND(B24&gt;='Energy margins'!$F$46,B24&lt;='Energy margins'!$G$46),B24-'Energy margins'!$F$46,""),'Energy margins'!$H$46)=0,'Energy margins'!$E$46,0)),0,IF(MOD(IF(AND(B24&gt;='Energy margins'!$F$46,B24&lt;='Energy margins'!$G$46),B24-'Energy margins'!$F$46,""),'Energy margins'!$H$46)=0,'Energy margins'!$E$46,0))</f>
        <v>0</v>
      </c>
      <c r="M24" s="913">
        <f>IF(ISERROR(IF(MOD(IF(AND(B24&gt;='Energy margins'!$F$47,B24&lt;='Energy margins'!$G$47),B24-'Energy margins'!$F$47,""),'Energy margins'!$H$47)=0,'Energy margins'!$E$47,0)),0,IF(MOD(IF(AND(B24&gt;='Energy margins'!$F$47,B24&lt;='Energy margins'!$G$47),B24-'Energy margins'!$F$47,""),'Energy margins'!$H$47)=0,'Energy margins'!$E$47,0))</f>
        <v>0</v>
      </c>
      <c r="N24" s="913">
        <f>IF(ISERROR(IF(MOD(IF(AND(B24&gt;='Energy margins'!$F$50,B24&lt;='Energy margins'!$G$50),B24-'Energy margins'!$F$50,""),'Energy margins'!$H$50)=0,'Energy margins'!$E$50,0)),0,IF(MOD(IF(AND(B24&gt;='Energy margins'!$F$50,B24&lt;='Energy margins'!$G$50),B24-'Energy margins'!$F$50,""),'Energy margins'!$H$50)=0,'Energy margins'!$E$50,0))</f>
        <v>0</v>
      </c>
      <c r="O24" s="913">
        <f>IF(ISERROR(IF(MOD(IF(AND(B24&gt;='Energy margins'!$F$53,B24&lt;='Energy margins'!$G$53),B24-'Energy margins'!$F$53,""),'Energy margins'!$H$53)=0,'Energy margins'!$E$53,0)),0,IF(MOD(IF(AND(B24&gt;='Energy margins'!$F$53,B24&lt;='Energy margins'!$G$53),B24-'Energy margins'!$F$53,""),'Energy margins'!$H$53)=0,'Energy margins'!$E$53,0))</f>
        <v>0</v>
      </c>
      <c r="P24" s="913">
        <f>IF(ISERROR(IF(MOD(IF(AND(B24&gt;='Energy margins'!$F$56,B24&lt;='Energy margins'!$G$56),B24-'Energy margins'!$F$56,""),'Energy margins'!$H$56)=0,'Energy margins'!$E$56,0)),0,IF(MOD(IF(AND(B24&gt;='Energy margins'!$F$56,B24&lt;='Energy margins'!$G$56),B24-'Energy margins'!$F$56,""),'Energy margins'!$H$56)=0,'Energy margins'!$E$56,0))</f>
        <v>0</v>
      </c>
      <c r="Q24" s="913">
        <f>IF(ISERROR(IF(MOD(IF(AND(B24&gt;='Energy margins'!$F$59,B24&lt;='Energy margins'!$G$59),B24-'Energy margins'!$F$59,""),'Energy margins'!$H$59)=0,'Energy margins'!$E$59,0)),0,IF(MOD(IF(AND(B24&gt;='Energy margins'!$F$59,B24&lt;='Energy margins'!$G$59),B24-'Energy margins'!$F$59,""),'Energy margins'!$H$59)=0,'Energy margins'!$E$59,0))</f>
        <v>0</v>
      </c>
      <c r="R24" s="913">
        <f>IF(ISERROR(IF(MOD(IF(AND(B24&gt;='Energy margins'!$F$60,B24&lt;='Energy margins'!$G$60),B24-'Energy margins'!$F$60,""),'Energy margins'!$H$60)=0,'Energy margins'!$E$60,0)),0,IF(MOD(IF(AND(B24&gt;='Energy margins'!$F$60,B24&lt;='Energy margins'!$G$60),B24-'Energy margins'!$F$60,""),'Energy margins'!$H$60)=0,'Energy margins'!$E$60,0))</f>
        <v>0</v>
      </c>
      <c r="S24" s="913">
        <f>IF(ISERROR(IF(MOD(IF(AND(B24&gt;='Energy margins'!$F$61,B24&lt;='Energy margins'!$G$61),B24-'Energy margins'!$F$61,""),'Energy margins'!$H$61)=0,'Energy margins'!$E$61,0)),0,IF(MOD(IF(AND(B24&gt;='Energy margins'!$F$61,B24&lt;='Energy margins'!$G$61),B24-'Energy margins'!$F$61,""),'Energy margins'!$H$61)=0,'Energy margins'!$E$61,0))</f>
        <v>0</v>
      </c>
      <c r="T24" s="913">
        <f>IF(ISERROR(IF(MOD(IF(AND(B24&gt;='Energy margins'!$F$62,B24&lt;='Energy margins'!$G$62),B24-'Energy margins'!$F$62,""),'Energy margins'!$H$62)=0,'Energy margins'!$E$62,0)),0,IF(MOD(IF(AND(B24&gt;='Energy margins'!$F$62,B24&lt;='Energy margins'!$G$62),B24-'Energy margins'!$F$62,""),'Energy margins'!$H$62)=0,'Energy margins'!$E$62,0))</f>
        <v>0</v>
      </c>
      <c r="U24" s="939">
        <f t="shared" si="5"/>
        <v>0</v>
      </c>
      <c r="V24" s="197"/>
      <c r="W24" s="197">
        <f t="shared" si="6"/>
        <v>0</v>
      </c>
      <c r="X24" s="197">
        <f t="shared" si="1"/>
        <v>0</v>
      </c>
      <c r="Y24" s="197">
        <f t="shared" si="2"/>
        <v>471.64</v>
      </c>
      <c r="Z24" s="968">
        <f t="shared" si="7"/>
        <v>0</v>
      </c>
      <c r="AA24" s="969">
        <f t="shared" si="8"/>
        <v>306.36835056249964</v>
      </c>
      <c r="AB24" s="969">
        <f t="shared" si="9"/>
        <v>0</v>
      </c>
      <c r="AC24" s="969">
        <f t="shared" si="10"/>
        <v>0</v>
      </c>
      <c r="AD24" s="970">
        <f t="shared" si="11"/>
        <v>306.36835056249964</v>
      </c>
      <c r="AE24" s="968">
        <f t="shared" si="13"/>
        <v>16048.035214614516</v>
      </c>
      <c r="AF24" s="969">
        <f t="shared" si="12"/>
        <v>4603.4312359375044</v>
      </c>
      <c r="AG24" s="969">
        <f t="shared" si="12"/>
        <v>14922.498458614933</v>
      </c>
      <c r="AH24" s="969">
        <f t="shared" si="12"/>
        <v>1125.5367559995796</v>
      </c>
      <c r="AI24" s="970">
        <f t="shared" si="12"/>
        <v>5728.9679919370874</v>
      </c>
    </row>
    <row r="25" spans="2:35" x14ac:dyDescent="0.3">
      <c r="B25" s="895">
        <v>13</v>
      </c>
      <c r="C25" s="913">
        <f>'Energy Inputs'!D42</f>
        <v>1</v>
      </c>
      <c r="D25" s="913">
        <f>C25*'Energy Inputs'!$D$24</f>
        <v>25</v>
      </c>
      <c r="E25" s="197">
        <f>'Energy margins'!$E$12</f>
        <v>269.5</v>
      </c>
      <c r="F25" s="913">
        <f t="shared" si="0"/>
        <v>6737.5</v>
      </c>
      <c r="G25" s="913">
        <f>'Energy Inputs'!$D$10</f>
        <v>471.64</v>
      </c>
      <c r="H25" s="197">
        <f t="shared" si="4"/>
        <v>7209.14</v>
      </c>
      <c r="I25" s="199"/>
      <c r="J25" s="915">
        <f>IF(ISERROR(IF(MOD(IF(AND(B25&gt;='Energy margins'!$F$44,B25&lt;='Energy margins'!$G$44),B25-'Energy margins'!$F$44,""),'Energy margins'!$H$44)=0,'Energy margins'!$E$44,0)),0,IF(MOD(IF(AND(B25&gt;='Energy margins'!$F$44,B25&lt;='Energy margins'!$G$44),B25-'Energy margins'!$F$44,""),'Energy margins'!$H$44)=0,'Energy margins'!$E$44,0))</f>
        <v>0</v>
      </c>
      <c r="K25" s="913">
        <f>IF(ISERROR(IF(MOD(IF(AND(B25&gt;='Energy margins'!$F$45,B25&lt;='Energy margins'!$G$45),B25-'Energy margins'!$F$45,""),'Energy margins'!$H$45)=0,'Energy margins'!$E$45,0)),0,IF(MOD(IF(AND(B25&gt;='Energy margins'!$F$45,B25&lt;='Energy margins'!$G$45),B25-'Energy margins'!$F$45,""),'Energy margins'!$H$45)=0,'Energy margins'!$E$45,0))</f>
        <v>0</v>
      </c>
      <c r="L25" s="913">
        <f>IF(ISERROR(IF(MOD(IF(AND(B25&gt;='Energy margins'!$F$46,B25&lt;='Energy margins'!$G$46),B25-'Energy margins'!$F$46,""),'Energy margins'!$H$46)=0,'Energy margins'!$E$46,0)),0,IF(MOD(IF(AND(B25&gt;='Energy margins'!$F$46,B25&lt;='Energy margins'!$G$46),B25-'Energy margins'!$F$46,""),'Energy margins'!$H$46)=0,'Energy margins'!$E$46,0))</f>
        <v>0</v>
      </c>
      <c r="M25" s="913">
        <f>IF(ISERROR(IF(MOD(IF(AND(B25&gt;='Energy margins'!$F$47,B25&lt;='Energy margins'!$G$47),B25-'Energy margins'!$F$47,""),'Energy margins'!$H$47)=0,'Energy margins'!$E$47,0)),0,IF(MOD(IF(AND(B25&gt;='Energy margins'!$F$47,B25&lt;='Energy margins'!$G$47),B25-'Energy margins'!$F$47,""),'Energy margins'!$H$47)=0,'Energy margins'!$E$47,0))</f>
        <v>327</v>
      </c>
      <c r="N25" s="913">
        <f>IF(ISERROR(IF(MOD(IF(AND(B25&gt;='Energy margins'!$F$50,B25&lt;='Energy margins'!$G$50),B25-'Energy margins'!$F$50,""),'Energy margins'!$H$50)=0,'Energy margins'!$E$50,0)),0,IF(MOD(IF(AND(B25&gt;='Energy margins'!$F$50,B25&lt;='Energy margins'!$G$50),B25-'Energy margins'!$F$50,""),'Energy margins'!$H$50)=0,'Energy margins'!$E$50,0))</f>
        <v>309.60000000000002</v>
      </c>
      <c r="O25" s="913">
        <f>IF(ISERROR(IF(MOD(IF(AND(B25&gt;='Energy margins'!$F$53,B25&lt;='Energy margins'!$G$53),B25-'Energy margins'!$F$53,""),'Energy margins'!$H$53)=0,'Energy margins'!$E$53,0)),0,IF(MOD(IF(AND(B25&gt;='Energy margins'!$F$53,B25&lt;='Energy margins'!$G$53),B25-'Energy margins'!$F$53,""),'Energy margins'!$H$53)=0,'Energy margins'!$E$53,0))</f>
        <v>357.59999999999997</v>
      </c>
      <c r="P25" s="913">
        <f>IF(ISERROR(IF(MOD(IF(AND(B25&gt;='Energy margins'!$F$56,B25&lt;='Energy margins'!$G$56),B25-'Energy margins'!$F$56,""),'Energy margins'!$H$56)=0,'Energy margins'!$E$56,0)),0,IF(MOD(IF(AND(B25&gt;='Energy margins'!$F$56,B25&lt;='Energy margins'!$G$56),B25-'Energy margins'!$F$56,""),'Energy margins'!$H$56)=0,'Energy margins'!$E$56,0))</f>
        <v>321.60000000000002</v>
      </c>
      <c r="Q25" s="913">
        <f>IF(ISERROR(IF(MOD(IF(AND(B25&gt;='Energy margins'!$F$59,B25&lt;='Energy margins'!$G$59),B25-'Energy margins'!$F$59,""),'Energy margins'!$H$59)=0,'Energy margins'!$E$59,0)),0,IF(MOD(IF(AND(B25&gt;='Energy margins'!$F$59,B25&lt;='Energy margins'!$G$59),B25-'Energy margins'!$F$59,""),'Energy margins'!$H$59)=0,'Energy margins'!$E$59,0))</f>
        <v>805</v>
      </c>
      <c r="R25" s="913">
        <f>IF(ISERROR(IF(MOD(IF(AND(B25&gt;='Energy margins'!$F$60,B25&lt;='Energy margins'!$G$60),B25-'Energy margins'!$F$60,""),'Energy margins'!$H$60)=0,'Energy margins'!$E$60,0)),0,IF(MOD(IF(AND(B25&gt;='Energy margins'!$F$60,B25&lt;='Energy margins'!$G$60),B25-'Energy margins'!$F$60,""),'Energy margins'!$H$60)=0,'Energy margins'!$E$60,0))</f>
        <v>0</v>
      </c>
      <c r="S25" s="913">
        <f>IF(ISERROR(IF(MOD(IF(AND(B25&gt;='Energy margins'!$F$61,B25&lt;='Energy margins'!$G$61),B25-'Energy margins'!$F$61,""),'Energy margins'!$H$61)=0,'Energy margins'!$E$61,0)),0,IF(MOD(IF(AND(B25&gt;='Energy margins'!$F$61,B25&lt;='Energy margins'!$G$61),B25-'Energy margins'!$F$61,""),'Energy margins'!$H$61)=0,'Energy margins'!$E$61,0))</f>
        <v>0</v>
      </c>
      <c r="T25" s="913">
        <f>IF(ISERROR(IF(MOD(IF(AND(B25&gt;='Energy margins'!$F$62,B25&lt;='Energy margins'!$G$62),B25-'Energy margins'!$F$62,""),'Energy margins'!$H$62)=0,'Energy margins'!$E$62,0)),0,IF(MOD(IF(AND(B25&gt;='Energy margins'!$F$62,B25&lt;='Energy margins'!$G$62),B25-'Energy margins'!$F$62,""),'Energy margins'!$H$62)=0,'Energy margins'!$E$62,0))</f>
        <v>0</v>
      </c>
      <c r="U25" s="939">
        <f t="shared" si="5"/>
        <v>2120.8000000000002</v>
      </c>
      <c r="V25" s="197"/>
      <c r="W25" s="197">
        <f t="shared" si="6"/>
        <v>2120.8000000000002</v>
      </c>
      <c r="X25" s="197">
        <f t="shared" si="1"/>
        <v>4616.7</v>
      </c>
      <c r="Y25" s="197">
        <f t="shared" si="2"/>
        <v>5088.34</v>
      </c>
      <c r="Z25" s="968">
        <f t="shared" si="7"/>
        <v>4208.2226215456885</v>
      </c>
      <c r="AA25" s="969">
        <f t="shared" si="8"/>
        <v>294.58495246394193</v>
      </c>
      <c r="AB25" s="969">
        <f t="shared" si="9"/>
        <v>1324.6454227494023</v>
      </c>
      <c r="AC25" s="969">
        <f t="shared" si="10"/>
        <v>2883.5771987962867</v>
      </c>
      <c r="AD25" s="970">
        <f t="shared" si="11"/>
        <v>3178.1621512602287</v>
      </c>
      <c r="AE25" s="968">
        <f t="shared" si="13"/>
        <v>20256.257836160206</v>
      </c>
      <c r="AF25" s="969">
        <f t="shared" si="12"/>
        <v>4898.016188401446</v>
      </c>
      <c r="AG25" s="969">
        <f t="shared" si="12"/>
        <v>16247.143881364336</v>
      </c>
      <c r="AH25" s="969">
        <f t="shared" si="12"/>
        <v>4009.1139547958664</v>
      </c>
      <c r="AI25" s="970">
        <f t="shared" si="12"/>
        <v>8907.1301431973152</v>
      </c>
    </row>
    <row r="26" spans="2:35" x14ac:dyDescent="0.3">
      <c r="B26" s="895">
        <v>14</v>
      </c>
      <c r="C26" s="913">
        <f>'Energy Inputs'!D43</f>
        <v>0</v>
      </c>
      <c r="D26" s="913">
        <f>C26*'Energy Inputs'!$D$24</f>
        <v>0</v>
      </c>
      <c r="E26" s="197">
        <f>'Energy margins'!$E$12</f>
        <v>269.5</v>
      </c>
      <c r="F26" s="913">
        <f>D26*E26</f>
        <v>0</v>
      </c>
      <c r="G26" s="913">
        <f>'Energy Inputs'!$D$10</f>
        <v>471.64</v>
      </c>
      <c r="H26" s="197">
        <f t="shared" si="4"/>
        <v>471.64</v>
      </c>
      <c r="I26" s="199"/>
      <c r="J26" s="915">
        <f>IF(ISERROR(IF(MOD(IF(AND(B26&gt;='Energy margins'!$F$44,B26&lt;='Energy margins'!$G$44),B26-'Energy margins'!$F$44,""),'Energy margins'!$H$44)=0,'Energy margins'!$E$44,0)),0,IF(MOD(IF(AND(B26&gt;='Energy margins'!$F$44,B26&lt;='Energy margins'!$G$44),B26-'Energy margins'!$F$44,""),'Energy margins'!$H$44)=0,'Energy margins'!$E$44,0))</f>
        <v>0</v>
      </c>
      <c r="K26" s="913">
        <f>IF(ISERROR(IF(MOD(IF(AND(B26&gt;='Energy margins'!$F$45,B26&lt;='Energy margins'!$G$45),B26-'Energy margins'!$F$45,""),'Energy margins'!$H$45)=0,'Energy margins'!$E$45,0)),0,IF(MOD(IF(AND(B26&gt;='Energy margins'!$F$45,B26&lt;='Energy margins'!$G$45),B26-'Energy margins'!$F$45,""),'Energy margins'!$H$45)=0,'Energy margins'!$E$45,0))</f>
        <v>0</v>
      </c>
      <c r="L26" s="913">
        <f>IF(ISERROR(IF(MOD(IF(AND(B26&gt;='Energy margins'!$F$46,B26&lt;='Energy margins'!$G$46),B26-'Energy margins'!$F$46,""),'Energy margins'!$H$46)=0,'Energy margins'!$E$46,0)),0,IF(MOD(IF(AND(B26&gt;='Energy margins'!$F$46,B26&lt;='Energy margins'!$G$46),B26-'Energy margins'!$F$46,""),'Energy margins'!$H$46)=0,'Energy margins'!$E$46,0))</f>
        <v>0</v>
      </c>
      <c r="M26" s="913">
        <f>IF(ISERROR(IF(MOD(IF(AND(B26&gt;='Energy margins'!$F$47,B26&lt;='Energy margins'!$G$47),B26-'Energy margins'!$F$47,""),'Energy margins'!$H$47)=0,'Energy margins'!$E$47,0)),0,IF(MOD(IF(AND(B26&gt;='Energy margins'!$F$47,B26&lt;='Energy margins'!$G$47),B26-'Energy margins'!$F$47,""),'Energy margins'!$H$47)=0,'Energy margins'!$E$47,0))</f>
        <v>0</v>
      </c>
      <c r="N26" s="913">
        <f>IF(ISERROR(IF(MOD(IF(AND(B26&gt;='Energy margins'!$F$50,B26&lt;='Energy margins'!$G$50),B26-'Energy margins'!$F$50,""),'Energy margins'!$H$50)=0,'Energy margins'!$E$50,0)),0,IF(MOD(IF(AND(B26&gt;='Energy margins'!$F$50,B26&lt;='Energy margins'!$G$50),B26-'Energy margins'!$F$50,""),'Energy margins'!$H$50)=0,'Energy margins'!$E$50,0))</f>
        <v>0</v>
      </c>
      <c r="O26" s="913">
        <f>IF(ISERROR(IF(MOD(IF(AND(B26&gt;='Energy margins'!$F$53,B26&lt;='Energy margins'!$G$53),B26-'Energy margins'!$F$53,""),'Energy margins'!$H$53)=0,'Energy margins'!$E$53,0)),0,IF(MOD(IF(AND(B26&gt;='Energy margins'!$F$53,B26&lt;='Energy margins'!$G$53),B26-'Energy margins'!$F$53,""),'Energy margins'!$H$53)=0,'Energy margins'!$E$53,0))</f>
        <v>0</v>
      </c>
      <c r="P26" s="913">
        <f>IF(ISERROR(IF(MOD(IF(AND(B26&gt;='Energy margins'!$F$56,B26&lt;='Energy margins'!$G$56),B26-'Energy margins'!$F$56,""),'Energy margins'!$H$56)=0,'Energy margins'!$E$56,0)),0,IF(MOD(IF(AND(B26&gt;='Energy margins'!$F$56,B26&lt;='Energy margins'!$G$56),B26-'Energy margins'!$F$56,""),'Energy margins'!$H$56)=0,'Energy margins'!$E$56,0))</f>
        <v>0</v>
      </c>
      <c r="Q26" s="913">
        <f>IF(ISERROR(IF(MOD(IF(AND(B26&gt;='Energy margins'!$F$59,B26&lt;='Energy margins'!$G$59),B26-'Energy margins'!$F$59,""),'Energy margins'!$H$59)=0,'Energy margins'!$E$59,0)),0,IF(MOD(IF(AND(B26&gt;='Energy margins'!$F$59,B26&lt;='Energy margins'!$G$59),B26-'Energy margins'!$F$59,""),'Energy margins'!$H$59)=0,'Energy margins'!$E$59,0))</f>
        <v>0</v>
      </c>
      <c r="R26" s="913">
        <f>IF(ISERROR(IF(MOD(IF(AND(B26&gt;='Energy margins'!$F$60,B26&lt;='Energy margins'!$G$60),B26-'Energy margins'!$F$60,""),'Energy margins'!$H$60)=0,'Energy margins'!$E$60,0)),0,IF(MOD(IF(AND(B26&gt;='Energy margins'!$F$60,B26&lt;='Energy margins'!$G$60),B26-'Energy margins'!$F$60,""),'Energy margins'!$H$60)=0,'Energy margins'!$E$60,0))</f>
        <v>0</v>
      </c>
      <c r="S26" s="913">
        <f>IF(ISERROR(IF(MOD(IF(AND(B26&gt;='Energy margins'!$F$61,B26&lt;='Energy margins'!$G$61),B26-'Energy margins'!$F$61,""),'Energy margins'!$H$61)=0,'Energy margins'!$E$61,0)),0,IF(MOD(IF(AND(B26&gt;='Energy margins'!$F$61,B26&lt;='Energy margins'!$G$61),B26-'Energy margins'!$F$61,""),'Energy margins'!$H$61)=0,'Energy margins'!$E$61,0))</f>
        <v>0</v>
      </c>
      <c r="T26" s="913">
        <f>IF(ISERROR(IF(MOD(IF(AND(B26&gt;='Energy margins'!$F$62,B26&lt;='Energy margins'!$G$62),B26-'Energy margins'!$F$62,""),'Energy margins'!$H$62)=0,'Energy margins'!$E$62,0)),0,IF(MOD(IF(AND(B26&gt;='Energy margins'!$F$62,B26&lt;='Energy margins'!$G$62),B26-'Energy margins'!$F$62,""),'Energy margins'!$H$62)=0,'Energy margins'!$E$62,0))</f>
        <v>0</v>
      </c>
      <c r="U26" s="939">
        <f t="shared" si="5"/>
        <v>0</v>
      </c>
      <c r="V26" s="197"/>
      <c r="W26" s="197">
        <f t="shared" si="6"/>
        <v>0</v>
      </c>
      <c r="X26" s="197">
        <f t="shared" si="1"/>
        <v>0</v>
      </c>
      <c r="Y26" s="197">
        <f t="shared" si="2"/>
        <v>471.64</v>
      </c>
      <c r="Z26" s="968">
        <f t="shared" si="7"/>
        <v>0</v>
      </c>
      <c r="AA26" s="969">
        <f t="shared" si="8"/>
        <v>283.25476198455954</v>
      </c>
      <c r="AB26" s="969">
        <f t="shared" si="9"/>
        <v>0</v>
      </c>
      <c r="AC26" s="969">
        <f t="shared" si="10"/>
        <v>0</v>
      </c>
      <c r="AD26" s="970">
        <f t="shared" si="11"/>
        <v>283.25476198455954</v>
      </c>
      <c r="AE26" s="968">
        <f t="shared" si="13"/>
        <v>20256.257836160206</v>
      </c>
      <c r="AF26" s="969">
        <f t="shared" si="12"/>
        <v>5181.270950386006</v>
      </c>
      <c r="AG26" s="969">
        <f t="shared" si="12"/>
        <v>16247.143881364336</v>
      </c>
      <c r="AH26" s="969">
        <f t="shared" si="12"/>
        <v>4009.1139547958664</v>
      </c>
      <c r="AI26" s="970">
        <f t="shared" si="12"/>
        <v>9190.3849051818743</v>
      </c>
    </row>
    <row r="27" spans="2:35" x14ac:dyDescent="0.3">
      <c r="B27" s="895">
        <v>15</v>
      </c>
      <c r="C27" s="913">
        <f>'Energy Inputs'!D44</f>
        <v>0</v>
      </c>
      <c r="D27" s="913">
        <f>C27*'Energy Inputs'!$D$24</f>
        <v>0</v>
      </c>
      <c r="E27" s="197">
        <f>'Energy margins'!$E$12</f>
        <v>269.5</v>
      </c>
      <c r="F27" s="913">
        <f t="shared" si="0"/>
        <v>0</v>
      </c>
      <c r="G27" s="913">
        <f>'Energy Inputs'!$D$10</f>
        <v>471.64</v>
      </c>
      <c r="H27" s="197">
        <f t="shared" si="4"/>
        <v>471.64</v>
      </c>
      <c r="I27" s="199"/>
      <c r="J27" s="915">
        <f>IF(ISERROR(IF(MOD(IF(AND(B27&gt;='Energy margins'!$F$44,B27&lt;='Energy margins'!$G$44),B27-'Energy margins'!$F$44,""),'Energy margins'!$H$44)=0,'Energy margins'!$E$44,0)),0,IF(MOD(IF(AND(B27&gt;='Energy margins'!$F$44,B27&lt;='Energy margins'!$G$44),B27-'Energy margins'!$F$44,""),'Energy margins'!$H$44)=0,'Energy margins'!$E$44,0))</f>
        <v>0</v>
      </c>
      <c r="K27" s="913">
        <f>IF(ISERROR(IF(MOD(IF(AND(B27&gt;='Energy margins'!$F$45,B27&lt;='Energy margins'!$G$45),B27-'Energy margins'!$F$45,""),'Energy margins'!$H$45)=0,'Energy margins'!$E$45,0)),0,IF(MOD(IF(AND(B27&gt;='Energy margins'!$F$45,B27&lt;='Energy margins'!$G$45),B27-'Energy margins'!$F$45,""),'Energy margins'!$H$45)=0,'Energy margins'!$E$45,0))</f>
        <v>0</v>
      </c>
      <c r="L27" s="913">
        <f>IF(ISERROR(IF(MOD(IF(AND(B27&gt;='Energy margins'!$F$46,B27&lt;='Energy margins'!$G$46),B27-'Energy margins'!$F$46,""),'Energy margins'!$H$46)=0,'Energy margins'!$E$46,0)),0,IF(MOD(IF(AND(B27&gt;='Energy margins'!$F$46,B27&lt;='Energy margins'!$G$46),B27-'Energy margins'!$F$46,""),'Energy margins'!$H$46)=0,'Energy margins'!$E$46,0))</f>
        <v>0</v>
      </c>
      <c r="M27" s="913">
        <f>IF(ISERROR(IF(MOD(IF(AND(B27&gt;='Energy margins'!$F$47,B27&lt;='Energy margins'!$G$47),B27-'Energy margins'!$F$47,""),'Energy margins'!$H$47)=0,'Energy margins'!$E$47,0)),0,IF(MOD(IF(AND(B27&gt;='Energy margins'!$F$47,B27&lt;='Energy margins'!$G$47),B27-'Energy margins'!$F$47,""),'Energy margins'!$H$47)=0,'Energy margins'!$E$47,0))</f>
        <v>0</v>
      </c>
      <c r="N27" s="913">
        <f>IF(ISERROR(IF(MOD(IF(AND(B27&gt;='Energy margins'!$F$50,B27&lt;='Energy margins'!$G$50),B27-'Energy margins'!$F$50,""),'Energy margins'!$H$50)=0,'Energy margins'!$E$50,0)),0,IF(MOD(IF(AND(B27&gt;='Energy margins'!$F$50,B27&lt;='Energy margins'!$G$50),B27-'Energy margins'!$F$50,""),'Energy margins'!$H$50)=0,'Energy margins'!$E$50,0))</f>
        <v>0</v>
      </c>
      <c r="O27" s="913">
        <f>IF(ISERROR(IF(MOD(IF(AND(B27&gt;='Energy margins'!$F$53,B27&lt;='Energy margins'!$G$53),B27-'Energy margins'!$F$53,""),'Energy margins'!$H$53)=0,'Energy margins'!$E$53,0)),0,IF(MOD(IF(AND(B27&gt;='Energy margins'!$F$53,B27&lt;='Energy margins'!$G$53),B27-'Energy margins'!$F$53,""),'Energy margins'!$H$53)=0,'Energy margins'!$E$53,0))</f>
        <v>0</v>
      </c>
      <c r="P27" s="913">
        <f>IF(ISERROR(IF(MOD(IF(AND(B27&gt;='Energy margins'!$F$56,B27&lt;='Energy margins'!$G$56),B27-'Energy margins'!$F$56,""),'Energy margins'!$H$56)=0,'Energy margins'!$E$56,0)),0,IF(MOD(IF(AND(B27&gt;='Energy margins'!$F$56,B27&lt;='Energy margins'!$G$56),B27-'Energy margins'!$F$56,""),'Energy margins'!$H$56)=0,'Energy margins'!$E$56,0))</f>
        <v>0</v>
      </c>
      <c r="Q27" s="913">
        <f>IF(ISERROR(IF(MOD(IF(AND(B27&gt;='Energy margins'!$F$59,B27&lt;='Energy margins'!$G$59),B27-'Energy margins'!$F$59,""),'Energy margins'!$H$59)=0,'Energy margins'!$E$59,0)),0,IF(MOD(IF(AND(B27&gt;='Energy margins'!$F$59,B27&lt;='Energy margins'!$G$59),B27-'Energy margins'!$F$59,""),'Energy margins'!$H$59)=0,'Energy margins'!$E$59,0))</f>
        <v>0</v>
      </c>
      <c r="R27" s="913">
        <f>IF(ISERROR(IF(MOD(IF(AND(B27&gt;='Energy margins'!$F$60,B27&lt;='Energy margins'!$G$60),B27-'Energy margins'!$F$60,""),'Energy margins'!$H$60)=0,'Energy margins'!$E$60,0)),0,IF(MOD(IF(AND(B27&gt;='Energy margins'!$F$60,B27&lt;='Energy margins'!$G$60),B27-'Energy margins'!$F$60,""),'Energy margins'!$H$60)=0,'Energy margins'!$E$60,0))</f>
        <v>0</v>
      </c>
      <c r="S27" s="913">
        <f>IF(ISERROR(IF(MOD(IF(AND(B27&gt;='Energy margins'!$F$61,B27&lt;='Energy margins'!$G$61),B27-'Energy margins'!$F$61,""),'Energy margins'!$H$61)=0,'Energy margins'!$E$61,0)),0,IF(MOD(IF(AND(B27&gt;='Energy margins'!$F$61,B27&lt;='Energy margins'!$G$61),B27-'Energy margins'!$F$61,""),'Energy margins'!$H$61)=0,'Energy margins'!$E$61,0))</f>
        <v>0</v>
      </c>
      <c r="T27" s="913">
        <f>IF(ISERROR(IF(MOD(IF(AND(B27&gt;='Energy margins'!$F$62,B27&lt;='Energy margins'!$G$62),B27-'Energy margins'!$F$62,""),'Energy margins'!$H$62)=0,'Energy margins'!$E$62,0)),0,IF(MOD(IF(AND(B27&gt;='Energy margins'!$F$62,B27&lt;='Energy margins'!$G$62),B27-'Energy margins'!$F$62,""),'Energy margins'!$H$62)=0,'Energy margins'!$E$62,0))</f>
        <v>0</v>
      </c>
      <c r="U27" s="939">
        <f t="shared" si="5"/>
        <v>0</v>
      </c>
      <c r="V27" s="197"/>
      <c r="W27" s="197">
        <f t="shared" si="6"/>
        <v>0</v>
      </c>
      <c r="X27" s="197">
        <f t="shared" si="1"/>
        <v>0</v>
      </c>
      <c r="Y27" s="197">
        <f t="shared" si="2"/>
        <v>471.64</v>
      </c>
      <c r="Z27" s="968">
        <f t="shared" si="7"/>
        <v>0</v>
      </c>
      <c r="AA27" s="969">
        <f t="shared" si="8"/>
        <v>272.36034806207647</v>
      </c>
      <c r="AB27" s="969">
        <f t="shared" si="9"/>
        <v>0</v>
      </c>
      <c r="AC27" s="969">
        <f t="shared" si="10"/>
        <v>0</v>
      </c>
      <c r="AD27" s="970">
        <f t="shared" si="11"/>
        <v>272.36034806207647</v>
      </c>
      <c r="AE27" s="968">
        <f t="shared" si="13"/>
        <v>20256.257836160206</v>
      </c>
      <c r="AF27" s="969">
        <f t="shared" si="12"/>
        <v>5453.6312984480828</v>
      </c>
      <c r="AG27" s="969">
        <f t="shared" si="12"/>
        <v>16247.143881364336</v>
      </c>
      <c r="AH27" s="969">
        <f t="shared" si="12"/>
        <v>4009.1139547958664</v>
      </c>
      <c r="AI27" s="970">
        <f t="shared" si="12"/>
        <v>9462.7452532439511</v>
      </c>
    </row>
    <row r="28" spans="2:35" x14ac:dyDescent="0.3">
      <c r="B28" s="896">
        <v>16</v>
      </c>
      <c r="C28" s="914">
        <f>'Energy Inputs'!D45</f>
        <v>1</v>
      </c>
      <c r="D28" s="914">
        <f>C28*'Energy Inputs'!$D$24</f>
        <v>25</v>
      </c>
      <c r="E28" s="207">
        <f>'Energy margins'!$E$12</f>
        <v>269.5</v>
      </c>
      <c r="F28" s="914">
        <f t="shared" si="0"/>
        <v>6737.5</v>
      </c>
      <c r="G28" s="914">
        <f>'Energy Inputs'!$D$10</f>
        <v>471.64</v>
      </c>
      <c r="H28" s="207">
        <f t="shared" si="4"/>
        <v>7209.14</v>
      </c>
      <c r="I28" s="209"/>
      <c r="J28" s="916">
        <f>IF(ISERROR(IF(MOD(IF(AND(B28&gt;='Energy margins'!$F$44,B28&lt;='Energy margins'!$G$44),B28-'Energy margins'!$F$44,""),'Energy margins'!$H$44)=0,'Energy margins'!$E$44,0)),0,IF(MOD(IF(AND(B28&gt;='Energy margins'!$F$44,B28&lt;='Energy margins'!$G$44),B28-'Energy margins'!$F$44,""),'Energy margins'!$H$44)=0,'Energy margins'!$E$44,0))</f>
        <v>0</v>
      </c>
      <c r="K28" s="914">
        <f>IF(ISERROR(IF(MOD(IF(AND(B28&gt;='Energy margins'!$F$45,B28&lt;='Energy margins'!$G$45),B28-'Energy margins'!$F$45,""),'Energy margins'!$H$45)=0,'Energy margins'!$E$45,0)),0,IF(MOD(IF(AND(B28&gt;='Energy margins'!$F$45,B28&lt;='Energy margins'!$G$45),B28-'Energy margins'!$F$45,""),'Energy margins'!$H$45)=0,'Energy margins'!$E$45,0))</f>
        <v>0</v>
      </c>
      <c r="L28" s="914">
        <f>IF(ISERROR(IF(MOD(IF(AND(B28&gt;='Energy margins'!$F$46,B28&lt;='Energy margins'!$G$46),B28-'Energy margins'!$F$46,""),'Energy margins'!$H$46)=0,'Energy margins'!$E$46,0)),0,IF(MOD(IF(AND(B28&gt;='Energy margins'!$F$46,B28&lt;='Energy margins'!$G$46),B28-'Energy margins'!$F$46,""),'Energy margins'!$H$46)=0,'Energy margins'!$E$46,0))</f>
        <v>0</v>
      </c>
      <c r="M28" s="914">
        <f>IF(ISERROR(IF(MOD(IF(AND(B28&gt;='Energy margins'!$F$47,B28&lt;='Energy margins'!$G$47),B28-'Energy margins'!$F$47,""),'Energy margins'!$H$47)=0,'Energy margins'!$E$47,0)),0,IF(MOD(IF(AND(B28&gt;='Energy margins'!$F$47,B28&lt;='Energy margins'!$G$47),B28-'Energy margins'!$F$47,""),'Energy margins'!$H$47)=0,'Energy margins'!$E$47,0))</f>
        <v>327</v>
      </c>
      <c r="N28" s="914">
        <f>IF(ISERROR(IF(MOD(IF(AND(B28&gt;='Energy margins'!$F$50,B28&lt;='Energy margins'!$G$50),B28-'Energy margins'!$F$50,""),'Energy margins'!$H$50)=0,'Energy margins'!$E$50,0)),0,IF(MOD(IF(AND(B28&gt;='Energy margins'!$F$50,B28&lt;='Energy margins'!$G$50),B28-'Energy margins'!$F$50,""),'Energy margins'!$H$50)=0,'Energy margins'!$E$50,0))</f>
        <v>309.60000000000002</v>
      </c>
      <c r="O28" s="914">
        <f>IF(ISERROR(IF(MOD(IF(AND(B28&gt;='Energy margins'!$F$53,B28&lt;='Energy margins'!$G$53),B28-'Energy margins'!$F$53,""),'Energy margins'!$H$53)=0,'Energy margins'!$E$53,0)),0,IF(MOD(IF(AND(B28&gt;='Energy margins'!$F$53,B28&lt;='Energy margins'!$G$53),B28-'Energy margins'!$F$53,""),'Energy margins'!$H$53)=0,'Energy margins'!$E$53,0))</f>
        <v>357.59999999999997</v>
      </c>
      <c r="P28" s="914">
        <f>IF(ISERROR(IF(MOD(IF(AND(B28&gt;='Energy margins'!$F$56,B28&lt;='Energy margins'!$G$56),B28-'Energy margins'!$F$56,""),'Energy margins'!$H$56)=0,'Energy margins'!$E$56,0)),0,IF(MOD(IF(AND(B28&gt;='Energy margins'!$F$56,B28&lt;='Energy margins'!$G$56),B28-'Energy margins'!$F$56,""),'Energy margins'!$H$56)=0,'Energy margins'!$E$56,0))</f>
        <v>321.60000000000002</v>
      </c>
      <c r="Q28" s="914">
        <f>IF(ISERROR(IF(MOD(IF(AND(B28&gt;='Energy margins'!$F$59,B28&lt;='Energy margins'!$G$59),B28-'Energy margins'!$F$59,""),'Energy margins'!$H$59)=0,'Energy margins'!$E$59,0)),0,IF(MOD(IF(AND(B28&gt;='Energy margins'!$F$59,B28&lt;='Energy margins'!$G$59),B28-'Energy margins'!$F$59,""),'Energy margins'!$H$59)=0,'Energy margins'!$E$59,0))</f>
        <v>805</v>
      </c>
      <c r="R28" s="914">
        <f>IF(ISERROR(IF(MOD(IF(AND(B28&gt;='Energy margins'!$F$60,B28&lt;='Energy margins'!$G$60),B28-'Energy margins'!$F$60,""),'Energy margins'!$H$60)=0,'Energy margins'!$E$60,0)),0,IF(MOD(IF(AND(B28&gt;='Energy margins'!$F$60,B28&lt;='Energy margins'!$G$60),B28-'Energy margins'!$F$60,""),'Energy margins'!$H$60)=0,'Energy margins'!$E$60,0))</f>
        <v>0</v>
      </c>
      <c r="S28" s="914">
        <f>IF(ISERROR(IF(MOD(IF(AND(B28&gt;='Energy margins'!$F$61,B28&lt;='Energy margins'!$G$61),B28-'Energy margins'!$F$61,""),'Energy margins'!$H$61)=0,'Energy margins'!$E$61,0)),0,IF(MOD(IF(AND(B28&gt;='Energy margins'!$F$61,B28&lt;='Energy margins'!$G$61),B28-'Energy margins'!$F$61,""),'Energy margins'!$H$61)=0,'Energy margins'!$E$61,0))</f>
        <v>0</v>
      </c>
      <c r="T28" s="914">
        <f>IF(ISERROR(IF(MOD(IF(AND(B28&gt;='Energy margins'!$F$62,B28&lt;='Energy margins'!$G$62),B28-'Energy margins'!$F$62,""),'Energy margins'!$H$62)=0,'Energy margins'!$E$62,0)),0,IF(MOD(IF(AND(B28&gt;='Energy margins'!$F$62,B28&lt;='Energy margins'!$G$62),B28-'Energy margins'!$F$62,""),'Energy margins'!$H$62)=0,'Energy margins'!$E$62,0))</f>
        <v>0</v>
      </c>
      <c r="U28" s="941">
        <f t="shared" si="5"/>
        <v>2120.8000000000002</v>
      </c>
      <c r="V28" s="207">
        <f>'Energy margins'!J67</f>
        <v>2100</v>
      </c>
      <c r="W28" s="207">
        <f t="shared" si="6"/>
        <v>4220.8</v>
      </c>
      <c r="X28" s="207">
        <f t="shared" si="1"/>
        <v>2516.6999999999998</v>
      </c>
      <c r="Y28" s="207">
        <f t="shared" si="2"/>
        <v>2988.34</v>
      </c>
      <c r="Z28" s="971">
        <f t="shared" si="7"/>
        <v>3741.0945870306891</v>
      </c>
      <c r="AA28" s="972">
        <f t="shared" si="8"/>
        <v>261.88495005968895</v>
      </c>
      <c r="AB28" s="972">
        <f t="shared" si="9"/>
        <v>2343.6604130521905</v>
      </c>
      <c r="AC28" s="972">
        <f t="shared" si="10"/>
        <v>1397.4341739784986</v>
      </c>
      <c r="AD28" s="973">
        <f t="shared" si="11"/>
        <v>1659.3191240381877</v>
      </c>
      <c r="AE28" s="971">
        <f t="shared" si="13"/>
        <v>23997.352423190896</v>
      </c>
      <c r="AF28" s="972">
        <f t="shared" si="12"/>
        <v>5715.5162485077717</v>
      </c>
      <c r="AG28" s="972">
        <f t="shared" si="12"/>
        <v>18590.804294416528</v>
      </c>
      <c r="AH28" s="972">
        <f t="shared" si="12"/>
        <v>5406.5481287743651</v>
      </c>
      <c r="AI28" s="973">
        <f t="shared" si="12"/>
        <v>11122.064377282139</v>
      </c>
    </row>
    <row r="31" spans="2:35" x14ac:dyDescent="0.3">
      <c r="J31" t="s">
        <v>545</v>
      </c>
    </row>
    <row r="32" spans="2:35" x14ac:dyDescent="0.3">
      <c r="J32" t="s">
        <v>546</v>
      </c>
    </row>
    <row r="33" spans="2:35" x14ac:dyDescent="0.3">
      <c r="J33" t="s">
        <v>547</v>
      </c>
    </row>
    <row r="34" spans="2:35" x14ac:dyDescent="0.3">
      <c r="J34" t="s">
        <v>548</v>
      </c>
    </row>
    <row r="35" spans="2:35" x14ac:dyDescent="0.3">
      <c r="B35" s="211" t="s">
        <v>93</v>
      </c>
      <c r="C35" s="230"/>
      <c r="D35" s="230"/>
      <c r="E35" s="230"/>
      <c r="F35" s="194"/>
      <c r="G35" s="193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</row>
    <row r="36" spans="2:35" x14ac:dyDescent="0.3">
      <c r="B36" s="203"/>
      <c r="C36" s="148"/>
      <c r="D36" s="148"/>
      <c r="E36" s="148"/>
      <c r="F36" s="1082"/>
      <c r="G36" s="1082"/>
      <c r="H36" s="1082"/>
      <c r="I36" s="148"/>
      <c r="J36" s="956" t="s">
        <v>86</v>
      </c>
      <c r="K36" s="957"/>
      <c r="L36" s="957"/>
      <c r="M36" s="957"/>
      <c r="N36" s="957"/>
      <c r="O36" s="957"/>
      <c r="P36" s="957"/>
      <c r="Q36" s="957"/>
      <c r="R36" s="957"/>
      <c r="S36" s="957"/>
      <c r="T36" s="957"/>
      <c r="U36" s="958"/>
      <c r="V36" s="1082"/>
      <c r="W36" s="1082"/>
      <c r="X36" s="148"/>
      <c r="Y36" s="148"/>
      <c r="Z36" s="1083" t="s">
        <v>273</v>
      </c>
      <c r="AA36" s="1084"/>
      <c r="AB36" s="1084"/>
      <c r="AC36" s="1084"/>
      <c r="AD36" s="1085"/>
      <c r="AE36" s="1083" t="s">
        <v>274</v>
      </c>
      <c r="AF36" s="1084"/>
      <c r="AG36" s="1084"/>
      <c r="AH36" s="1084"/>
      <c r="AI36" s="1085"/>
    </row>
    <row r="37" spans="2:35" ht="51" x14ac:dyDescent="0.3">
      <c r="B37" s="204" t="s">
        <v>275</v>
      </c>
      <c r="C37" s="205" t="s">
        <v>536</v>
      </c>
      <c r="D37" s="205" t="s">
        <v>293</v>
      </c>
      <c r="E37" s="205" t="s">
        <v>294</v>
      </c>
      <c r="F37" s="171" t="s">
        <v>622</v>
      </c>
      <c r="G37" s="171" t="s">
        <v>591</v>
      </c>
      <c r="H37" s="171" t="s">
        <v>623</v>
      </c>
      <c r="I37" s="205" t="s">
        <v>291</v>
      </c>
      <c r="J37" s="928" t="s">
        <v>253</v>
      </c>
      <c r="K37" s="929" t="s">
        <v>33</v>
      </c>
      <c r="L37" s="929" t="s">
        <v>520</v>
      </c>
      <c r="M37" s="929" t="s">
        <v>145</v>
      </c>
      <c r="N37" s="930" t="s">
        <v>542</v>
      </c>
      <c r="O37" s="930" t="s">
        <v>543</v>
      </c>
      <c r="P37" s="930" t="s">
        <v>544</v>
      </c>
      <c r="Q37" s="944" t="s">
        <v>180</v>
      </c>
      <c r="R37" s="944" t="s">
        <v>464</v>
      </c>
      <c r="S37" s="945" t="s">
        <v>465</v>
      </c>
      <c r="T37" s="944" t="s">
        <v>466</v>
      </c>
      <c r="U37" s="931" t="s">
        <v>292</v>
      </c>
      <c r="V37" s="205" t="s">
        <v>295</v>
      </c>
      <c r="W37" s="171" t="s">
        <v>279</v>
      </c>
      <c r="X37" s="171" t="s">
        <v>624</v>
      </c>
      <c r="Y37" s="171" t="s">
        <v>625</v>
      </c>
      <c r="Z37" s="195" t="s">
        <v>280</v>
      </c>
      <c r="AA37" s="171" t="s">
        <v>626</v>
      </c>
      <c r="AB37" s="171" t="s">
        <v>281</v>
      </c>
      <c r="AC37" s="171" t="s">
        <v>627</v>
      </c>
      <c r="AD37" s="198" t="s">
        <v>282</v>
      </c>
      <c r="AE37" s="195" t="s">
        <v>283</v>
      </c>
      <c r="AF37" s="171" t="s">
        <v>628</v>
      </c>
      <c r="AG37" s="171" t="s">
        <v>284</v>
      </c>
      <c r="AH37" s="171" t="s">
        <v>629</v>
      </c>
      <c r="AI37" s="198" t="s">
        <v>285</v>
      </c>
    </row>
    <row r="38" spans="2:35" x14ac:dyDescent="0.3">
      <c r="B38" s="173"/>
      <c r="C38" s="226" t="s">
        <v>537</v>
      </c>
      <c r="D38" s="226" t="s">
        <v>336</v>
      </c>
      <c r="E38" s="226" t="s">
        <v>573</v>
      </c>
      <c r="F38" s="226" t="s">
        <v>571</v>
      </c>
      <c r="G38" s="226" t="s">
        <v>571</v>
      </c>
      <c r="H38" s="226" t="s">
        <v>571</v>
      </c>
      <c r="I38" s="226" t="s">
        <v>571</v>
      </c>
      <c r="J38" s="946" t="s">
        <v>571</v>
      </c>
      <c r="K38" s="947" t="s">
        <v>571</v>
      </c>
      <c r="L38" s="947" t="s">
        <v>571</v>
      </c>
      <c r="M38" s="947" t="s">
        <v>571</v>
      </c>
      <c r="N38" s="947" t="s">
        <v>571</v>
      </c>
      <c r="O38" s="947" t="s">
        <v>571</v>
      </c>
      <c r="P38" s="947" t="s">
        <v>571</v>
      </c>
      <c r="Q38" s="948" t="s">
        <v>571</v>
      </c>
      <c r="R38" s="948" t="s">
        <v>571</v>
      </c>
      <c r="S38" s="948" t="s">
        <v>571</v>
      </c>
      <c r="T38" s="948" t="s">
        <v>573</v>
      </c>
      <c r="U38" s="949" t="s">
        <v>571</v>
      </c>
      <c r="V38" s="226" t="s">
        <v>571</v>
      </c>
      <c r="W38" s="226" t="s">
        <v>571</v>
      </c>
      <c r="X38" s="226" t="s">
        <v>571</v>
      </c>
      <c r="Y38" s="727" t="s">
        <v>571</v>
      </c>
      <c r="Z38" s="226" t="s">
        <v>571</v>
      </c>
      <c r="AA38" s="226" t="s">
        <v>571</v>
      </c>
      <c r="AB38" s="226" t="s">
        <v>571</v>
      </c>
      <c r="AC38" s="226" t="s">
        <v>571</v>
      </c>
      <c r="AD38" s="727" t="s">
        <v>571</v>
      </c>
      <c r="AE38" s="226" t="s">
        <v>571</v>
      </c>
      <c r="AF38" s="226" t="s">
        <v>571</v>
      </c>
      <c r="AG38" s="226" t="s">
        <v>571</v>
      </c>
      <c r="AH38" s="226" t="s">
        <v>571</v>
      </c>
      <c r="AI38" s="727" t="s">
        <v>571</v>
      </c>
    </row>
    <row r="39" spans="2:35" x14ac:dyDescent="0.3">
      <c r="B39" s="894">
        <v>1</v>
      </c>
      <c r="C39" s="917">
        <f>'Energy Inputs'!E30</f>
        <v>4.784688995215311E-2</v>
      </c>
      <c r="D39" s="913">
        <f>C39*'Energy Inputs'!$E$24</f>
        <v>0.6</v>
      </c>
      <c r="E39" s="197">
        <f>'Energy margins'!$L$12</f>
        <v>269.5</v>
      </c>
      <c r="F39" s="197">
        <f>D39*E39</f>
        <v>161.69999999999999</v>
      </c>
      <c r="G39" s="923">
        <f>'Energy Inputs'!$D$10</f>
        <v>471.64</v>
      </c>
      <c r="H39" s="197">
        <f>F39+G39</f>
        <v>633.33999999999992</v>
      </c>
      <c r="I39" s="197">
        <f>'Margins summary'!R20</f>
        <v>66298.2</v>
      </c>
      <c r="J39" s="936">
        <f>IF(ISERROR(IF(MOD(IF(AND(B39&gt;='Energy margins'!$M$44,B39&lt;='Energy margins'!$N$44),B39-'Energy margins'!$M$44,""),'Energy margins'!$O$44)=0,'Energy margins'!$L$44,0)),0,IF(MOD(IF(AND(B39&gt;='Energy margins'!$M$44,B39&lt;='Energy margins'!$N$44),B39-'Energy margins'!$M$44,""),'Energy margins'!$O$44)=0,'Energy margins'!$L$44,0))</f>
        <v>0</v>
      </c>
      <c r="K39" s="923">
        <f>IF(ISERROR(IF(MOD(IF(AND(B39&gt;='Energy margins'!$M$45,B39&lt;='Energy margins'!$N$45),B39-'Energy margins'!$M$45,""),'Energy margins'!$O$45)=0,'Energy margins'!$L$45,0)),0,IF(MOD(IF(AND(B39&gt;='Energy margins'!$M$45,B39&lt;='Energy margins'!$N$45),B39-'Energy margins'!$M$45,""),'Energy margins'!$O$45)=0,'Energy margins'!$L$45,0))</f>
        <v>0</v>
      </c>
      <c r="L39" s="923">
        <f>IF(ISERROR(IF(MOD(IF(AND(B39&gt;='Energy margins'!$M$46,B39&lt;='Energy margins'!$N$46),B39-'Energy margins'!$M$46,""),'Energy margins'!$O$46)=0,'Energy margins'!$L$46,0)),0,IF(MOD(IF(AND(B39&gt;='Energy margins'!$M$46,B39&lt;='Energy margins'!$N$46),B39-'Energy margins'!$M$46,""),'Energy margins'!$O$46)=0,'Energy margins'!$L$46,0))</f>
        <v>0</v>
      </c>
      <c r="M39" s="923">
        <f>IF(ISERROR(IF(MOD(IF(AND(B39&gt;='Energy margins'!$M$47,B39&lt;='Energy margins'!$N$47),B39-'Energy margins'!$M$47,""),'Energy margins'!$O$47)=0,'Energy margins'!$L$47,0)),0,IF(MOD(IF(AND(B39&gt;='Energy margins'!$M$47,B39&lt;='Energy margins'!$N$47),B39-'Energy margins'!$M$47,""),'Energy margins'!$O$47)=0,'Energy margins'!$L$47,0))</f>
        <v>0</v>
      </c>
      <c r="N39" s="923">
        <f>IF(ISERROR(IF(MOD(IF(AND(B39&gt;='Energy margins'!$M$50,B39&lt;='Energy margins'!$N$50),B39-'Energy margins'!$M$50,""),'Energy margins'!$O$50)=0,'Energy margins'!$L$50,0)),0,IF(MOD(IF(AND(B39&gt;='Energy margins'!$M$50,B39&lt;='Energy margins'!$N$50),B39-'Energy margins'!$M$50,""),'Energy margins'!$O$50)=0,'Energy margins'!$L$50,0))</f>
        <v>0</v>
      </c>
      <c r="O39" s="923">
        <f>IF(ISERROR(IF(MOD(IF(AND(B39&gt;='Energy margins'!$M$53,B39&lt;='Energy margins'!$N$53),B39-'Energy margins'!$M$53,""),'Energy margins'!$O$53)=0,'Energy margins'!$L$53,0)),0,IF(MOD(IF(AND(B39&gt;='Energy margins'!$M$53,B39&lt;='Energy margins'!$N$53),B39-'Energy margins'!$M$53,""),'Energy margins'!$O$53)=0,'Energy margins'!$L$53,0))</f>
        <v>0</v>
      </c>
      <c r="P39" s="923">
        <f>IF(ISERROR(IF(MOD(IF(AND(B39&gt;='Energy margins'!$M$56,B39&lt;='Energy margins'!$N$56),B39-'Energy margins'!$M$56,""),'Energy margins'!$O$56)=0,'Energy margins'!$L$56,0)),0,IF(MOD(IF(AND(B39&gt;='Energy margins'!$M$56,B39&lt;='Energy margins'!$N$56),B39-'Energy margins'!$M$56,""),'Energy margins'!$O$56)=0,'Energy margins'!$L$56,0))</f>
        <v>0</v>
      </c>
      <c r="Q39" s="923">
        <f>IF(ISERROR(IF(MOD(IF(AND(B39&gt;='Energy margins'!$M$59,B39&lt;='Energy margins'!$N$59),B39-'Energy margins'!$M$59,""),'Energy margins'!$O$59)=0,'Energy margins'!$L$59,0)),0,IF(MOD(IF(AND(B39&gt;='Energy margins'!$M$59,B39&lt;='Energy margins'!$N$59),B39-'Energy margins'!$M$59,""),'Energy margins'!$O$59)=0,'Energy margins'!$L$59,0))</f>
        <v>0</v>
      </c>
      <c r="R39" s="923">
        <f>IF(ISERROR(IF(MOD(IF(AND(B39&gt;='Energy margins'!$M$60,B39&lt;='Energy margins'!$N$60),B39-'Energy margins'!$M$60,""),'Energy margins'!$O$60)=0,'Energy margins'!$L$60,0)),0,IF(MOD(IF(AND(B39&gt;='Energy margins'!$M$60,B39&lt;='Energy margins'!$N$60),B39-'Energy margins'!$M$60,""),'Energy margins'!$O$60)=0,'Energy margins'!$L$60,0))</f>
        <v>0</v>
      </c>
      <c r="S39" s="923">
        <f>IF(ISERROR(IF(MOD(IF(AND(B39&gt;='Energy margins'!$M$61,B39&lt;='Energy margins'!$N$61),B39-'Energy margins'!$M$61,""),'Energy margins'!$O$61)=0,'Energy margins'!$L$61,0)),0,IF(MOD(IF(AND(B39&gt;='Energy margins'!$M$61,B39&lt;='Energy margins'!$N$61),B39-'Energy margins'!$M$61,""),'Energy margins'!$O$61)=0,'Energy margins'!$L$61,0))</f>
        <v>0</v>
      </c>
      <c r="T39" s="923">
        <f>IF(ISERROR(IF(MOD(IF(AND(B39&gt;='Energy margins'!$M$62,B39&lt;='Energy margins'!$N$62),B39-'Energy margins'!$M$62,""),'Energy margins'!$O$62)=0,'Energy margins'!$L$62,0)),0,IF(MOD(IF(AND(B39&gt;='Energy margins'!$M$62,B39&lt;='Energy margins'!$N$62),B39-'Energy margins'!$M$62,""),'Energy margins'!$O$62)=0,'Energy margins'!$L$62,0))</f>
        <v>0</v>
      </c>
      <c r="U39" s="937">
        <f>SUM(J39:T39)</f>
        <v>0</v>
      </c>
      <c r="V39" s="197"/>
      <c r="W39" s="197">
        <f>I39+U39+V39</f>
        <v>66298.2</v>
      </c>
      <c r="X39" s="197">
        <f t="shared" ref="X39:X54" si="14">F39-W39</f>
        <v>-66136.5</v>
      </c>
      <c r="Y39" s="197">
        <f t="shared" ref="Y39:Y54" si="15">H39-W39</f>
        <v>-65664.86</v>
      </c>
      <c r="Z39" s="968">
        <f>F39/((1+$C$6)^($B39-1))</f>
        <v>161.69999999999999</v>
      </c>
      <c r="AA39" s="969">
        <f>G39/((1+$C$6)^($B39-1))</f>
        <v>471.64</v>
      </c>
      <c r="AB39" s="969">
        <f>W39/((1+$C$6)^($B39-1))</f>
        <v>66298.2</v>
      </c>
      <c r="AC39" s="969">
        <f t="shared" ref="AC39:AD39" si="16">X39/((1+$C$6)^($B39-1))</f>
        <v>-66136.5</v>
      </c>
      <c r="AD39" s="969">
        <f t="shared" si="16"/>
        <v>-65664.86</v>
      </c>
      <c r="AE39" s="968">
        <f>Z39</f>
        <v>161.69999999999999</v>
      </c>
      <c r="AF39" s="969">
        <f>AA39</f>
        <v>471.64</v>
      </c>
      <c r="AG39" s="969">
        <f>AB39</f>
        <v>66298.2</v>
      </c>
      <c r="AH39" s="969">
        <f>AC39</f>
        <v>-66136.5</v>
      </c>
      <c r="AI39" s="970">
        <f>AD39</f>
        <v>-65664.86</v>
      </c>
    </row>
    <row r="40" spans="2:35" x14ac:dyDescent="0.3">
      <c r="B40" s="895">
        <v>2</v>
      </c>
      <c r="C40" s="917">
        <f>'Energy Inputs'!E31</f>
        <v>0.31299840510366833</v>
      </c>
      <c r="D40" s="913">
        <f>C40*'Energy Inputs'!$E$24</f>
        <v>3.9250000000000007</v>
      </c>
      <c r="E40" s="197">
        <f>'Energy margins'!$L$12</f>
        <v>269.5</v>
      </c>
      <c r="F40" s="197">
        <f t="shared" ref="F40:F54" si="17">D40*E40</f>
        <v>1057.7875000000001</v>
      </c>
      <c r="G40" s="913">
        <f>'Energy Inputs'!$D$10</f>
        <v>471.64</v>
      </c>
      <c r="H40" s="197">
        <f t="shared" ref="H40:H54" si="18">F40+G40</f>
        <v>1529.4275000000002</v>
      </c>
      <c r="I40" s="197"/>
      <c r="J40" s="938">
        <f>IF(ISERROR(IF(MOD(IF(AND(B40&gt;='Energy margins'!$M$44,B40&lt;='Energy margins'!$N$44),B40-'Energy margins'!$M$44,""),'Energy margins'!$O$44)=0,'Energy margins'!$L$44,0)),0,IF(MOD(IF(AND(B40&gt;='Energy margins'!$M$44,B40&lt;='Energy margins'!$N$44),B40-'Energy margins'!$M$44,""),'Energy margins'!$O$44)=0,'Energy margins'!$L$44,0))</f>
        <v>0</v>
      </c>
      <c r="K40" s="913">
        <f>IF(ISERROR(IF(MOD(IF(AND(B40&gt;='Energy margins'!$M$45,B40&lt;='Energy margins'!$N$45),B40-'Energy margins'!$M$45,""),'Energy margins'!$O$45)=0,'Energy margins'!$L$45,0)),0,IF(MOD(IF(AND(B40&gt;='Energy margins'!$M$45,B40&lt;='Energy margins'!$N$45),B40-'Energy margins'!$M$45,""),'Energy margins'!$O$45)=0,'Energy margins'!$L$45,0))</f>
        <v>197.56800000000001</v>
      </c>
      <c r="L40" s="913">
        <f>IF(ISERROR(IF(MOD(IF(AND(B40&gt;='Energy margins'!$M$46,B40&lt;='Energy margins'!$N$46),B40-'Energy margins'!$M$46,""),'Energy margins'!$O$46)=0,'Energy margins'!$L$46,0)),0,IF(MOD(IF(AND(B40&gt;='Energy margins'!$M$46,B40&lt;='Energy margins'!$N$46),B40-'Energy margins'!$M$46,""),'Energy margins'!$O$46)=0,'Energy margins'!$L$46,0))</f>
        <v>294</v>
      </c>
      <c r="M40" s="913">
        <f>IF(ISERROR(IF(MOD(IF(AND(B40&gt;='Energy margins'!$M$47,B40&lt;='Energy margins'!$N$47),B40-'Energy margins'!$M$47,""),'Energy margins'!$O$47)=0,'Energy margins'!$L$47,0)),0,IF(MOD(IF(AND(B40&gt;='Energy margins'!$M$47,B40&lt;='Energy margins'!$N$47),B40-'Energy margins'!$M$47,""),'Energy margins'!$O$47)=0,'Energy margins'!$L$47,0))</f>
        <v>327</v>
      </c>
      <c r="N40" s="913">
        <f>IF(ISERROR(IF(MOD(IF(AND(B40&gt;='Energy margins'!$M$50,B40&lt;='Energy margins'!$N$50),B40-'Energy margins'!$M$50,""),'Energy margins'!$O$50)=0,'Energy margins'!$L$50,0)),0,IF(MOD(IF(AND(B40&gt;='Energy margins'!$M$50,B40&lt;='Energy margins'!$N$50),B40-'Energy margins'!$M$50,""),'Energy margins'!$O$50)=0,'Energy margins'!$L$50,0))</f>
        <v>344</v>
      </c>
      <c r="O40" s="913">
        <f>IF(ISERROR(IF(MOD(IF(AND(B40&gt;='Energy margins'!$M$53,B40&lt;='Energy margins'!$N$53),B40-'Energy margins'!$M$53,""),'Energy margins'!$O$53)=0,'Energy margins'!$L$53,0)),0,IF(MOD(IF(AND(B40&gt;='Energy margins'!$M$53,B40&lt;='Energy margins'!$N$53),B40-'Energy margins'!$M$53,""),'Energy margins'!$O$53)=0,'Energy margins'!$L$53,0))</f>
        <v>357.59999999999997</v>
      </c>
      <c r="P40" s="913">
        <f>IF(ISERROR(IF(MOD(IF(AND(B40&gt;='Energy margins'!$M$56,B40&lt;='Energy margins'!$N$56),B40-'Energy margins'!$M$56,""),'Energy margins'!$O$56)=0,'Energy margins'!$L$56,0)),0,IF(MOD(IF(AND(B40&gt;='Energy margins'!$M$56,B40&lt;='Energy margins'!$N$56),B40-'Energy margins'!$M$56,""),'Energy margins'!$O$56)=0,'Energy margins'!$L$56,0))</f>
        <v>321.60000000000002</v>
      </c>
      <c r="Q40" s="913">
        <f>IF(ISERROR(IF(MOD(IF(AND(B40&gt;='Energy margins'!$M$59,B40&lt;='Energy margins'!$N$59),B40-'Energy margins'!$M$59,""),'Energy margins'!$O$59)=0,'Energy margins'!$L$59,0)),0,IF(MOD(IF(AND(B40&gt;='Energy margins'!$M$59,B40&lt;='Energy margins'!$N$59),B40-'Energy margins'!$M$59,""),'Energy margins'!$O$59)=0,'Energy margins'!$L$59,0))</f>
        <v>0</v>
      </c>
      <c r="R40" s="913">
        <f>IF(ISERROR(IF(MOD(IF(AND(B40&gt;='Energy margins'!$M$60,B40&lt;='Energy margins'!$N$60),B40-'Energy margins'!$M$60,""),'Energy margins'!$O$60)=0,'Energy margins'!$L$60,0)),0,IF(MOD(IF(AND(B40&gt;='Energy margins'!$M$60,B40&lt;='Energy margins'!$N$60),B40-'Energy margins'!$M$60,""),'Energy margins'!$O$60)=0,'Energy margins'!$L$60,0))</f>
        <v>650</v>
      </c>
      <c r="S40" s="913">
        <f>IF(ISERROR(IF(MOD(IF(AND(B40&gt;='Energy margins'!$M$61,B40&lt;='Energy margins'!$N$61),B40-'Energy margins'!$M$61,""),'Energy margins'!$O$61)=0,'Energy margins'!$L$61,0)),0,IF(MOD(IF(AND(B40&gt;='Energy margins'!$M$61,B40&lt;='Energy margins'!$N$61),B40-'Energy margins'!$M$61,""),'Energy margins'!$O$61)=0,'Energy margins'!$L$61,0))</f>
        <v>0</v>
      </c>
      <c r="T40" s="913">
        <f>IF(ISERROR(IF(MOD(IF(AND(B40&gt;='Energy margins'!$M$62,B40&lt;='Energy margins'!$N$62),B40-'Energy margins'!$M$62,""),'Energy margins'!$O$62)=0,'Energy margins'!$L$62,0)),0,IF(MOD(IF(AND(B40&gt;='Energy margins'!$M$62,B40&lt;='Energy margins'!$N$62),B40-'Energy margins'!$M$62,""),'Energy margins'!$O$62)=0,'Energy margins'!$L$62,0))</f>
        <v>0</v>
      </c>
      <c r="U40" s="939">
        <f t="shared" ref="U40:U54" si="19">SUM(J40:T40)</f>
        <v>2491.768</v>
      </c>
      <c r="V40" s="197"/>
      <c r="W40" s="197">
        <f t="shared" ref="W40:W54" si="20">I40+U40+V40</f>
        <v>2491.768</v>
      </c>
      <c r="X40" s="197">
        <f t="shared" si="14"/>
        <v>-1433.9804999999999</v>
      </c>
      <c r="Y40" s="197">
        <f t="shared" si="15"/>
        <v>-962.34049999999979</v>
      </c>
      <c r="Z40" s="968">
        <f t="shared" ref="Z40:Z54" si="21">F40/((1+$C$6)^($B40-1))</f>
        <v>1017.1033653846155</v>
      </c>
      <c r="AA40" s="969">
        <f t="shared" ref="AA40:AA54" si="22">G40/((1+$C$6)^($B40-1))</f>
        <v>453.49999999999994</v>
      </c>
      <c r="AB40" s="969">
        <f t="shared" ref="AB40:AB54" si="23">W40/((1+$C$6)^($B40-1))</f>
        <v>2395.9307692307693</v>
      </c>
      <c r="AC40" s="969">
        <f t="shared" ref="AC40:AC54" si="24">X40/((1+$C$6)^($B40-1))</f>
        <v>-1378.8274038461536</v>
      </c>
      <c r="AD40" s="969">
        <f t="shared" ref="AD40:AD54" si="25">Y40/((1+$C$6)^($B40-1))</f>
        <v>-925.32740384615363</v>
      </c>
      <c r="AE40" s="968">
        <f>AE39+Z40</f>
        <v>1178.8033653846155</v>
      </c>
      <c r="AF40" s="969">
        <f t="shared" ref="AF40:AF54" si="26">AF39+AA40</f>
        <v>925.13999999999987</v>
      </c>
      <c r="AG40" s="969">
        <f t="shared" ref="AG40:AG54" si="27">AG39+AB40</f>
        <v>68694.13076923076</v>
      </c>
      <c r="AH40" s="969">
        <f t="shared" ref="AH40:AH54" si="28">AH39+AC40</f>
        <v>-67515.327403846153</v>
      </c>
      <c r="AI40" s="970">
        <f t="shared" ref="AI40:AI54" si="29">AI39+AD40</f>
        <v>-66590.187403846154</v>
      </c>
    </row>
    <row r="41" spans="2:35" x14ac:dyDescent="0.3">
      <c r="B41" s="895">
        <v>3</v>
      </c>
      <c r="C41" s="917">
        <f>'Energy Inputs'!E32</f>
        <v>0.88516746411483238</v>
      </c>
      <c r="D41" s="913">
        <f>C41*'Energy Inputs'!$E$24</f>
        <v>11.099999999999998</v>
      </c>
      <c r="E41" s="197">
        <f>'Energy margins'!$L$12</f>
        <v>269.5</v>
      </c>
      <c r="F41" s="197">
        <f t="shared" si="17"/>
        <v>2991.4499999999994</v>
      </c>
      <c r="G41" s="913">
        <f>'Energy Inputs'!$D$10</f>
        <v>471.64</v>
      </c>
      <c r="H41" s="197">
        <f t="shared" si="18"/>
        <v>3463.0899999999992</v>
      </c>
      <c r="I41" s="197"/>
      <c r="J41" s="938">
        <f>IF(ISERROR(IF(MOD(IF(AND(B41&gt;='Energy margins'!$M$44,B41&lt;='Energy margins'!$N$44),B41-'Energy margins'!$M$44,""),'Energy margins'!$O$44)=0,'Energy margins'!$L$44,0)),0,IF(MOD(IF(AND(B41&gt;='Energy margins'!$M$44,B41&lt;='Energy margins'!$N$44),B41-'Energy margins'!$M$44,""),'Energy margins'!$O$44)=0,'Energy margins'!$L$44,0))</f>
        <v>0</v>
      </c>
      <c r="K41" s="913">
        <f>IF(ISERROR(IF(MOD(IF(AND(B41&gt;='Energy margins'!$M$45,B41&lt;='Energy margins'!$N$45),B41-'Energy margins'!$M$45,""),'Energy margins'!$O$45)=0,'Energy margins'!$L$45,0)),0,IF(MOD(IF(AND(B41&gt;='Energy margins'!$M$45,B41&lt;='Energy margins'!$N$45),B41-'Energy margins'!$M$45,""),'Energy margins'!$O$45)=0,'Energy margins'!$L$45,0))</f>
        <v>197.56800000000001</v>
      </c>
      <c r="L41" s="913">
        <f>IF(ISERROR(IF(MOD(IF(AND(B41&gt;='Energy margins'!$M$46,B41&lt;='Energy margins'!$N$46),B41-'Energy margins'!$M$46,""),'Energy margins'!$O$46)=0,'Energy margins'!$L$46,0)),0,IF(MOD(IF(AND(B41&gt;='Energy margins'!$M$46,B41&lt;='Energy margins'!$N$46),B41-'Energy margins'!$M$46,""),'Energy margins'!$O$46)=0,'Energy margins'!$L$46,0))</f>
        <v>294</v>
      </c>
      <c r="M41" s="913">
        <f>IF(ISERROR(IF(MOD(IF(AND(B41&gt;='Energy margins'!$M$47,B41&lt;='Energy margins'!$N$47),B41-'Energy margins'!$M$47,""),'Energy margins'!$O$47)=0,'Energy margins'!$L$47,0)),0,IF(MOD(IF(AND(B41&gt;='Energy margins'!$M$47,B41&lt;='Energy margins'!$N$47),B41-'Energy margins'!$M$47,""),'Energy margins'!$O$47)=0,'Energy margins'!$L$47,0))</f>
        <v>327</v>
      </c>
      <c r="N41" s="913">
        <f>IF(ISERROR(IF(MOD(IF(AND(B41&gt;='Energy margins'!$M$50,B41&lt;='Energy margins'!$N$50),B41-'Energy margins'!$M$50,""),'Energy margins'!$O$50)=0,'Energy margins'!$L$50,0)),0,IF(MOD(IF(AND(B41&gt;='Energy margins'!$M$50,B41&lt;='Energy margins'!$N$50),B41-'Energy margins'!$M$50,""),'Energy margins'!$O$50)=0,'Energy margins'!$L$50,0))</f>
        <v>344</v>
      </c>
      <c r="O41" s="913">
        <f>IF(ISERROR(IF(MOD(IF(AND(B41&gt;='Energy margins'!$M$53,B41&lt;='Energy margins'!$N$53),B41-'Energy margins'!$M$53,""),'Energy margins'!$O$53)=0,'Energy margins'!$L$53,0)),0,IF(MOD(IF(AND(B41&gt;='Energy margins'!$M$53,B41&lt;='Energy margins'!$N$53),B41-'Energy margins'!$M$53,""),'Energy margins'!$O$53)=0,'Energy margins'!$L$53,0))</f>
        <v>357.59999999999997</v>
      </c>
      <c r="P41" s="913">
        <f>IF(ISERROR(IF(MOD(IF(AND(B41&gt;='Energy margins'!$M$56,B41&lt;='Energy margins'!$N$56),B41-'Energy margins'!$M$56,""),'Energy margins'!$O$56)=0,'Energy margins'!$L$56,0)),0,IF(MOD(IF(AND(B41&gt;='Energy margins'!$M$56,B41&lt;='Energy margins'!$N$56),B41-'Energy margins'!$M$56,""),'Energy margins'!$O$56)=0,'Energy margins'!$L$56,0))</f>
        <v>321.60000000000002</v>
      </c>
      <c r="Q41" s="913">
        <f>IF(ISERROR(IF(MOD(IF(AND(B41&gt;='Energy margins'!$M$59,B41&lt;='Energy margins'!$N$59),B41-'Energy margins'!$M$59,""),'Energy margins'!$O$59)=0,'Energy margins'!$L$59,0)),0,IF(MOD(IF(AND(B41&gt;='Energy margins'!$M$59,B41&lt;='Energy margins'!$N$59),B41-'Energy margins'!$M$59,""),'Energy margins'!$O$59)=0,'Energy margins'!$L$59,0))</f>
        <v>0</v>
      </c>
      <c r="R41" s="913">
        <f>IF(ISERROR(IF(MOD(IF(AND(B41&gt;='Energy margins'!$M$60,B41&lt;='Energy margins'!$N$60),B41-'Energy margins'!$M$60,""),'Energy margins'!$O$60)=0,'Energy margins'!$L$60,0)),0,IF(MOD(IF(AND(B41&gt;='Energy margins'!$M$60,B41&lt;='Energy margins'!$N$60),B41-'Energy margins'!$M$60,""),'Energy margins'!$O$60)=0,'Energy margins'!$L$60,0))</f>
        <v>650</v>
      </c>
      <c r="S41" s="913">
        <f>IF(ISERROR(IF(MOD(IF(AND(B41&gt;='Energy margins'!$M$61,B41&lt;='Energy margins'!$N$61),B41-'Energy margins'!$M$61,""),'Energy margins'!$O$61)=0,'Energy margins'!$L$61,0)),0,IF(MOD(IF(AND(B41&gt;='Energy margins'!$M$61,B41&lt;='Energy margins'!$N$61),B41-'Energy margins'!$M$61,""),'Energy margins'!$O$61)=0,'Energy margins'!$L$61,0))</f>
        <v>0</v>
      </c>
      <c r="T41" s="913">
        <f>IF(ISERROR(IF(MOD(IF(AND(B41&gt;='Energy margins'!$M$62,B41&lt;='Energy margins'!$N$62),B41-'Energy margins'!$M$62,""),'Energy margins'!$O$62)=0,'Energy margins'!$L$62,0)),0,IF(MOD(IF(AND(B41&gt;='Energy margins'!$M$62,B41&lt;='Energy margins'!$N$62),B41-'Energy margins'!$M$62,""),'Energy margins'!$O$62)=0,'Energy margins'!$L$62,0))</f>
        <v>0</v>
      </c>
      <c r="U41" s="939">
        <f t="shared" si="19"/>
        <v>2491.768</v>
      </c>
      <c r="V41" s="197"/>
      <c r="W41" s="197">
        <f t="shared" si="20"/>
        <v>2491.768</v>
      </c>
      <c r="X41" s="197">
        <f t="shared" si="14"/>
        <v>499.68199999999933</v>
      </c>
      <c r="Y41" s="197">
        <f t="shared" si="15"/>
        <v>971.32199999999921</v>
      </c>
      <c r="Z41" s="968">
        <f t="shared" si="21"/>
        <v>2765.7636834319519</v>
      </c>
      <c r="AA41" s="969">
        <f t="shared" si="22"/>
        <v>436.05769230769226</v>
      </c>
      <c r="AB41" s="969">
        <f t="shared" si="23"/>
        <v>2303.7795857988162</v>
      </c>
      <c r="AC41" s="969">
        <f t="shared" si="24"/>
        <v>461.98409763313543</v>
      </c>
      <c r="AD41" s="969">
        <f t="shared" si="25"/>
        <v>898.04178994082758</v>
      </c>
      <c r="AE41" s="968">
        <f t="shared" ref="AE41:AE54" si="30">AE40+Z41</f>
        <v>3944.5670488165674</v>
      </c>
      <c r="AF41" s="969">
        <f t="shared" si="26"/>
        <v>1361.1976923076923</v>
      </c>
      <c r="AG41" s="969">
        <f t="shared" si="27"/>
        <v>70997.910355029569</v>
      </c>
      <c r="AH41" s="969">
        <f t="shared" si="28"/>
        <v>-67053.343306213021</v>
      </c>
      <c r="AI41" s="970">
        <f t="shared" si="29"/>
        <v>-65692.145613905333</v>
      </c>
    </row>
    <row r="42" spans="2:35" x14ac:dyDescent="0.3">
      <c r="B42" s="895">
        <v>4</v>
      </c>
      <c r="C42" s="917">
        <f>'Energy Inputs'!E33</f>
        <v>1</v>
      </c>
      <c r="D42" s="913">
        <f>C42*'Energy Inputs'!$E$24</f>
        <v>12.54</v>
      </c>
      <c r="E42" s="197">
        <f>'Energy margins'!$L$12</f>
        <v>269.5</v>
      </c>
      <c r="F42" s="197">
        <f t="shared" si="17"/>
        <v>3379.5299999999997</v>
      </c>
      <c r="G42" s="913">
        <f>'Energy Inputs'!$D$10</f>
        <v>471.64</v>
      </c>
      <c r="H42" s="197">
        <f t="shared" si="18"/>
        <v>3851.1699999999996</v>
      </c>
      <c r="I42" s="197"/>
      <c r="J42" s="938">
        <f>IF(ISERROR(IF(MOD(IF(AND(B42&gt;='Energy margins'!$M$44,B42&lt;='Energy margins'!$N$44),B42-'Energy margins'!$M$44,""),'Energy margins'!$O$44)=0,'Energy margins'!$L$44,0)),0,IF(MOD(IF(AND(B42&gt;='Energy margins'!$M$44,B42&lt;='Energy margins'!$N$44),B42-'Energy margins'!$M$44,""),'Energy margins'!$O$44)=0,'Energy margins'!$L$44,0))</f>
        <v>0</v>
      </c>
      <c r="K42" s="913">
        <f>IF(ISERROR(IF(MOD(IF(AND(B42&gt;='Energy margins'!$M$45,B42&lt;='Energy margins'!$N$45),B42-'Energy margins'!$M$45,""),'Energy margins'!$O$45)=0,'Energy margins'!$L$45,0)),0,IF(MOD(IF(AND(B42&gt;='Energy margins'!$M$45,B42&lt;='Energy margins'!$N$45),B42-'Energy margins'!$M$45,""),'Energy margins'!$O$45)=0,'Energy margins'!$L$45,0))</f>
        <v>0</v>
      </c>
      <c r="L42" s="913">
        <f>IF(ISERROR(IF(MOD(IF(AND(B42&gt;='Energy margins'!$M$46,B42&lt;='Energy margins'!$N$46),B42-'Energy margins'!$M$46,""),'Energy margins'!$O$46)=0,'Energy margins'!$L$46,0)),0,IF(MOD(IF(AND(B42&gt;='Energy margins'!$M$46,B42&lt;='Energy margins'!$N$46),B42-'Energy margins'!$M$46,""),'Energy margins'!$O$46)=0,'Energy margins'!$L$46,0))</f>
        <v>0</v>
      </c>
      <c r="M42" s="913">
        <f>IF(ISERROR(IF(MOD(IF(AND(B42&gt;='Energy margins'!$M$47,B42&lt;='Energy margins'!$N$47),B42-'Energy margins'!$M$47,""),'Energy margins'!$O$47)=0,'Energy margins'!$L$47,0)),0,IF(MOD(IF(AND(B42&gt;='Energy margins'!$M$47,B42&lt;='Energy margins'!$N$47),B42-'Energy margins'!$M$47,""),'Energy margins'!$O$47)=0,'Energy margins'!$L$47,0))</f>
        <v>327</v>
      </c>
      <c r="N42" s="913">
        <f>IF(ISERROR(IF(MOD(IF(AND(B42&gt;='Energy margins'!$M$50,B42&lt;='Energy margins'!$N$50),B42-'Energy margins'!$M$50,""),'Energy margins'!$O$50)=0,'Energy margins'!$L$50,0)),0,IF(MOD(IF(AND(B42&gt;='Energy margins'!$M$50,B42&lt;='Energy margins'!$N$50),B42-'Energy margins'!$M$50,""),'Energy margins'!$O$50)=0,'Energy margins'!$L$50,0))</f>
        <v>344</v>
      </c>
      <c r="O42" s="913">
        <f>IF(ISERROR(IF(MOD(IF(AND(B42&gt;='Energy margins'!$M$53,B42&lt;='Energy margins'!$N$53),B42-'Energy margins'!$M$53,""),'Energy margins'!$O$53)=0,'Energy margins'!$L$53,0)),0,IF(MOD(IF(AND(B42&gt;='Energy margins'!$M$53,B42&lt;='Energy margins'!$N$53),B42-'Energy margins'!$M$53,""),'Energy margins'!$O$53)=0,'Energy margins'!$L$53,0))</f>
        <v>357.59999999999997</v>
      </c>
      <c r="P42" s="913">
        <f>IF(ISERROR(IF(MOD(IF(AND(B42&gt;='Energy margins'!$M$56,B42&lt;='Energy margins'!$N$56),B42-'Energy margins'!$M$56,""),'Energy margins'!$O$56)=0,'Energy margins'!$L$56,0)),0,IF(MOD(IF(AND(B42&gt;='Energy margins'!$M$56,B42&lt;='Energy margins'!$N$56),B42-'Energy margins'!$M$56,""),'Energy margins'!$O$56)=0,'Energy margins'!$L$56,0))</f>
        <v>321.60000000000002</v>
      </c>
      <c r="Q42" s="913">
        <f>IF(ISERROR(IF(MOD(IF(AND(B42&gt;='Energy margins'!$M$59,B42&lt;='Energy margins'!$N$59),B42-'Energy margins'!$M$59,""),'Energy margins'!$O$59)=0,'Energy margins'!$L$59,0)),0,IF(MOD(IF(AND(B42&gt;='Energy margins'!$M$59,B42&lt;='Energy margins'!$N$59),B42-'Energy margins'!$M$59,""),'Energy margins'!$O$59)=0,'Energy margins'!$L$59,0))</f>
        <v>0</v>
      </c>
      <c r="R42" s="913">
        <f>IF(ISERROR(IF(MOD(IF(AND(B42&gt;='Energy margins'!$M$60,B42&lt;='Energy margins'!$N$60),B42-'Energy margins'!$M$60,""),'Energy margins'!$O$60)=0,'Energy margins'!$L$60,0)),0,IF(MOD(IF(AND(B42&gt;='Energy margins'!$M$60,B42&lt;='Energy margins'!$N$60),B42-'Energy margins'!$M$60,""),'Energy margins'!$O$60)=0,'Energy margins'!$L$60,0))</f>
        <v>650</v>
      </c>
      <c r="S42" s="913">
        <f>IF(ISERROR(IF(MOD(IF(AND(B42&gt;='Energy margins'!$M$61,B42&lt;='Energy margins'!$N$61),B42-'Energy margins'!$M$61,""),'Energy margins'!$O$61)=0,'Energy margins'!$L$61,0)),0,IF(MOD(IF(AND(B42&gt;='Energy margins'!$M$61,B42&lt;='Energy margins'!$N$61),B42-'Energy margins'!$M$61,""),'Energy margins'!$O$61)=0,'Energy margins'!$L$61,0))</f>
        <v>0</v>
      </c>
      <c r="T42" s="913">
        <f>IF(ISERROR(IF(MOD(IF(AND(B42&gt;='Energy margins'!$M$62,B42&lt;='Energy margins'!$N$62),B42-'Energy margins'!$M$62,""),'Energy margins'!$O$62)=0,'Energy margins'!$L$62,0)),0,IF(MOD(IF(AND(B42&gt;='Energy margins'!$M$62,B42&lt;='Energy margins'!$N$62),B42-'Energy margins'!$M$62,""),'Energy margins'!$O$62)=0,'Energy margins'!$L$62,0))</f>
        <v>0</v>
      </c>
      <c r="U42" s="939">
        <f t="shared" si="19"/>
        <v>2000.1999999999998</v>
      </c>
      <c r="V42" s="197"/>
      <c r="W42" s="197">
        <f t="shared" si="20"/>
        <v>2000.1999999999998</v>
      </c>
      <c r="X42" s="197">
        <f t="shared" si="14"/>
        <v>1379.33</v>
      </c>
      <c r="Y42" s="197">
        <f t="shared" si="15"/>
        <v>1850.9699999999998</v>
      </c>
      <c r="Z42" s="968">
        <f t="shared" si="21"/>
        <v>3004.3898640191164</v>
      </c>
      <c r="AA42" s="969">
        <f t="shared" si="22"/>
        <v>419.28624260355025</v>
      </c>
      <c r="AB42" s="969">
        <f t="shared" si="23"/>
        <v>1778.1705166135637</v>
      </c>
      <c r="AC42" s="969">
        <f t="shared" si="24"/>
        <v>1226.219347405553</v>
      </c>
      <c r="AD42" s="969">
        <f t="shared" si="25"/>
        <v>1645.5055900091031</v>
      </c>
      <c r="AE42" s="968">
        <f t="shared" si="30"/>
        <v>6948.9569128356834</v>
      </c>
      <c r="AF42" s="969">
        <f t="shared" si="26"/>
        <v>1780.4839349112426</v>
      </c>
      <c r="AG42" s="969">
        <f t="shared" si="27"/>
        <v>72776.080871643135</v>
      </c>
      <c r="AH42" s="969">
        <f t="shared" si="28"/>
        <v>-65827.123958807468</v>
      </c>
      <c r="AI42" s="970">
        <f t="shared" si="29"/>
        <v>-64046.640023896231</v>
      </c>
    </row>
    <row r="43" spans="2:35" x14ac:dyDescent="0.3">
      <c r="B43" s="895">
        <v>5</v>
      </c>
      <c r="C43" s="917">
        <f>'Energy Inputs'!E34</f>
        <v>1</v>
      </c>
      <c r="D43" s="913">
        <f>C43*'Energy Inputs'!$E$24</f>
        <v>12.54</v>
      </c>
      <c r="E43" s="197">
        <f>'Energy margins'!$L$12</f>
        <v>269.5</v>
      </c>
      <c r="F43" s="197">
        <f t="shared" si="17"/>
        <v>3379.5299999999997</v>
      </c>
      <c r="G43" s="913">
        <f>'Energy Inputs'!$D$10</f>
        <v>471.64</v>
      </c>
      <c r="H43" s="197">
        <f t="shared" si="18"/>
        <v>3851.1699999999996</v>
      </c>
      <c r="I43" s="197"/>
      <c r="J43" s="938">
        <f>IF(ISERROR(IF(MOD(IF(AND(B43&gt;='Energy margins'!$M$44,B43&lt;='Energy margins'!$N$44),B43-'Energy margins'!$M$44,""),'Energy margins'!$O$44)=0,'Energy margins'!$L$44,0)),0,IF(MOD(IF(AND(B43&gt;='Energy margins'!$M$44,B43&lt;='Energy margins'!$N$44),B43-'Energy margins'!$M$44,""),'Energy margins'!$O$44)=0,'Energy margins'!$L$44,0))</f>
        <v>0</v>
      </c>
      <c r="K43" s="913">
        <f>IF(ISERROR(IF(MOD(IF(AND(B43&gt;='Energy margins'!$M$45,B43&lt;='Energy margins'!$N$45),B43-'Energy margins'!$M$45,""),'Energy margins'!$O$45)=0,'Energy margins'!$L$45,0)),0,IF(MOD(IF(AND(B43&gt;='Energy margins'!$M$45,B43&lt;='Energy margins'!$N$45),B43-'Energy margins'!$M$45,""),'Energy margins'!$O$45)=0,'Energy margins'!$L$45,0))</f>
        <v>0</v>
      </c>
      <c r="L43" s="913">
        <f>IF(ISERROR(IF(MOD(IF(AND(B43&gt;='Energy margins'!$M$46,B43&lt;='Energy margins'!$N$46),B43-'Energy margins'!$M$46,""),'Energy margins'!$O$46)=0,'Energy margins'!$L$46,0)),0,IF(MOD(IF(AND(B43&gt;='Energy margins'!$M$46,B43&lt;='Energy margins'!$N$46),B43-'Energy margins'!$M$46,""),'Energy margins'!$O$46)=0,'Energy margins'!$L$46,0))</f>
        <v>0</v>
      </c>
      <c r="M43" s="913">
        <f>IF(ISERROR(IF(MOD(IF(AND(B43&gt;='Energy margins'!$M$47,B43&lt;='Energy margins'!$N$47),B43-'Energy margins'!$M$47,""),'Energy margins'!$O$47)=0,'Energy margins'!$L$47,0)),0,IF(MOD(IF(AND(B43&gt;='Energy margins'!$M$47,B43&lt;='Energy margins'!$N$47),B43-'Energy margins'!$M$47,""),'Energy margins'!$O$47)=0,'Energy margins'!$L$47,0))</f>
        <v>327</v>
      </c>
      <c r="N43" s="913">
        <f>IF(ISERROR(IF(MOD(IF(AND(B43&gt;='Energy margins'!$M$50,B43&lt;='Energy margins'!$N$50),B43-'Energy margins'!$M$50,""),'Energy margins'!$O$50)=0,'Energy margins'!$L$50,0)),0,IF(MOD(IF(AND(B43&gt;='Energy margins'!$M$50,B43&lt;='Energy margins'!$N$50),B43-'Energy margins'!$M$50,""),'Energy margins'!$O$50)=0,'Energy margins'!$L$50,0))</f>
        <v>344</v>
      </c>
      <c r="O43" s="913">
        <f>IF(ISERROR(IF(MOD(IF(AND(B43&gt;='Energy margins'!$M$53,B43&lt;='Energy margins'!$N$53),B43-'Energy margins'!$M$53,""),'Energy margins'!$O$53)=0,'Energy margins'!$L$53,0)),0,IF(MOD(IF(AND(B43&gt;='Energy margins'!$M$53,B43&lt;='Energy margins'!$N$53),B43-'Energy margins'!$M$53,""),'Energy margins'!$O$53)=0,'Energy margins'!$L$53,0))</f>
        <v>357.59999999999997</v>
      </c>
      <c r="P43" s="913">
        <f>IF(ISERROR(IF(MOD(IF(AND(B43&gt;='Energy margins'!$M$56,B43&lt;='Energy margins'!$N$56),B43-'Energy margins'!$M$56,""),'Energy margins'!$O$56)=0,'Energy margins'!$L$56,0)),0,IF(MOD(IF(AND(B43&gt;='Energy margins'!$M$56,B43&lt;='Energy margins'!$N$56),B43-'Energy margins'!$M$56,""),'Energy margins'!$O$56)=0,'Energy margins'!$L$56,0))</f>
        <v>321.60000000000002</v>
      </c>
      <c r="Q43" s="913">
        <f>IF(ISERROR(IF(MOD(IF(AND(B43&gt;='Energy margins'!$M$59,B43&lt;='Energy margins'!$N$59),B43-'Energy margins'!$M$59,""),'Energy margins'!$O$59)=0,'Energy margins'!$L$59,0)),0,IF(MOD(IF(AND(B43&gt;='Energy margins'!$M$59,B43&lt;='Energy margins'!$N$59),B43-'Energy margins'!$M$59,""),'Energy margins'!$O$59)=0,'Energy margins'!$L$59,0))</f>
        <v>0</v>
      </c>
      <c r="R43" s="913">
        <f>IF(ISERROR(IF(MOD(IF(AND(B43&gt;='Energy margins'!$M$60,B43&lt;='Energy margins'!$N$60),B43-'Energy margins'!$M$60,""),'Energy margins'!$O$60)=0,'Energy margins'!$L$60,0)),0,IF(MOD(IF(AND(B43&gt;='Energy margins'!$M$60,B43&lt;='Energy margins'!$N$60),B43-'Energy margins'!$M$60,""),'Energy margins'!$O$60)=0,'Energy margins'!$L$60,0))</f>
        <v>650</v>
      </c>
      <c r="S43" s="913">
        <f>IF(ISERROR(IF(MOD(IF(AND(B43&gt;='Energy margins'!$M$61,B43&lt;='Energy margins'!$N$61),B43-'Energy margins'!$M$61,""),'Energy margins'!$O$61)=0,'Energy margins'!$L$61,0)),0,IF(MOD(IF(AND(B43&gt;='Energy margins'!$M$61,B43&lt;='Energy margins'!$N$61),B43-'Energy margins'!$M$61,""),'Energy margins'!$O$61)=0,'Energy margins'!$L$61,0))</f>
        <v>0</v>
      </c>
      <c r="T43" s="913">
        <f>IF(ISERROR(IF(MOD(IF(AND(B43&gt;='Energy margins'!$M$62,B43&lt;='Energy margins'!$N$62),B43-'Energy margins'!$M$62,""),'Energy margins'!$O$62)=0,'Energy margins'!$L$62,0)),0,IF(MOD(IF(AND(B43&gt;='Energy margins'!$M$62,B43&lt;='Energy margins'!$N$62),B43-'Energy margins'!$M$62,""),'Energy margins'!$O$62)=0,'Energy margins'!$L$62,0))</f>
        <v>0</v>
      </c>
      <c r="U43" s="939">
        <f t="shared" si="19"/>
        <v>2000.1999999999998</v>
      </c>
      <c r="V43" s="197"/>
      <c r="W43" s="197">
        <f t="shared" si="20"/>
        <v>2000.1999999999998</v>
      </c>
      <c r="X43" s="197">
        <f t="shared" si="14"/>
        <v>1379.33</v>
      </c>
      <c r="Y43" s="197">
        <f t="shared" si="15"/>
        <v>1850.9699999999998</v>
      </c>
      <c r="Z43" s="968">
        <f t="shared" si="21"/>
        <v>2888.8364077106885</v>
      </c>
      <c r="AA43" s="969">
        <f t="shared" si="22"/>
        <v>403.15984865725983</v>
      </c>
      <c r="AB43" s="969">
        <f t="shared" si="23"/>
        <v>1709.7793428976572</v>
      </c>
      <c r="AC43" s="969">
        <f t="shared" si="24"/>
        <v>1179.0570648130315</v>
      </c>
      <c r="AD43" s="969">
        <f t="shared" si="25"/>
        <v>1582.2169134702913</v>
      </c>
      <c r="AE43" s="968">
        <f t="shared" si="30"/>
        <v>9837.7933205463723</v>
      </c>
      <c r="AF43" s="969">
        <f t="shared" si="26"/>
        <v>2183.6437835685024</v>
      </c>
      <c r="AG43" s="969">
        <f t="shared" si="27"/>
        <v>74485.860214540793</v>
      </c>
      <c r="AH43" s="969">
        <f t="shared" si="28"/>
        <v>-64648.066893994437</v>
      </c>
      <c r="AI43" s="970">
        <f t="shared" si="29"/>
        <v>-62464.423110425938</v>
      </c>
    </row>
    <row r="44" spans="2:35" x14ac:dyDescent="0.3">
      <c r="B44" s="895">
        <v>6</v>
      </c>
      <c r="C44" s="917">
        <f>'Energy Inputs'!E35</f>
        <v>1</v>
      </c>
      <c r="D44" s="913">
        <f>C44*'Energy Inputs'!$E$24</f>
        <v>12.54</v>
      </c>
      <c r="E44" s="197">
        <f>'Energy margins'!$L$12</f>
        <v>269.5</v>
      </c>
      <c r="F44" s="197">
        <f t="shared" si="17"/>
        <v>3379.5299999999997</v>
      </c>
      <c r="G44" s="913">
        <f>'Energy Inputs'!$D$10</f>
        <v>471.64</v>
      </c>
      <c r="H44" s="197">
        <f t="shared" si="18"/>
        <v>3851.1699999999996</v>
      </c>
      <c r="I44" s="197"/>
      <c r="J44" s="938">
        <f>IF(ISERROR(IF(MOD(IF(AND(B44&gt;='Energy margins'!$M$44,B44&lt;='Energy margins'!$N$44),B44-'Energy margins'!$M$44,""),'Energy margins'!$O$44)=0,'Energy margins'!$L$44,0)),0,IF(MOD(IF(AND(B44&gt;='Energy margins'!$M$44,B44&lt;='Energy margins'!$N$44),B44-'Energy margins'!$M$44,""),'Energy margins'!$O$44)=0,'Energy margins'!$L$44,0))</f>
        <v>0</v>
      </c>
      <c r="K44" s="913">
        <f>IF(ISERROR(IF(MOD(IF(AND(B44&gt;='Energy margins'!$M$45,B44&lt;='Energy margins'!$N$45),B44-'Energy margins'!$M$45,""),'Energy margins'!$O$45)=0,'Energy margins'!$L$45,0)),0,IF(MOD(IF(AND(B44&gt;='Energy margins'!$M$45,B44&lt;='Energy margins'!$N$45),B44-'Energy margins'!$M$45,""),'Energy margins'!$O$45)=0,'Energy margins'!$L$45,0))</f>
        <v>0</v>
      </c>
      <c r="L44" s="913">
        <f>IF(ISERROR(IF(MOD(IF(AND(B44&gt;='Energy margins'!$M$46,B44&lt;='Energy margins'!$N$46),B44-'Energy margins'!$M$46,""),'Energy margins'!$O$46)=0,'Energy margins'!$L$46,0)),0,IF(MOD(IF(AND(B44&gt;='Energy margins'!$M$46,B44&lt;='Energy margins'!$N$46),B44-'Energy margins'!$M$46,""),'Energy margins'!$O$46)=0,'Energy margins'!$L$46,0))</f>
        <v>0</v>
      </c>
      <c r="M44" s="913">
        <f>IF(ISERROR(IF(MOD(IF(AND(B44&gt;='Energy margins'!$M$47,B44&lt;='Energy margins'!$N$47),B44-'Energy margins'!$M$47,""),'Energy margins'!$O$47)=0,'Energy margins'!$L$47,0)),0,IF(MOD(IF(AND(B44&gt;='Energy margins'!$M$47,B44&lt;='Energy margins'!$N$47),B44-'Energy margins'!$M$47,""),'Energy margins'!$O$47)=0,'Energy margins'!$L$47,0))</f>
        <v>327</v>
      </c>
      <c r="N44" s="913">
        <f>IF(ISERROR(IF(MOD(IF(AND(B44&gt;='Energy margins'!$M$50,B44&lt;='Energy margins'!$N$50),B44-'Energy margins'!$M$50,""),'Energy margins'!$O$50)=0,'Energy margins'!$L$50,0)),0,IF(MOD(IF(AND(B44&gt;='Energy margins'!$M$50,B44&lt;='Energy margins'!$N$50),B44-'Energy margins'!$M$50,""),'Energy margins'!$O$50)=0,'Energy margins'!$L$50,0))</f>
        <v>344</v>
      </c>
      <c r="O44" s="913">
        <f>IF(ISERROR(IF(MOD(IF(AND(B44&gt;='Energy margins'!$M$53,B44&lt;='Energy margins'!$N$53),B44-'Energy margins'!$M$53,""),'Energy margins'!$O$53)=0,'Energy margins'!$L$53,0)),0,IF(MOD(IF(AND(B44&gt;='Energy margins'!$M$53,B44&lt;='Energy margins'!$N$53),B44-'Energy margins'!$M$53,""),'Energy margins'!$O$53)=0,'Energy margins'!$L$53,0))</f>
        <v>357.59999999999997</v>
      </c>
      <c r="P44" s="913">
        <f>IF(ISERROR(IF(MOD(IF(AND(B44&gt;='Energy margins'!$M$56,B44&lt;='Energy margins'!$N$56),B44-'Energy margins'!$M$56,""),'Energy margins'!$O$56)=0,'Energy margins'!$L$56,0)),0,IF(MOD(IF(AND(B44&gt;='Energy margins'!$M$56,B44&lt;='Energy margins'!$N$56),B44-'Energy margins'!$M$56,""),'Energy margins'!$O$56)=0,'Energy margins'!$L$56,0))</f>
        <v>321.60000000000002</v>
      </c>
      <c r="Q44" s="913">
        <f>IF(ISERROR(IF(MOD(IF(AND(B44&gt;='Energy margins'!$M$59,B44&lt;='Energy margins'!$N$59),B44-'Energy margins'!$M$59,""),'Energy margins'!$O$59)=0,'Energy margins'!$L$59,0)),0,IF(MOD(IF(AND(B44&gt;='Energy margins'!$M$59,B44&lt;='Energy margins'!$N$59),B44-'Energy margins'!$M$59,""),'Energy margins'!$O$59)=0,'Energy margins'!$L$59,0))</f>
        <v>0</v>
      </c>
      <c r="R44" s="913">
        <f>IF(ISERROR(IF(MOD(IF(AND(B44&gt;='Energy margins'!$M$60,B44&lt;='Energy margins'!$N$60),B44-'Energy margins'!$M$60,""),'Energy margins'!$O$60)=0,'Energy margins'!$L$60,0)),0,IF(MOD(IF(AND(B44&gt;='Energy margins'!$M$60,B44&lt;='Energy margins'!$N$60),B44-'Energy margins'!$M$60,""),'Energy margins'!$O$60)=0,'Energy margins'!$L$60,0))</f>
        <v>650</v>
      </c>
      <c r="S44" s="913">
        <f>IF(ISERROR(IF(MOD(IF(AND(B44&gt;='Energy margins'!$M$61,B44&lt;='Energy margins'!$N$61),B44-'Energy margins'!$M$61,""),'Energy margins'!$O$61)=0,'Energy margins'!$L$61,0)),0,IF(MOD(IF(AND(B44&gt;='Energy margins'!$M$61,B44&lt;='Energy margins'!$N$61),B44-'Energy margins'!$M$61,""),'Energy margins'!$O$61)=0,'Energy margins'!$L$61,0))</f>
        <v>0</v>
      </c>
      <c r="T44" s="913">
        <f>IF(ISERROR(IF(MOD(IF(AND(B44&gt;='Energy margins'!$M$62,B44&lt;='Energy margins'!$N$62),B44-'Energy margins'!$M$62,""),'Energy margins'!$O$62)=0,'Energy margins'!$L$62,0)),0,IF(MOD(IF(AND(B44&gt;='Energy margins'!$M$62,B44&lt;='Energy margins'!$N$62),B44-'Energy margins'!$M$62,""),'Energy margins'!$O$62)=0,'Energy margins'!$L$62,0))</f>
        <v>0</v>
      </c>
      <c r="U44" s="939">
        <f t="shared" si="19"/>
        <v>2000.1999999999998</v>
      </c>
      <c r="V44" s="197"/>
      <c r="W44" s="197">
        <f t="shared" si="20"/>
        <v>2000.1999999999998</v>
      </c>
      <c r="X44" s="197">
        <f t="shared" si="14"/>
        <v>1379.33</v>
      </c>
      <c r="Y44" s="197">
        <f t="shared" si="15"/>
        <v>1850.9699999999998</v>
      </c>
      <c r="Z44" s="968">
        <f t="shared" si="21"/>
        <v>2777.727315106431</v>
      </c>
      <c r="AA44" s="969">
        <f t="shared" si="22"/>
        <v>387.65370063198054</v>
      </c>
      <c r="AB44" s="969">
        <f t="shared" si="23"/>
        <v>1644.0185989400547</v>
      </c>
      <c r="AC44" s="969">
        <f t="shared" si="24"/>
        <v>1133.7087161663762</v>
      </c>
      <c r="AD44" s="969">
        <f t="shared" si="25"/>
        <v>1521.3624167983567</v>
      </c>
      <c r="AE44" s="968">
        <f t="shared" si="30"/>
        <v>12615.520635652803</v>
      </c>
      <c r="AF44" s="969">
        <f t="shared" si="26"/>
        <v>2571.2974842004828</v>
      </c>
      <c r="AG44" s="969">
        <f t="shared" si="27"/>
        <v>76129.878813480842</v>
      </c>
      <c r="AH44" s="969">
        <f t="shared" si="28"/>
        <v>-63514.358177828064</v>
      </c>
      <c r="AI44" s="970">
        <f t="shared" si="29"/>
        <v>-60943.06069362758</v>
      </c>
    </row>
    <row r="45" spans="2:35" x14ac:dyDescent="0.3">
      <c r="B45" s="895">
        <v>7</v>
      </c>
      <c r="C45" s="917">
        <f>'Energy Inputs'!E36</f>
        <v>1</v>
      </c>
      <c r="D45" s="913">
        <f>C45*'Energy Inputs'!$E$24</f>
        <v>12.54</v>
      </c>
      <c r="E45" s="197">
        <f>'Energy margins'!$L$12</f>
        <v>269.5</v>
      </c>
      <c r="F45" s="197">
        <f t="shared" si="17"/>
        <v>3379.5299999999997</v>
      </c>
      <c r="G45" s="913">
        <f>'Energy Inputs'!$D$10</f>
        <v>471.64</v>
      </c>
      <c r="H45" s="197">
        <f t="shared" si="18"/>
        <v>3851.1699999999996</v>
      </c>
      <c r="I45" s="197"/>
      <c r="J45" s="938">
        <f>IF(ISERROR(IF(MOD(IF(AND(B45&gt;='Energy margins'!$M$44,B45&lt;='Energy margins'!$N$44),B45-'Energy margins'!$M$44,""),'Energy margins'!$O$44)=0,'Energy margins'!$L$44,0)),0,IF(MOD(IF(AND(B45&gt;='Energy margins'!$M$44,B45&lt;='Energy margins'!$N$44),B45-'Energy margins'!$M$44,""),'Energy margins'!$O$44)=0,'Energy margins'!$L$44,0))</f>
        <v>0</v>
      </c>
      <c r="K45" s="913">
        <f>IF(ISERROR(IF(MOD(IF(AND(B45&gt;='Energy margins'!$M$45,B45&lt;='Energy margins'!$N$45),B45-'Energy margins'!$M$45,""),'Energy margins'!$O$45)=0,'Energy margins'!$L$45,0)),0,IF(MOD(IF(AND(B45&gt;='Energy margins'!$M$45,B45&lt;='Energy margins'!$N$45),B45-'Energy margins'!$M$45,""),'Energy margins'!$O$45)=0,'Energy margins'!$L$45,0))</f>
        <v>0</v>
      </c>
      <c r="L45" s="913">
        <f>IF(ISERROR(IF(MOD(IF(AND(B45&gt;='Energy margins'!$M$46,B45&lt;='Energy margins'!$N$46),B45-'Energy margins'!$M$46,""),'Energy margins'!$O$46)=0,'Energy margins'!$L$46,0)),0,IF(MOD(IF(AND(B45&gt;='Energy margins'!$M$46,B45&lt;='Energy margins'!$N$46),B45-'Energy margins'!$M$46,""),'Energy margins'!$O$46)=0,'Energy margins'!$L$46,0))</f>
        <v>0</v>
      </c>
      <c r="M45" s="913">
        <f>IF(ISERROR(IF(MOD(IF(AND(B45&gt;='Energy margins'!$M$47,B45&lt;='Energy margins'!$N$47),B45-'Energy margins'!$M$47,""),'Energy margins'!$O$47)=0,'Energy margins'!$L$47,0)),0,IF(MOD(IF(AND(B45&gt;='Energy margins'!$M$47,B45&lt;='Energy margins'!$N$47),B45-'Energy margins'!$M$47,""),'Energy margins'!$O$47)=0,'Energy margins'!$L$47,0))</f>
        <v>327</v>
      </c>
      <c r="N45" s="913">
        <f>IF(ISERROR(IF(MOD(IF(AND(B45&gt;='Energy margins'!$M$50,B45&lt;='Energy margins'!$N$50),B45-'Energy margins'!$M$50,""),'Energy margins'!$O$50)=0,'Energy margins'!$L$50,0)),0,IF(MOD(IF(AND(B45&gt;='Energy margins'!$M$50,B45&lt;='Energy margins'!$N$50),B45-'Energy margins'!$M$50,""),'Energy margins'!$O$50)=0,'Energy margins'!$L$50,0))</f>
        <v>344</v>
      </c>
      <c r="O45" s="913">
        <f>IF(ISERROR(IF(MOD(IF(AND(B45&gt;='Energy margins'!$M$53,B45&lt;='Energy margins'!$N$53),B45-'Energy margins'!$M$53,""),'Energy margins'!$O$53)=0,'Energy margins'!$L$53,0)),0,IF(MOD(IF(AND(B45&gt;='Energy margins'!$M$53,B45&lt;='Energy margins'!$N$53),B45-'Energy margins'!$M$53,""),'Energy margins'!$O$53)=0,'Energy margins'!$L$53,0))</f>
        <v>357.59999999999997</v>
      </c>
      <c r="P45" s="913">
        <f>IF(ISERROR(IF(MOD(IF(AND(B45&gt;='Energy margins'!$M$56,B45&lt;='Energy margins'!$N$56),B45-'Energy margins'!$M$56,""),'Energy margins'!$O$56)=0,'Energy margins'!$L$56,0)),0,IF(MOD(IF(AND(B45&gt;='Energy margins'!$M$56,B45&lt;='Energy margins'!$N$56),B45-'Energy margins'!$M$56,""),'Energy margins'!$O$56)=0,'Energy margins'!$L$56,0))</f>
        <v>321.60000000000002</v>
      </c>
      <c r="Q45" s="913">
        <f>IF(ISERROR(IF(MOD(IF(AND(B45&gt;='Energy margins'!$M$59,B45&lt;='Energy margins'!$N$59),B45-'Energy margins'!$M$59,""),'Energy margins'!$O$59)=0,'Energy margins'!$L$59,0)),0,IF(MOD(IF(AND(B45&gt;='Energy margins'!$M$59,B45&lt;='Energy margins'!$N$59),B45-'Energy margins'!$M$59,""),'Energy margins'!$O$59)=0,'Energy margins'!$L$59,0))</f>
        <v>0</v>
      </c>
      <c r="R45" s="913">
        <f>IF(ISERROR(IF(MOD(IF(AND(B45&gt;='Energy margins'!$M$60,B45&lt;='Energy margins'!$N$60),B45-'Energy margins'!$M$60,""),'Energy margins'!$O$60)=0,'Energy margins'!$L$60,0)),0,IF(MOD(IF(AND(B45&gt;='Energy margins'!$M$60,B45&lt;='Energy margins'!$N$60),B45-'Energy margins'!$M$60,""),'Energy margins'!$O$60)=0,'Energy margins'!$L$60,0))</f>
        <v>650</v>
      </c>
      <c r="S45" s="913">
        <f>IF(ISERROR(IF(MOD(IF(AND(B45&gt;='Energy margins'!$M$61,B45&lt;='Energy margins'!$N$61),B45-'Energy margins'!$M$61,""),'Energy margins'!$O$61)=0,'Energy margins'!$L$61,0)),0,IF(MOD(IF(AND(B45&gt;='Energy margins'!$M$61,B45&lt;='Energy margins'!$N$61),B45-'Energy margins'!$M$61,""),'Energy margins'!$O$61)=0,'Energy margins'!$L$61,0))</f>
        <v>0</v>
      </c>
      <c r="T45" s="913">
        <f>IF(ISERROR(IF(MOD(IF(AND(B45&gt;='Energy margins'!$M$62,B45&lt;='Energy margins'!$N$62),B45-'Energy margins'!$M$62,""),'Energy margins'!$O$62)=0,'Energy margins'!$L$62,0)),0,IF(MOD(IF(AND(B45&gt;='Energy margins'!$M$62,B45&lt;='Energy margins'!$N$62),B45-'Energy margins'!$M$62,""),'Energy margins'!$O$62)=0,'Energy margins'!$L$62,0))</f>
        <v>0</v>
      </c>
      <c r="U45" s="939">
        <f t="shared" si="19"/>
        <v>2000.1999999999998</v>
      </c>
      <c r="V45" s="197"/>
      <c r="W45" s="197">
        <f t="shared" si="20"/>
        <v>2000.1999999999998</v>
      </c>
      <c r="X45" s="197">
        <f t="shared" si="14"/>
        <v>1379.33</v>
      </c>
      <c r="Y45" s="197">
        <f t="shared" si="15"/>
        <v>1850.9699999999998</v>
      </c>
      <c r="Z45" s="968">
        <f t="shared" si="21"/>
        <v>2670.891649140799</v>
      </c>
      <c r="AA45" s="969">
        <f t="shared" si="22"/>
        <v>372.74394291536589</v>
      </c>
      <c r="AB45" s="969">
        <f t="shared" si="23"/>
        <v>1580.7871143654372</v>
      </c>
      <c r="AC45" s="969">
        <f t="shared" si="24"/>
        <v>1090.1045347753618</v>
      </c>
      <c r="AD45" s="969">
        <f t="shared" si="25"/>
        <v>1462.8484776907276</v>
      </c>
      <c r="AE45" s="968">
        <f t="shared" si="30"/>
        <v>15286.412284793601</v>
      </c>
      <c r="AF45" s="969">
        <f t="shared" si="26"/>
        <v>2944.0414271158488</v>
      </c>
      <c r="AG45" s="969">
        <f t="shared" si="27"/>
        <v>77710.665927846276</v>
      </c>
      <c r="AH45" s="969">
        <f t="shared" si="28"/>
        <v>-62424.253643052703</v>
      </c>
      <c r="AI45" s="970">
        <f t="shared" si="29"/>
        <v>-59480.212215936852</v>
      </c>
    </row>
    <row r="46" spans="2:35" x14ac:dyDescent="0.3">
      <c r="B46" s="895">
        <v>8</v>
      </c>
      <c r="C46" s="917">
        <f>'Energy Inputs'!E37</f>
        <v>1</v>
      </c>
      <c r="D46" s="913">
        <f>C46*'Energy Inputs'!$E$24</f>
        <v>12.54</v>
      </c>
      <c r="E46" s="197">
        <f>'Energy margins'!$L$12</f>
        <v>269.5</v>
      </c>
      <c r="F46" s="197">
        <f t="shared" si="17"/>
        <v>3379.5299999999997</v>
      </c>
      <c r="G46" s="913">
        <f>'Energy Inputs'!$D$10</f>
        <v>471.64</v>
      </c>
      <c r="H46" s="197">
        <f t="shared" si="18"/>
        <v>3851.1699999999996</v>
      </c>
      <c r="I46" s="197"/>
      <c r="J46" s="938">
        <f>IF(ISERROR(IF(MOD(IF(AND(B46&gt;='Energy margins'!$M$44,B46&lt;='Energy margins'!$N$44),B46-'Energy margins'!$M$44,""),'Energy margins'!$O$44)=0,'Energy margins'!$L$44,0)),0,IF(MOD(IF(AND(B46&gt;='Energy margins'!$M$44,B46&lt;='Energy margins'!$N$44),B46-'Energy margins'!$M$44,""),'Energy margins'!$O$44)=0,'Energy margins'!$L$44,0))</f>
        <v>0</v>
      </c>
      <c r="K46" s="913">
        <f>IF(ISERROR(IF(MOD(IF(AND(B46&gt;='Energy margins'!$M$45,B46&lt;='Energy margins'!$N$45),B46-'Energy margins'!$M$45,""),'Energy margins'!$O$45)=0,'Energy margins'!$L$45,0)),0,IF(MOD(IF(AND(B46&gt;='Energy margins'!$M$45,B46&lt;='Energy margins'!$N$45),B46-'Energy margins'!$M$45,""),'Energy margins'!$O$45)=0,'Energy margins'!$L$45,0))</f>
        <v>0</v>
      </c>
      <c r="L46" s="913">
        <f>IF(ISERROR(IF(MOD(IF(AND(B46&gt;='Energy margins'!$M$46,B46&lt;='Energy margins'!$N$46),B46-'Energy margins'!$M$46,""),'Energy margins'!$O$46)=0,'Energy margins'!$L$46,0)),0,IF(MOD(IF(AND(B46&gt;='Energy margins'!$M$46,B46&lt;='Energy margins'!$N$46),B46-'Energy margins'!$M$46,""),'Energy margins'!$O$46)=0,'Energy margins'!$L$46,0))</f>
        <v>0</v>
      </c>
      <c r="M46" s="913">
        <f>IF(ISERROR(IF(MOD(IF(AND(B46&gt;='Energy margins'!$M$47,B46&lt;='Energy margins'!$N$47),B46-'Energy margins'!$M$47,""),'Energy margins'!$O$47)=0,'Energy margins'!$L$47,0)),0,IF(MOD(IF(AND(B46&gt;='Energy margins'!$M$47,B46&lt;='Energy margins'!$N$47),B46-'Energy margins'!$M$47,""),'Energy margins'!$O$47)=0,'Energy margins'!$L$47,0))</f>
        <v>327</v>
      </c>
      <c r="N46" s="913">
        <f>IF(ISERROR(IF(MOD(IF(AND(B46&gt;='Energy margins'!$M$50,B46&lt;='Energy margins'!$N$50),B46-'Energy margins'!$M$50,""),'Energy margins'!$O$50)=0,'Energy margins'!$L$50,0)),0,IF(MOD(IF(AND(B46&gt;='Energy margins'!$M$50,B46&lt;='Energy margins'!$N$50),B46-'Energy margins'!$M$50,""),'Energy margins'!$O$50)=0,'Energy margins'!$L$50,0))</f>
        <v>344</v>
      </c>
      <c r="O46" s="913">
        <f>IF(ISERROR(IF(MOD(IF(AND(B46&gt;='Energy margins'!$M$53,B46&lt;='Energy margins'!$N$53),B46-'Energy margins'!$M$53,""),'Energy margins'!$O$53)=0,'Energy margins'!$L$53,0)),0,IF(MOD(IF(AND(B46&gt;='Energy margins'!$M$53,B46&lt;='Energy margins'!$N$53),B46-'Energy margins'!$M$53,""),'Energy margins'!$O$53)=0,'Energy margins'!$L$53,0))</f>
        <v>357.59999999999997</v>
      </c>
      <c r="P46" s="913">
        <f>IF(ISERROR(IF(MOD(IF(AND(B46&gt;='Energy margins'!$M$56,B46&lt;='Energy margins'!$N$56),B46-'Energy margins'!$M$56,""),'Energy margins'!$O$56)=0,'Energy margins'!$L$56,0)),0,IF(MOD(IF(AND(B46&gt;='Energy margins'!$M$56,B46&lt;='Energy margins'!$N$56),B46-'Energy margins'!$M$56,""),'Energy margins'!$O$56)=0,'Energy margins'!$L$56,0))</f>
        <v>321.60000000000002</v>
      </c>
      <c r="Q46" s="913">
        <f>IF(ISERROR(IF(MOD(IF(AND(B46&gt;='Energy margins'!$M$59,B46&lt;='Energy margins'!$N$59),B46-'Energy margins'!$M$59,""),'Energy margins'!$O$59)=0,'Energy margins'!$L$59,0)),0,IF(MOD(IF(AND(B46&gt;='Energy margins'!$M$59,B46&lt;='Energy margins'!$N$59),B46-'Energy margins'!$M$59,""),'Energy margins'!$O$59)=0,'Energy margins'!$L$59,0))</f>
        <v>0</v>
      </c>
      <c r="R46" s="913">
        <f>IF(ISERROR(IF(MOD(IF(AND(B46&gt;='Energy margins'!$M$60,B46&lt;='Energy margins'!$N$60),B46-'Energy margins'!$M$60,""),'Energy margins'!$O$60)=0,'Energy margins'!$L$60,0)),0,IF(MOD(IF(AND(B46&gt;='Energy margins'!$M$60,B46&lt;='Energy margins'!$N$60),B46-'Energy margins'!$M$60,""),'Energy margins'!$O$60)=0,'Energy margins'!$L$60,0))</f>
        <v>650</v>
      </c>
      <c r="S46" s="913">
        <f>IF(ISERROR(IF(MOD(IF(AND(B46&gt;='Energy margins'!$M$61,B46&lt;='Energy margins'!$N$61),B46-'Energy margins'!$M$61,""),'Energy margins'!$O$61)=0,'Energy margins'!$L$61,0)),0,IF(MOD(IF(AND(B46&gt;='Energy margins'!$M$61,B46&lt;='Energy margins'!$N$61),B46-'Energy margins'!$M$61,""),'Energy margins'!$O$61)=0,'Energy margins'!$L$61,0))</f>
        <v>0</v>
      </c>
      <c r="T46" s="913">
        <f>IF(ISERROR(IF(MOD(IF(AND(B46&gt;='Energy margins'!$M$62,B46&lt;='Energy margins'!$N$62),B46-'Energy margins'!$M$62,""),'Energy margins'!$O$62)=0,'Energy margins'!$L$62,0)),0,IF(MOD(IF(AND(B46&gt;='Energy margins'!$M$62,B46&lt;='Energy margins'!$N$62),B46-'Energy margins'!$M$62,""),'Energy margins'!$O$62)=0,'Energy margins'!$L$62,0))</f>
        <v>0</v>
      </c>
      <c r="U46" s="939">
        <f t="shared" si="19"/>
        <v>2000.1999999999998</v>
      </c>
      <c r="V46" s="197"/>
      <c r="W46" s="197">
        <f t="shared" si="20"/>
        <v>2000.1999999999998</v>
      </c>
      <c r="X46" s="197">
        <f t="shared" si="14"/>
        <v>1379.33</v>
      </c>
      <c r="Y46" s="197">
        <f t="shared" si="15"/>
        <v>1850.9699999999998</v>
      </c>
      <c r="Z46" s="968">
        <f t="shared" si="21"/>
        <v>2568.1650472507686</v>
      </c>
      <c r="AA46" s="969">
        <f t="shared" si="22"/>
        <v>358.40763741862111</v>
      </c>
      <c r="AB46" s="969">
        <f t="shared" si="23"/>
        <v>1519.9876099667667</v>
      </c>
      <c r="AC46" s="969">
        <f t="shared" si="24"/>
        <v>1048.1774372840018</v>
      </c>
      <c r="AD46" s="969">
        <f t="shared" si="25"/>
        <v>1406.5850747026229</v>
      </c>
      <c r="AE46" s="968">
        <f t="shared" si="30"/>
        <v>17854.57733204437</v>
      </c>
      <c r="AF46" s="969">
        <f t="shared" si="26"/>
        <v>3302.4490645344699</v>
      </c>
      <c r="AG46" s="969">
        <f t="shared" si="27"/>
        <v>79230.653537813036</v>
      </c>
      <c r="AH46" s="969">
        <f t="shared" si="28"/>
        <v>-61376.076205768702</v>
      </c>
      <c r="AI46" s="970">
        <f t="shared" si="29"/>
        <v>-58073.627141234232</v>
      </c>
    </row>
    <row r="47" spans="2:35" x14ac:dyDescent="0.3">
      <c r="B47" s="895">
        <v>9</v>
      </c>
      <c r="C47" s="917">
        <f>'Energy Inputs'!E38</f>
        <v>1</v>
      </c>
      <c r="D47" s="913">
        <f>C47*'Energy Inputs'!$E$24</f>
        <v>12.54</v>
      </c>
      <c r="E47" s="197">
        <f>'Energy margins'!$L$12</f>
        <v>269.5</v>
      </c>
      <c r="F47" s="197">
        <f t="shared" si="17"/>
        <v>3379.5299999999997</v>
      </c>
      <c r="G47" s="913">
        <f>'Energy Inputs'!$D$10</f>
        <v>471.64</v>
      </c>
      <c r="H47" s="197">
        <f t="shared" si="18"/>
        <v>3851.1699999999996</v>
      </c>
      <c r="I47" s="197"/>
      <c r="J47" s="938">
        <f>IF(ISERROR(IF(MOD(IF(AND(B47&gt;='Energy margins'!$M$44,B47&lt;='Energy margins'!$N$44),B47-'Energy margins'!$M$44,""),'Energy margins'!$O$44)=0,'Energy margins'!$L$44,0)),0,IF(MOD(IF(AND(B47&gt;='Energy margins'!$M$44,B47&lt;='Energy margins'!$N$44),B47-'Energy margins'!$M$44,""),'Energy margins'!$O$44)=0,'Energy margins'!$L$44,0))</f>
        <v>0</v>
      </c>
      <c r="K47" s="913">
        <f>IF(ISERROR(IF(MOD(IF(AND(B47&gt;='Energy margins'!$M$45,B47&lt;='Energy margins'!$N$45),B47-'Energy margins'!$M$45,""),'Energy margins'!$O$45)=0,'Energy margins'!$L$45,0)),0,IF(MOD(IF(AND(B47&gt;='Energy margins'!$M$45,B47&lt;='Energy margins'!$N$45),B47-'Energy margins'!$M$45,""),'Energy margins'!$O$45)=0,'Energy margins'!$L$45,0))</f>
        <v>0</v>
      </c>
      <c r="L47" s="913">
        <f>IF(ISERROR(IF(MOD(IF(AND(B47&gt;='Energy margins'!$M$46,B47&lt;='Energy margins'!$N$46),B47-'Energy margins'!$M$46,""),'Energy margins'!$O$46)=0,'Energy margins'!$L$46,0)),0,IF(MOD(IF(AND(B47&gt;='Energy margins'!$M$46,B47&lt;='Energy margins'!$N$46),B47-'Energy margins'!$M$46,""),'Energy margins'!$O$46)=0,'Energy margins'!$L$46,0))</f>
        <v>0</v>
      </c>
      <c r="M47" s="913">
        <f>IF(ISERROR(IF(MOD(IF(AND(B47&gt;='Energy margins'!$M$47,B47&lt;='Energy margins'!$N$47),B47-'Energy margins'!$M$47,""),'Energy margins'!$O$47)=0,'Energy margins'!$L$47,0)),0,IF(MOD(IF(AND(B47&gt;='Energy margins'!$M$47,B47&lt;='Energy margins'!$N$47),B47-'Energy margins'!$M$47,""),'Energy margins'!$O$47)=0,'Energy margins'!$L$47,0))</f>
        <v>327</v>
      </c>
      <c r="N47" s="913">
        <f>IF(ISERROR(IF(MOD(IF(AND(B47&gt;='Energy margins'!$M$50,B47&lt;='Energy margins'!$N$50),B47-'Energy margins'!$M$50,""),'Energy margins'!$O$50)=0,'Energy margins'!$L$50,0)),0,IF(MOD(IF(AND(B47&gt;='Energy margins'!$M$50,B47&lt;='Energy margins'!$N$50),B47-'Energy margins'!$M$50,""),'Energy margins'!$O$50)=0,'Energy margins'!$L$50,0))</f>
        <v>344</v>
      </c>
      <c r="O47" s="913">
        <f>IF(ISERROR(IF(MOD(IF(AND(B47&gt;='Energy margins'!$M$53,B47&lt;='Energy margins'!$N$53),B47-'Energy margins'!$M$53,""),'Energy margins'!$O$53)=0,'Energy margins'!$L$53,0)),0,IF(MOD(IF(AND(B47&gt;='Energy margins'!$M$53,B47&lt;='Energy margins'!$N$53),B47-'Energy margins'!$M$53,""),'Energy margins'!$O$53)=0,'Energy margins'!$L$53,0))</f>
        <v>357.59999999999997</v>
      </c>
      <c r="P47" s="913">
        <f>IF(ISERROR(IF(MOD(IF(AND(B47&gt;='Energy margins'!$M$56,B47&lt;='Energy margins'!$N$56),B47-'Energy margins'!$M$56,""),'Energy margins'!$O$56)=0,'Energy margins'!$L$56,0)),0,IF(MOD(IF(AND(B47&gt;='Energy margins'!$M$56,B47&lt;='Energy margins'!$N$56),B47-'Energy margins'!$M$56,""),'Energy margins'!$O$56)=0,'Energy margins'!$L$56,0))</f>
        <v>321.60000000000002</v>
      </c>
      <c r="Q47" s="913">
        <f>IF(ISERROR(IF(MOD(IF(AND(B47&gt;='Energy margins'!$M$59,B47&lt;='Energy margins'!$N$59),B47-'Energy margins'!$M$59,""),'Energy margins'!$O$59)=0,'Energy margins'!$L$59,0)),0,IF(MOD(IF(AND(B47&gt;='Energy margins'!$M$59,B47&lt;='Energy margins'!$N$59),B47-'Energy margins'!$M$59,""),'Energy margins'!$O$59)=0,'Energy margins'!$L$59,0))</f>
        <v>0</v>
      </c>
      <c r="R47" s="913">
        <f>IF(ISERROR(IF(MOD(IF(AND(B47&gt;='Energy margins'!$M$60,B47&lt;='Energy margins'!$N$60),B47-'Energy margins'!$M$60,""),'Energy margins'!$O$60)=0,'Energy margins'!$L$60,0)),0,IF(MOD(IF(AND(B47&gt;='Energy margins'!$M$60,B47&lt;='Energy margins'!$N$60),B47-'Energy margins'!$M$60,""),'Energy margins'!$O$60)=0,'Energy margins'!$L$60,0))</f>
        <v>650</v>
      </c>
      <c r="S47" s="913">
        <f>IF(ISERROR(IF(MOD(IF(AND(B47&gt;='Energy margins'!$M$61,B47&lt;='Energy margins'!$N$61),B47-'Energy margins'!$M$61,""),'Energy margins'!$O$61)=0,'Energy margins'!$L$61,0)),0,IF(MOD(IF(AND(B47&gt;='Energy margins'!$M$61,B47&lt;='Energy margins'!$N$61),B47-'Energy margins'!$M$61,""),'Energy margins'!$O$61)=0,'Energy margins'!$L$61,0))</f>
        <v>0</v>
      </c>
      <c r="T47" s="913">
        <f>IF(ISERROR(IF(MOD(IF(AND(B47&gt;='Energy margins'!$M$62,B47&lt;='Energy margins'!$N$62),B47-'Energy margins'!$M$62,""),'Energy margins'!$O$62)=0,'Energy margins'!$L$62,0)),0,IF(MOD(IF(AND(B47&gt;='Energy margins'!$M$62,B47&lt;='Energy margins'!$N$62),B47-'Energy margins'!$M$62,""),'Energy margins'!$O$62)=0,'Energy margins'!$L$62,0))</f>
        <v>0</v>
      </c>
      <c r="U47" s="939">
        <f t="shared" si="19"/>
        <v>2000.1999999999998</v>
      </c>
      <c r="V47" s="197"/>
      <c r="W47" s="197">
        <f t="shared" si="20"/>
        <v>2000.1999999999998</v>
      </c>
      <c r="X47" s="197">
        <f t="shared" si="14"/>
        <v>1379.33</v>
      </c>
      <c r="Y47" s="197">
        <f t="shared" si="15"/>
        <v>1850.9699999999998</v>
      </c>
      <c r="Z47" s="968">
        <f t="shared" si="21"/>
        <v>2469.3894685103542</v>
      </c>
      <c r="AA47" s="969">
        <f t="shared" si="22"/>
        <v>344.6227282871356</v>
      </c>
      <c r="AB47" s="969">
        <f t="shared" si="23"/>
        <v>1461.5265480449677</v>
      </c>
      <c r="AC47" s="969">
        <f t="shared" si="24"/>
        <v>1007.8629204653862</v>
      </c>
      <c r="AD47" s="969">
        <f t="shared" si="25"/>
        <v>1352.4856487525217</v>
      </c>
      <c r="AE47" s="968">
        <f t="shared" si="30"/>
        <v>20323.966800554725</v>
      </c>
      <c r="AF47" s="969">
        <f t="shared" si="26"/>
        <v>3647.0717928216054</v>
      </c>
      <c r="AG47" s="969">
        <f t="shared" si="27"/>
        <v>80692.18008585801</v>
      </c>
      <c r="AH47" s="969">
        <f t="shared" si="28"/>
        <v>-60368.213285303318</v>
      </c>
      <c r="AI47" s="970">
        <f t="shared" si="29"/>
        <v>-56721.141492481707</v>
      </c>
    </row>
    <row r="48" spans="2:35" x14ac:dyDescent="0.3">
      <c r="B48" s="895">
        <v>10</v>
      </c>
      <c r="C48" s="917">
        <f>'Energy Inputs'!E39</f>
        <v>1</v>
      </c>
      <c r="D48" s="913">
        <f>C48*'Energy Inputs'!$E$24</f>
        <v>12.54</v>
      </c>
      <c r="E48" s="197">
        <f>'Energy margins'!$L$12</f>
        <v>269.5</v>
      </c>
      <c r="F48" s="197">
        <f t="shared" si="17"/>
        <v>3379.5299999999997</v>
      </c>
      <c r="G48" s="913">
        <f>'Energy Inputs'!$D$10</f>
        <v>471.64</v>
      </c>
      <c r="H48" s="197">
        <f t="shared" si="18"/>
        <v>3851.1699999999996</v>
      </c>
      <c r="I48" s="197"/>
      <c r="J48" s="938">
        <f>IF(ISERROR(IF(MOD(IF(AND(B48&gt;='Energy margins'!$M$44,B48&lt;='Energy margins'!$N$44),B48-'Energy margins'!$M$44,""),'Energy margins'!$O$44)=0,'Energy margins'!$L$44,0)),0,IF(MOD(IF(AND(B48&gt;='Energy margins'!$M$44,B48&lt;='Energy margins'!$N$44),B48-'Energy margins'!$M$44,""),'Energy margins'!$O$44)=0,'Energy margins'!$L$44,0))</f>
        <v>0</v>
      </c>
      <c r="K48" s="913">
        <f>IF(ISERROR(IF(MOD(IF(AND(B48&gt;='Energy margins'!$M$45,B48&lt;='Energy margins'!$N$45),B48-'Energy margins'!$M$45,""),'Energy margins'!$O$45)=0,'Energy margins'!$L$45,0)),0,IF(MOD(IF(AND(B48&gt;='Energy margins'!$M$45,B48&lt;='Energy margins'!$N$45),B48-'Energy margins'!$M$45,""),'Energy margins'!$O$45)=0,'Energy margins'!$L$45,0))</f>
        <v>0</v>
      </c>
      <c r="L48" s="913">
        <f>IF(ISERROR(IF(MOD(IF(AND(B48&gt;='Energy margins'!$M$46,B48&lt;='Energy margins'!$N$46),B48-'Energy margins'!$M$46,""),'Energy margins'!$O$46)=0,'Energy margins'!$L$46,0)),0,IF(MOD(IF(AND(B48&gt;='Energy margins'!$M$46,B48&lt;='Energy margins'!$N$46),B48-'Energy margins'!$M$46,""),'Energy margins'!$O$46)=0,'Energy margins'!$L$46,0))</f>
        <v>0</v>
      </c>
      <c r="M48" s="913">
        <f>IF(ISERROR(IF(MOD(IF(AND(B48&gt;='Energy margins'!$M$47,B48&lt;='Energy margins'!$N$47),B48-'Energy margins'!$M$47,""),'Energy margins'!$O$47)=0,'Energy margins'!$L$47,0)),0,IF(MOD(IF(AND(B48&gt;='Energy margins'!$M$47,B48&lt;='Energy margins'!$N$47),B48-'Energy margins'!$M$47,""),'Energy margins'!$O$47)=0,'Energy margins'!$L$47,0))</f>
        <v>327</v>
      </c>
      <c r="N48" s="913">
        <f>IF(ISERROR(IF(MOD(IF(AND(B48&gt;='Energy margins'!$M$50,B48&lt;='Energy margins'!$N$50),B48-'Energy margins'!$M$50,""),'Energy margins'!$O$50)=0,'Energy margins'!$L$50,0)),0,IF(MOD(IF(AND(B48&gt;='Energy margins'!$M$50,B48&lt;='Energy margins'!$N$50),B48-'Energy margins'!$M$50,""),'Energy margins'!$O$50)=0,'Energy margins'!$L$50,0))</f>
        <v>344</v>
      </c>
      <c r="O48" s="913">
        <f>IF(ISERROR(IF(MOD(IF(AND(B48&gt;='Energy margins'!$M$53,B48&lt;='Energy margins'!$N$53),B48-'Energy margins'!$M$53,""),'Energy margins'!$O$53)=0,'Energy margins'!$L$53,0)),0,IF(MOD(IF(AND(B48&gt;='Energy margins'!$M$53,B48&lt;='Energy margins'!$N$53),B48-'Energy margins'!$M$53,""),'Energy margins'!$O$53)=0,'Energy margins'!$L$53,0))</f>
        <v>357.59999999999997</v>
      </c>
      <c r="P48" s="913">
        <f>IF(ISERROR(IF(MOD(IF(AND(B48&gt;='Energy margins'!$M$56,B48&lt;='Energy margins'!$N$56),B48-'Energy margins'!$M$56,""),'Energy margins'!$O$56)=0,'Energy margins'!$L$56,0)),0,IF(MOD(IF(AND(B48&gt;='Energy margins'!$M$56,B48&lt;='Energy margins'!$N$56),B48-'Energy margins'!$M$56,""),'Energy margins'!$O$56)=0,'Energy margins'!$L$56,0))</f>
        <v>321.60000000000002</v>
      </c>
      <c r="Q48" s="913">
        <f>IF(ISERROR(IF(MOD(IF(AND(B48&gt;='Energy margins'!$M$59,B48&lt;='Energy margins'!$N$59),B48-'Energy margins'!$M$59,""),'Energy margins'!$O$59)=0,'Energy margins'!$L$59,0)),0,IF(MOD(IF(AND(B48&gt;='Energy margins'!$M$59,B48&lt;='Energy margins'!$N$59),B48-'Energy margins'!$M$59,""),'Energy margins'!$O$59)=0,'Energy margins'!$L$59,0))</f>
        <v>0</v>
      </c>
      <c r="R48" s="913">
        <f>IF(ISERROR(IF(MOD(IF(AND(B48&gt;='Energy margins'!$M$60,B48&lt;='Energy margins'!$N$60),B48-'Energy margins'!$M$60,""),'Energy margins'!$O$60)=0,'Energy margins'!$L$60,0)),0,IF(MOD(IF(AND(B48&gt;='Energy margins'!$M$60,B48&lt;='Energy margins'!$N$60),B48-'Energy margins'!$M$60,""),'Energy margins'!$O$60)=0,'Energy margins'!$L$60,0))</f>
        <v>650</v>
      </c>
      <c r="S48" s="913">
        <f>IF(ISERROR(IF(MOD(IF(AND(B48&gt;='Energy margins'!$M$61,B48&lt;='Energy margins'!$N$61),B48-'Energy margins'!$M$61,""),'Energy margins'!$O$61)=0,'Energy margins'!$L$61,0)),0,IF(MOD(IF(AND(B48&gt;='Energy margins'!$M$61,B48&lt;='Energy margins'!$N$61),B48-'Energy margins'!$M$61,""),'Energy margins'!$O$61)=0,'Energy margins'!$L$61,0))</f>
        <v>0</v>
      </c>
      <c r="T48" s="913">
        <f>IF(ISERROR(IF(MOD(IF(AND(B48&gt;='Energy margins'!$M$62,B48&lt;='Energy margins'!$N$62),B48-'Energy margins'!$M$62,""),'Energy margins'!$O$62)=0,'Energy margins'!$L$62,0)),0,IF(MOD(IF(AND(B48&gt;='Energy margins'!$M$62,B48&lt;='Energy margins'!$N$62),B48-'Energy margins'!$M$62,""),'Energy margins'!$O$62)=0,'Energy margins'!$L$62,0))</f>
        <v>0</v>
      </c>
      <c r="U48" s="939">
        <f t="shared" si="19"/>
        <v>2000.1999999999998</v>
      </c>
      <c r="V48" s="197"/>
      <c r="W48" s="197">
        <f t="shared" si="20"/>
        <v>2000.1999999999998</v>
      </c>
      <c r="X48" s="197">
        <f t="shared" si="14"/>
        <v>1379.33</v>
      </c>
      <c r="Y48" s="197">
        <f t="shared" si="15"/>
        <v>1850.9699999999998</v>
      </c>
      <c r="Z48" s="968">
        <f t="shared" si="21"/>
        <v>2374.4129504907251</v>
      </c>
      <c r="AA48" s="969">
        <f t="shared" si="22"/>
        <v>331.36800796839958</v>
      </c>
      <c r="AB48" s="969">
        <f t="shared" si="23"/>
        <v>1405.3139885047767</v>
      </c>
      <c r="AC48" s="969">
        <f t="shared" si="24"/>
        <v>969.09896198594822</v>
      </c>
      <c r="AD48" s="969">
        <f t="shared" si="25"/>
        <v>1300.4669699543476</v>
      </c>
      <c r="AE48" s="968">
        <f t="shared" si="30"/>
        <v>22698.37975104545</v>
      </c>
      <c r="AF48" s="969">
        <f t="shared" si="26"/>
        <v>3978.4398007900049</v>
      </c>
      <c r="AG48" s="969">
        <f t="shared" si="27"/>
        <v>82097.494074362781</v>
      </c>
      <c r="AH48" s="969">
        <f t="shared" si="28"/>
        <v>-59399.114323317372</v>
      </c>
      <c r="AI48" s="970">
        <f t="shared" si="29"/>
        <v>-55420.674522527363</v>
      </c>
    </row>
    <row r="49" spans="2:35" x14ac:dyDescent="0.3">
      <c r="B49" s="895">
        <v>11</v>
      </c>
      <c r="C49" s="917">
        <f>'Energy Inputs'!E40</f>
        <v>1</v>
      </c>
      <c r="D49" s="913">
        <f>C49*'Energy Inputs'!$E$24</f>
        <v>12.54</v>
      </c>
      <c r="E49" s="197">
        <f>'Energy margins'!$L$12</f>
        <v>269.5</v>
      </c>
      <c r="F49" s="197">
        <f t="shared" si="17"/>
        <v>3379.5299999999997</v>
      </c>
      <c r="G49" s="913">
        <f>'Energy Inputs'!$D$10</f>
        <v>471.64</v>
      </c>
      <c r="H49" s="197">
        <f t="shared" si="18"/>
        <v>3851.1699999999996</v>
      </c>
      <c r="I49" s="197"/>
      <c r="J49" s="938">
        <f>IF(ISERROR(IF(MOD(IF(AND(B49&gt;='Energy margins'!$M$44,B49&lt;='Energy margins'!$N$44),B49-'Energy margins'!$M$44,""),'Energy margins'!$O$44)=0,'Energy margins'!$L$44,0)),0,IF(MOD(IF(AND(B49&gt;='Energy margins'!$M$44,B49&lt;='Energy margins'!$N$44),B49-'Energy margins'!$M$44,""),'Energy margins'!$O$44)=0,'Energy margins'!$L$44,0))</f>
        <v>0</v>
      </c>
      <c r="K49" s="913">
        <f>IF(ISERROR(IF(MOD(IF(AND(B49&gt;='Energy margins'!$M$45,B49&lt;='Energy margins'!$N$45),B49-'Energy margins'!$M$45,""),'Energy margins'!$O$45)=0,'Energy margins'!$L$45,0)),0,IF(MOD(IF(AND(B49&gt;='Energy margins'!$M$45,B49&lt;='Energy margins'!$N$45),B49-'Energy margins'!$M$45,""),'Energy margins'!$O$45)=0,'Energy margins'!$L$45,0))</f>
        <v>0</v>
      </c>
      <c r="L49" s="913">
        <f>IF(ISERROR(IF(MOD(IF(AND(B49&gt;='Energy margins'!$M$46,B49&lt;='Energy margins'!$N$46),B49-'Energy margins'!$M$46,""),'Energy margins'!$O$46)=0,'Energy margins'!$L$46,0)),0,IF(MOD(IF(AND(B49&gt;='Energy margins'!$M$46,B49&lt;='Energy margins'!$N$46),B49-'Energy margins'!$M$46,""),'Energy margins'!$O$46)=0,'Energy margins'!$L$46,0))</f>
        <v>0</v>
      </c>
      <c r="M49" s="913">
        <f>IF(ISERROR(IF(MOD(IF(AND(B49&gt;='Energy margins'!$M$47,B49&lt;='Energy margins'!$N$47),B49-'Energy margins'!$M$47,""),'Energy margins'!$O$47)=0,'Energy margins'!$L$47,0)),0,IF(MOD(IF(AND(B49&gt;='Energy margins'!$M$47,B49&lt;='Energy margins'!$N$47),B49-'Energy margins'!$M$47,""),'Energy margins'!$O$47)=0,'Energy margins'!$L$47,0))</f>
        <v>327</v>
      </c>
      <c r="N49" s="913">
        <f>IF(ISERROR(IF(MOD(IF(AND(B49&gt;='Energy margins'!$M$50,B49&lt;='Energy margins'!$N$50),B49-'Energy margins'!$M$50,""),'Energy margins'!$O$50)=0,'Energy margins'!$L$50,0)),0,IF(MOD(IF(AND(B49&gt;='Energy margins'!$M$50,B49&lt;='Energy margins'!$N$50),B49-'Energy margins'!$M$50,""),'Energy margins'!$O$50)=0,'Energy margins'!$L$50,0))</f>
        <v>344</v>
      </c>
      <c r="O49" s="913">
        <f>IF(ISERROR(IF(MOD(IF(AND(B49&gt;='Energy margins'!$M$53,B49&lt;='Energy margins'!$N$53),B49-'Energy margins'!$M$53,""),'Energy margins'!$O$53)=0,'Energy margins'!$L$53,0)),0,IF(MOD(IF(AND(B49&gt;='Energy margins'!$M$53,B49&lt;='Energy margins'!$N$53),B49-'Energy margins'!$M$53,""),'Energy margins'!$O$53)=0,'Energy margins'!$L$53,0))</f>
        <v>357.59999999999997</v>
      </c>
      <c r="P49" s="913">
        <f>IF(ISERROR(IF(MOD(IF(AND(B49&gt;='Energy margins'!$M$56,B49&lt;='Energy margins'!$N$56),B49-'Energy margins'!$M$56,""),'Energy margins'!$O$56)=0,'Energy margins'!$L$56,0)),0,IF(MOD(IF(AND(B49&gt;='Energy margins'!$M$56,B49&lt;='Energy margins'!$N$56),B49-'Energy margins'!$M$56,""),'Energy margins'!$O$56)=0,'Energy margins'!$L$56,0))</f>
        <v>321.60000000000002</v>
      </c>
      <c r="Q49" s="913">
        <f>IF(ISERROR(IF(MOD(IF(AND(B49&gt;='Energy margins'!$M$59,B49&lt;='Energy margins'!$N$59),B49-'Energy margins'!$M$59,""),'Energy margins'!$O$59)=0,'Energy margins'!$L$59,0)),0,IF(MOD(IF(AND(B49&gt;='Energy margins'!$M$59,B49&lt;='Energy margins'!$N$59),B49-'Energy margins'!$M$59,""),'Energy margins'!$O$59)=0,'Energy margins'!$L$59,0))</f>
        <v>0</v>
      </c>
      <c r="R49" s="913">
        <f>IF(ISERROR(IF(MOD(IF(AND(B49&gt;='Energy margins'!$M$60,B49&lt;='Energy margins'!$N$60),B49-'Energy margins'!$M$60,""),'Energy margins'!$O$60)=0,'Energy margins'!$L$60,0)),0,IF(MOD(IF(AND(B49&gt;='Energy margins'!$M$60,B49&lt;='Energy margins'!$N$60),B49-'Energy margins'!$M$60,""),'Energy margins'!$O$60)=0,'Energy margins'!$L$60,0))</f>
        <v>650</v>
      </c>
      <c r="S49" s="913">
        <f>IF(ISERROR(IF(MOD(IF(AND(B49&gt;='Energy margins'!$M$61,B49&lt;='Energy margins'!$N$61),B49-'Energy margins'!$M$61,""),'Energy margins'!$O$61)=0,'Energy margins'!$L$61,0)),0,IF(MOD(IF(AND(B49&gt;='Energy margins'!$M$61,B49&lt;='Energy margins'!$N$61),B49-'Energy margins'!$M$61,""),'Energy margins'!$O$61)=0,'Energy margins'!$L$61,0))</f>
        <v>0</v>
      </c>
      <c r="T49" s="913">
        <f>IF(ISERROR(IF(MOD(IF(AND(B49&gt;='Energy margins'!$M$62,B49&lt;='Energy margins'!$N$62),B49-'Energy margins'!$M$62,""),'Energy margins'!$O$62)=0,'Energy margins'!$L$62,0)),0,IF(MOD(IF(AND(B49&gt;='Energy margins'!$M$62,B49&lt;='Energy margins'!$N$62),B49-'Energy margins'!$M$62,""),'Energy margins'!$O$62)=0,'Energy margins'!$L$62,0))</f>
        <v>0</v>
      </c>
      <c r="U49" s="939">
        <f t="shared" si="19"/>
        <v>2000.1999999999998</v>
      </c>
      <c r="V49" s="197"/>
      <c r="W49" s="197">
        <f t="shared" si="20"/>
        <v>2000.1999999999998</v>
      </c>
      <c r="X49" s="197">
        <f t="shared" si="14"/>
        <v>1379.33</v>
      </c>
      <c r="Y49" s="197">
        <f t="shared" si="15"/>
        <v>1850.9699999999998</v>
      </c>
      <c r="Z49" s="968">
        <f t="shared" si="21"/>
        <v>2283.0893754718509</v>
      </c>
      <c r="AA49" s="969">
        <f t="shared" si="22"/>
        <v>318.62308458499962</v>
      </c>
      <c r="AB49" s="969">
        <f t="shared" si="23"/>
        <v>1351.2634504853622</v>
      </c>
      <c r="AC49" s="969">
        <f t="shared" si="24"/>
        <v>931.82592498648864</v>
      </c>
      <c r="AD49" s="969">
        <f t="shared" si="25"/>
        <v>1250.4490095714882</v>
      </c>
      <c r="AE49" s="968">
        <f t="shared" si="30"/>
        <v>24981.469126517302</v>
      </c>
      <c r="AF49" s="969">
        <f t="shared" si="26"/>
        <v>4297.062885375005</v>
      </c>
      <c r="AG49" s="969">
        <f t="shared" si="27"/>
        <v>83448.757524848144</v>
      </c>
      <c r="AH49" s="969">
        <f t="shared" si="28"/>
        <v>-58467.288398330886</v>
      </c>
      <c r="AI49" s="970">
        <f t="shared" si="29"/>
        <v>-54170.225512955876</v>
      </c>
    </row>
    <row r="50" spans="2:35" x14ac:dyDescent="0.3">
      <c r="B50" s="895">
        <v>12</v>
      </c>
      <c r="C50" s="917">
        <f>'Energy Inputs'!E41</f>
        <v>1</v>
      </c>
      <c r="D50" s="913">
        <f>C50*'Energy Inputs'!$E$24</f>
        <v>12.54</v>
      </c>
      <c r="E50" s="197">
        <f>'Energy margins'!$L$12</f>
        <v>269.5</v>
      </c>
      <c r="F50" s="197">
        <f t="shared" si="17"/>
        <v>3379.5299999999997</v>
      </c>
      <c r="G50" s="913">
        <f>'Energy Inputs'!$D$10</f>
        <v>471.64</v>
      </c>
      <c r="H50" s="197">
        <f t="shared" si="18"/>
        <v>3851.1699999999996</v>
      </c>
      <c r="I50" s="197"/>
      <c r="J50" s="938">
        <f>IF(ISERROR(IF(MOD(IF(AND(B50&gt;='Energy margins'!$M$44,B50&lt;='Energy margins'!$N$44),B50-'Energy margins'!$M$44,""),'Energy margins'!$O$44)=0,'Energy margins'!$L$44,0)),0,IF(MOD(IF(AND(B50&gt;='Energy margins'!$M$44,B50&lt;='Energy margins'!$N$44),B50-'Energy margins'!$M$44,""),'Energy margins'!$O$44)=0,'Energy margins'!$L$44,0))</f>
        <v>0</v>
      </c>
      <c r="K50" s="913">
        <f>IF(ISERROR(IF(MOD(IF(AND(B50&gt;='Energy margins'!$M$45,B50&lt;='Energy margins'!$N$45),B50-'Energy margins'!$M$45,""),'Energy margins'!$O$45)=0,'Energy margins'!$L$45,0)),0,IF(MOD(IF(AND(B50&gt;='Energy margins'!$M$45,B50&lt;='Energy margins'!$N$45),B50-'Energy margins'!$M$45,""),'Energy margins'!$O$45)=0,'Energy margins'!$L$45,0))</f>
        <v>0</v>
      </c>
      <c r="L50" s="913">
        <f>IF(ISERROR(IF(MOD(IF(AND(B50&gt;='Energy margins'!$M$46,B50&lt;='Energy margins'!$N$46),B50-'Energy margins'!$M$46,""),'Energy margins'!$O$46)=0,'Energy margins'!$L$46,0)),0,IF(MOD(IF(AND(B50&gt;='Energy margins'!$M$46,B50&lt;='Energy margins'!$N$46),B50-'Energy margins'!$M$46,""),'Energy margins'!$O$46)=0,'Energy margins'!$L$46,0))</f>
        <v>0</v>
      </c>
      <c r="M50" s="913">
        <f>IF(ISERROR(IF(MOD(IF(AND(B50&gt;='Energy margins'!$M$47,B50&lt;='Energy margins'!$N$47),B50-'Energy margins'!$M$47,""),'Energy margins'!$O$47)=0,'Energy margins'!$L$47,0)),0,IF(MOD(IF(AND(B50&gt;='Energy margins'!$M$47,B50&lt;='Energy margins'!$N$47),B50-'Energy margins'!$M$47,""),'Energy margins'!$O$47)=0,'Energy margins'!$L$47,0))</f>
        <v>327</v>
      </c>
      <c r="N50" s="913">
        <f>IF(ISERROR(IF(MOD(IF(AND(B50&gt;='Energy margins'!$M$50,B50&lt;='Energy margins'!$N$50),B50-'Energy margins'!$M$50,""),'Energy margins'!$O$50)=0,'Energy margins'!$L$50,0)),0,IF(MOD(IF(AND(B50&gt;='Energy margins'!$M$50,B50&lt;='Energy margins'!$N$50),B50-'Energy margins'!$M$50,""),'Energy margins'!$O$50)=0,'Energy margins'!$L$50,0))</f>
        <v>344</v>
      </c>
      <c r="O50" s="913">
        <f>IF(ISERROR(IF(MOD(IF(AND(B50&gt;='Energy margins'!$M$53,B50&lt;='Energy margins'!$N$53),B50-'Energy margins'!$M$53,""),'Energy margins'!$O$53)=0,'Energy margins'!$L$53,0)),0,IF(MOD(IF(AND(B50&gt;='Energy margins'!$M$53,B50&lt;='Energy margins'!$N$53),B50-'Energy margins'!$M$53,""),'Energy margins'!$O$53)=0,'Energy margins'!$L$53,0))</f>
        <v>357.59999999999997</v>
      </c>
      <c r="P50" s="913">
        <f>IF(ISERROR(IF(MOD(IF(AND(B50&gt;='Energy margins'!$M$56,B50&lt;='Energy margins'!$N$56),B50-'Energy margins'!$M$56,""),'Energy margins'!$O$56)=0,'Energy margins'!$L$56,0)),0,IF(MOD(IF(AND(B50&gt;='Energy margins'!$M$56,B50&lt;='Energy margins'!$N$56),B50-'Energy margins'!$M$56,""),'Energy margins'!$O$56)=0,'Energy margins'!$L$56,0))</f>
        <v>321.60000000000002</v>
      </c>
      <c r="Q50" s="913">
        <f>IF(ISERROR(IF(MOD(IF(AND(B50&gt;='Energy margins'!$M$59,B50&lt;='Energy margins'!$N$59),B50-'Energy margins'!$M$59,""),'Energy margins'!$O$59)=0,'Energy margins'!$L$59,0)),0,IF(MOD(IF(AND(B50&gt;='Energy margins'!$M$59,B50&lt;='Energy margins'!$N$59),B50-'Energy margins'!$M$59,""),'Energy margins'!$O$59)=0,'Energy margins'!$L$59,0))</f>
        <v>0</v>
      </c>
      <c r="R50" s="913">
        <f>IF(ISERROR(IF(MOD(IF(AND(B50&gt;='Energy margins'!$M$60,B50&lt;='Energy margins'!$N$60),B50-'Energy margins'!$M$60,""),'Energy margins'!$O$60)=0,'Energy margins'!$L$60,0)),0,IF(MOD(IF(AND(B50&gt;='Energy margins'!$M$60,B50&lt;='Energy margins'!$N$60),B50-'Energy margins'!$M$60,""),'Energy margins'!$O$60)=0,'Energy margins'!$L$60,0))</f>
        <v>650</v>
      </c>
      <c r="S50" s="913">
        <f>IF(ISERROR(IF(MOD(IF(AND(B50&gt;='Energy margins'!$M$61,B50&lt;='Energy margins'!$N$61),B50-'Energy margins'!$M$61,""),'Energy margins'!$O$61)=0,'Energy margins'!$L$61,0)),0,IF(MOD(IF(AND(B50&gt;='Energy margins'!$M$61,B50&lt;='Energy margins'!$N$61),B50-'Energy margins'!$M$61,""),'Energy margins'!$O$61)=0,'Energy margins'!$L$61,0))</f>
        <v>0</v>
      </c>
      <c r="T50" s="913">
        <f>IF(ISERROR(IF(MOD(IF(AND(B50&gt;='Energy margins'!$M$62,B50&lt;='Energy margins'!$N$62),B50-'Energy margins'!$M$62,""),'Energy margins'!$O$62)=0,'Energy margins'!$L$62,0)),0,IF(MOD(IF(AND(B50&gt;='Energy margins'!$M$62,B50&lt;='Energy margins'!$N$62),B50-'Energy margins'!$M$62,""),'Energy margins'!$O$62)=0,'Energy margins'!$L$62,0))</f>
        <v>0</v>
      </c>
      <c r="U50" s="939">
        <f t="shared" si="19"/>
        <v>2000.1999999999998</v>
      </c>
      <c r="V50" s="197"/>
      <c r="W50" s="197">
        <f t="shared" si="20"/>
        <v>2000.1999999999998</v>
      </c>
      <c r="X50" s="197">
        <f t="shared" si="14"/>
        <v>1379.33</v>
      </c>
      <c r="Y50" s="197">
        <f t="shared" si="15"/>
        <v>1850.9699999999998</v>
      </c>
      <c r="Z50" s="968">
        <f t="shared" si="21"/>
        <v>2195.2782456460104</v>
      </c>
      <c r="AA50" s="969">
        <f t="shared" si="22"/>
        <v>306.36835056249964</v>
      </c>
      <c r="AB50" s="969">
        <f t="shared" si="23"/>
        <v>1299.2917793128483</v>
      </c>
      <c r="AC50" s="969">
        <f t="shared" si="24"/>
        <v>895.9864663331623</v>
      </c>
      <c r="AD50" s="969">
        <f t="shared" si="25"/>
        <v>1202.3548168956618</v>
      </c>
      <c r="AE50" s="968">
        <f t="shared" si="30"/>
        <v>27176.747372163314</v>
      </c>
      <c r="AF50" s="969">
        <f t="shared" si="26"/>
        <v>4603.4312359375044</v>
      </c>
      <c r="AG50" s="969">
        <f t="shared" si="27"/>
        <v>84748.049304160988</v>
      </c>
      <c r="AH50" s="969">
        <f t="shared" si="28"/>
        <v>-57571.301931997725</v>
      </c>
      <c r="AI50" s="970">
        <f t="shared" si="29"/>
        <v>-52967.870696060214</v>
      </c>
    </row>
    <row r="51" spans="2:35" x14ac:dyDescent="0.3">
      <c r="B51" s="895">
        <v>13</v>
      </c>
      <c r="C51" s="917">
        <f>'Energy Inputs'!E42</f>
        <v>1</v>
      </c>
      <c r="D51" s="913">
        <f>C51*'Energy Inputs'!$E$24</f>
        <v>12.54</v>
      </c>
      <c r="E51" s="197">
        <f>'Energy margins'!$L$12</f>
        <v>269.5</v>
      </c>
      <c r="F51" s="197">
        <f t="shared" si="17"/>
        <v>3379.5299999999997</v>
      </c>
      <c r="G51" s="913">
        <f>'Energy Inputs'!$D$10</f>
        <v>471.64</v>
      </c>
      <c r="H51" s="197">
        <f t="shared" si="18"/>
        <v>3851.1699999999996</v>
      </c>
      <c r="I51" s="197"/>
      <c r="J51" s="938">
        <f>IF(ISERROR(IF(MOD(IF(AND(B51&gt;='Energy margins'!$M$44,B51&lt;='Energy margins'!$N$44),B51-'Energy margins'!$M$44,""),'Energy margins'!$O$44)=0,'Energy margins'!$L$44,0)),0,IF(MOD(IF(AND(B51&gt;='Energy margins'!$M$44,B51&lt;='Energy margins'!$N$44),B51-'Energy margins'!$M$44,""),'Energy margins'!$O$44)=0,'Energy margins'!$L$44,0))</f>
        <v>0</v>
      </c>
      <c r="K51" s="913">
        <f>IF(ISERROR(IF(MOD(IF(AND(B51&gt;='Energy margins'!$M$45,B51&lt;='Energy margins'!$N$45),B51-'Energy margins'!$M$45,""),'Energy margins'!$O$45)=0,'Energy margins'!$L$45,0)),0,IF(MOD(IF(AND(B51&gt;='Energy margins'!$M$45,B51&lt;='Energy margins'!$N$45),B51-'Energy margins'!$M$45,""),'Energy margins'!$O$45)=0,'Energy margins'!$L$45,0))</f>
        <v>0</v>
      </c>
      <c r="L51" s="913">
        <f>IF(ISERROR(IF(MOD(IF(AND(B51&gt;='Energy margins'!$M$46,B51&lt;='Energy margins'!$N$46),B51-'Energy margins'!$M$46,""),'Energy margins'!$O$46)=0,'Energy margins'!$L$46,0)),0,IF(MOD(IF(AND(B51&gt;='Energy margins'!$M$46,B51&lt;='Energy margins'!$N$46),B51-'Energy margins'!$M$46,""),'Energy margins'!$O$46)=0,'Energy margins'!$L$46,0))</f>
        <v>0</v>
      </c>
      <c r="M51" s="913">
        <f>IF(ISERROR(IF(MOD(IF(AND(B51&gt;='Energy margins'!$M$47,B51&lt;='Energy margins'!$N$47),B51-'Energy margins'!$M$47,""),'Energy margins'!$O$47)=0,'Energy margins'!$L$47,0)),0,IF(MOD(IF(AND(B51&gt;='Energy margins'!$M$47,B51&lt;='Energy margins'!$N$47),B51-'Energy margins'!$M$47,""),'Energy margins'!$O$47)=0,'Energy margins'!$L$47,0))</f>
        <v>327</v>
      </c>
      <c r="N51" s="913">
        <f>IF(ISERROR(IF(MOD(IF(AND(B51&gt;='Energy margins'!$M$50,B51&lt;='Energy margins'!$N$50),B51-'Energy margins'!$M$50,""),'Energy margins'!$O$50)=0,'Energy margins'!$L$50,0)),0,IF(MOD(IF(AND(B51&gt;='Energy margins'!$M$50,B51&lt;='Energy margins'!$N$50),B51-'Energy margins'!$M$50,""),'Energy margins'!$O$50)=0,'Energy margins'!$L$50,0))</f>
        <v>344</v>
      </c>
      <c r="O51" s="913">
        <f>IF(ISERROR(IF(MOD(IF(AND(B51&gt;='Energy margins'!$M$53,B51&lt;='Energy margins'!$N$53),B51-'Energy margins'!$M$53,""),'Energy margins'!$O$53)=0,'Energy margins'!$L$53,0)),0,IF(MOD(IF(AND(B51&gt;='Energy margins'!$M$53,B51&lt;='Energy margins'!$N$53),B51-'Energy margins'!$M$53,""),'Energy margins'!$O$53)=0,'Energy margins'!$L$53,0))</f>
        <v>357.59999999999997</v>
      </c>
      <c r="P51" s="913">
        <f>IF(ISERROR(IF(MOD(IF(AND(B51&gt;='Energy margins'!$M$56,B51&lt;='Energy margins'!$N$56),B51-'Energy margins'!$M$56,""),'Energy margins'!$O$56)=0,'Energy margins'!$L$56,0)),0,IF(MOD(IF(AND(B51&gt;='Energy margins'!$M$56,B51&lt;='Energy margins'!$N$56),B51-'Energy margins'!$M$56,""),'Energy margins'!$O$56)=0,'Energy margins'!$L$56,0))</f>
        <v>321.60000000000002</v>
      </c>
      <c r="Q51" s="913">
        <f>IF(ISERROR(IF(MOD(IF(AND(B51&gt;='Energy margins'!$M$59,B51&lt;='Energy margins'!$N$59),B51-'Energy margins'!$M$59,""),'Energy margins'!$O$59)=0,'Energy margins'!$L$59,0)),0,IF(MOD(IF(AND(B51&gt;='Energy margins'!$M$59,B51&lt;='Energy margins'!$N$59),B51-'Energy margins'!$M$59,""),'Energy margins'!$O$59)=0,'Energy margins'!$L$59,0))</f>
        <v>0</v>
      </c>
      <c r="R51" s="913">
        <f>IF(ISERROR(IF(MOD(IF(AND(B51&gt;='Energy margins'!$M$60,B51&lt;='Energy margins'!$N$60),B51-'Energy margins'!$M$60,""),'Energy margins'!$O$60)=0,'Energy margins'!$L$60,0)),0,IF(MOD(IF(AND(B51&gt;='Energy margins'!$M$60,B51&lt;='Energy margins'!$N$60),B51-'Energy margins'!$M$60,""),'Energy margins'!$O$60)=0,'Energy margins'!$L$60,0))</f>
        <v>650</v>
      </c>
      <c r="S51" s="913">
        <f>IF(ISERROR(IF(MOD(IF(AND(B51&gt;='Energy margins'!$M$61,B51&lt;='Energy margins'!$N$61),B51-'Energy margins'!$M$61,""),'Energy margins'!$O$61)=0,'Energy margins'!$L$61,0)),0,IF(MOD(IF(AND(B51&gt;='Energy margins'!$M$61,B51&lt;='Energy margins'!$N$61),B51-'Energy margins'!$M$61,""),'Energy margins'!$O$61)=0,'Energy margins'!$L$61,0))</f>
        <v>0</v>
      </c>
      <c r="T51" s="913">
        <f>IF(ISERROR(IF(MOD(IF(AND(B51&gt;='Energy margins'!$M$62,B51&lt;='Energy margins'!$N$62),B51-'Energy margins'!$M$62,""),'Energy margins'!$O$62)=0,'Energy margins'!$L$62,0)),0,IF(MOD(IF(AND(B51&gt;='Energy margins'!$M$62,B51&lt;='Energy margins'!$N$62),B51-'Energy margins'!$M$62,""),'Energy margins'!$O$62)=0,'Energy margins'!$L$62,0))</f>
        <v>0</v>
      </c>
      <c r="U51" s="939">
        <f t="shared" si="19"/>
        <v>2000.1999999999998</v>
      </c>
      <c r="V51" s="197"/>
      <c r="W51" s="197">
        <f t="shared" si="20"/>
        <v>2000.1999999999998</v>
      </c>
      <c r="X51" s="197">
        <f t="shared" si="14"/>
        <v>1379.33</v>
      </c>
      <c r="Y51" s="197">
        <f t="shared" si="15"/>
        <v>1850.9699999999998</v>
      </c>
      <c r="Z51" s="968">
        <f t="shared" si="21"/>
        <v>2110.8444669673172</v>
      </c>
      <c r="AA51" s="969">
        <f t="shared" si="22"/>
        <v>294.58495246394193</v>
      </c>
      <c r="AB51" s="969">
        <f t="shared" si="23"/>
        <v>1249.3190185700462</v>
      </c>
      <c r="AC51" s="969">
        <f t="shared" si="24"/>
        <v>861.52544839727125</v>
      </c>
      <c r="AD51" s="969">
        <f t="shared" si="25"/>
        <v>1156.1104008612131</v>
      </c>
      <c r="AE51" s="968">
        <f t="shared" si="30"/>
        <v>29287.591839130633</v>
      </c>
      <c r="AF51" s="969">
        <f t="shared" si="26"/>
        <v>4898.016188401446</v>
      </c>
      <c r="AG51" s="969">
        <f t="shared" si="27"/>
        <v>85997.368322731039</v>
      </c>
      <c r="AH51" s="969">
        <f t="shared" si="28"/>
        <v>-56709.77648360045</v>
      </c>
      <c r="AI51" s="970">
        <f t="shared" si="29"/>
        <v>-51811.760295198997</v>
      </c>
    </row>
    <row r="52" spans="2:35" x14ac:dyDescent="0.3">
      <c r="B52" s="895">
        <v>14</v>
      </c>
      <c r="C52" s="917">
        <f>'Energy Inputs'!E43</f>
        <v>1</v>
      </c>
      <c r="D52" s="913">
        <f>C52*'Energy Inputs'!$E$24</f>
        <v>12.54</v>
      </c>
      <c r="E52" s="197">
        <f>'Energy margins'!$L$12</f>
        <v>269.5</v>
      </c>
      <c r="F52" s="197">
        <f t="shared" si="17"/>
        <v>3379.5299999999997</v>
      </c>
      <c r="G52" s="913">
        <f>'Energy Inputs'!$D$10</f>
        <v>471.64</v>
      </c>
      <c r="H52" s="197">
        <f t="shared" si="18"/>
        <v>3851.1699999999996</v>
      </c>
      <c r="I52" s="197"/>
      <c r="J52" s="938">
        <f>IF(ISERROR(IF(MOD(IF(AND(B52&gt;='Energy margins'!$M$44,B52&lt;='Energy margins'!$N$44),B52-'Energy margins'!$M$44,""),'Energy margins'!$O$44)=0,'Energy margins'!$L$44,0)),0,IF(MOD(IF(AND(B52&gt;='Energy margins'!$M$44,B52&lt;='Energy margins'!$N$44),B52-'Energy margins'!$M$44,""),'Energy margins'!$O$44)=0,'Energy margins'!$L$44,0))</f>
        <v>0</v>
      </c>
      <c r="K52" s="913">
        <f>IF(ISERROR(IF(MOD(IF(AND(B52&gt;='Energy margins'!$M$45,B52&lt;='Energy margins'!$N$45),B52-'Energy margins'!$M$45,""),'Energy margins'!$O$45)=0,'Energy margins'!$L$45,0)),0,IF(MOD(IF(AND(B52&gt;='Energy margins'!$M$45,B52&lt;='Energy margins'!$N$45),B52-'Energy margins'!$M$45,""),'Energy margins'!$O$45)=0,'Energy margins'!$L$45,0))</f>
        <v>0</v>
      </c>
      <c r="L52" s="913">
        <f>IF(ISERROR(IF(MOD(IF(AND(B52&gt;='Energy margins'!$M$46,B52&lt;='Energy margins'!$N$46),B52-'Energy margins'!$M$46,""),'Energy margins'!$O$46)=0,'Energy margins'!$L$46,0)),0,IF(MOD(IF(AND(B52&gt;='Energy margins'!$M$46,B52&lt;='Energy margins'!$N$46),B52-'Energy margins'!$M$46,""),'Energy margins'!$O$46)=0,'Energy margins'!$L$46,0))</f>
        <v>0</v>
      </c>
      <c r="M52" s="913">
        <f>IF(ISERROR(IF(MOD(IF(AND(B52&gt;='Energy margins'!$M$47,B52&lt;='Energy margins'!$N$47),B52-'Energy margins'!$M$47,""),'Energy margins'!$O$47)=0,'Energy margins'!$L$47,0)),0,IF(MOD(IF(AND(B52&gt;='Energy margins'!$M$47,B52&lt;='Energy margins'!$N$47),B52-'Energy margins'!$M$47,""),'Energy margins'!$O$47)=0,'Energy margins'!$L$47,0))</f>
        <v>327</v>
      </c>
      <c r="N52" s="913">
        <f>IF(ISERROR(IF(MOD(IF(AND(B52&gt;='Energy margins'!$M$50,B52&lt;='Energy margins'!$N$50),B52-'Energy margins'!$M$50,""),'Energy margins'!$O$50)=0,'Energy margins'!$L$50,0)),0,IF(MOD(IF(AND(B52&gt;='Energy margins'!$M$50,B52&lt;='Energy margins'!$N$50),B52-'Energy margins'!$M$50,""),'Energy margins'!$O$50)=0,'Energy margins'!$L$50,0))</f>
        <v>344</v>
      </c>
      <c r="O52" s="913">
        <f>IF(ISERROR(IF(MOD(IF(AND(B52&gt;='Energy margins'!$M$53,B52&lt;='Energy margins'!$N$53),B52-'Energy margins'!$M$53,""),'Energy margins'!$O$53)=0,'Energy margins'!$L$53,0)),0,IF(MOD(IF(AND(B52&gt;='Energy margins'!$M$53,B52&lt;='Energy margins'!$N$53),B52-'Energy margins'!$M$53,""),'Energy margins'!$O$53)=0,'Energy margins'!$L$53,0))</f>
        <v>357.59999999999997</v>
      </c>
      <c r="P52" s="913">
        <f>IF(ISERROR(IF(MOD(IF(AND(B52&gt;='Energy margins'!$M$56,B52&lt;='Energy margins'!$N$56),B52-'Energy margins'!$M$56,""),'Energy margins'!$O$56)=0,'Energy margins'!$L$56,0)),0,IF(MOD(IF(AND(B52&gt;='Energy margins'!$M$56,B52&lt;='Energy margins'!$N$56),B52-'Energy margins'!$M$56,""),'Energy margins'!$O$56)=0,'Energy margins'!$L$56,0))</f>
        <v>321.60000000000002</v>
      </c>
      <c r="Q52" s="913">
        <f>IF(ISERROR(IF(MOD(IF(AND(B52&gt;='Energy margins'!$M$59,B52&lt;='Energy margins'!$N$59),B52-'Energy margins'!$M$59,""),'Energy margins'!$O$59)=0,'Energy margins'!$L$59,0)),0,IF(MOD(IF(AND(B52&gt;='Energy margins'!$M$59,B52&lt;='Energy margins'!$N$59),B52-'Energy margins'!$M$59,""),'Energy margins'!$O$59)=0,'Energy margins'!$L$59,0))</f>
        <v>0</v>
      </c>
      <c r="R52" s="913">
        <f>IF(ISERROR(IF(MOD(IF(AND(B52&gt;='Energy margins'!$M$60,B52&lt;='Energy margins'!$N$60),B52-'Energy margins'!$M$60,""),'Energy margins'!$O$60)=0,'Energy margins'!$L$60,0)),0,IF(MOD(IF(AND(B52&gt;='Energy margins'!$M$60,B52&lt;='Energy margins'!$N$60),B52-'Energy margins'!$M$60,""),'Energy margins'!$O$60)=0,'Energy margins'!$L$60,0))</f>
        <v>650</v>
      </c>
      <c r="S52" s="913">
        <f>IF(ISERROR(IF(MOD(IF(AND(B52&gt;='Energy margins'!$M$61,B52&lt;='Energy margins'!$N$61),B52-'Energy margins'!$M$61,""),'Energy margins'!$O$61)=0,'Energy margins'!$L$61,0)),0,IF(MOD(IF(AND(B52&gt;='Energy margins'!$M$61,B52&lt;='Energy margins'!$N$61),B52-'Energy margins'!$M$61,""),'Energy margins'!$O$61)=0,'Energy margins'!$L$61,0))</f>
        <v>0</v>
      </c>
      <c r="T52" s="913">
        <f>IF(ISERROR(IF(MOD(IF(AND(B52&gt;='Energy margins'!$M$62,B52&lt;='Energy margins'!$N$62),B52-'Energy margins'!$M$62,""),'Energy margins'!$O$62)=0,'Energy margins'!$L$62,0)),0,IF(MOD(IF(AND(B52&gt;='Energy margins'!$M$62,B52&lt;='Energy margins'!$N$62),B52-'Energy margins'!$M$62,""),'Energy margins'!$O$62)=0,'Energy margins'!$L$62,0))</f>
        <v>0</v>
      </c>
      <c r="U52" s="939">
        <f t="shared" si="19"/>
        <v>2000.1999999999998</v>
      </c>
      <c r="V52" s="197"/>
      <c r="W52" s="197">
        <f t="shared" si="20"/>
        <v>2000.1999999999998</v>
      </c>
      <c r="X52" s="197">
        <f t="shared" si="14"/>
        <v>1379.33</v>
      </c>
      <c r="Y52" s="197">
        <f t="shared" si="15"/>
        <v>1850.9699999999998</v>
      </c>
      <c r="Z52" s="968">
        <f t="shared" si="21"/>
        <v>2029.6581413147283</v>
      </c>
      <c r="AA52" s="969">
        <f t="shared" si="22"/>
        <v>283.25476198455954</v>
      </c>
      <c r="AB52" s="969">
        <f t="shared" si="23"/>
        <v>1201.2682870865829</v>
      </c>
      <c r="AC52" s="969">
        <f t="shared" si="24"/>
        <v>828.3898542281454</v>
      </c>
      <c r="AD52" s="969">
        <f t="shared" si="25"/>
        <v>1111.6446162127049</v>
      </c>
      <c r="AE52" s="968">
        <f t="shared" si="30"/>
        <v>31317.249980445362</v>
      </c>
      <c r="AF52" s="969">
        <f t="shared" si="26"/>
        <v>5181.270950386006</v>
      </c>
      <c r="AG52" s="969">
        <f t="shared" si="27"/>
        <v>87198.636609817622</v>
      </c>
      <c r="AH52" s="969">
        <f t="shared" si="28"/>
        <v>-55881.386629372304</v>
      </c>
      <c r="AI52" s="970">
        <f t="shared" si="29"/>
        <v>-50700.115678986294</v>
      </c>
    </row>
    <row r="53" spans="2:35" x14ac:dyDescent="0.3">
      <c r="B53" s="895">
        <v>15</v>
      </c>
      <c r="C53" s="917">
        <f>'Energy Inputs'!E44</f>
        <v>1</v>
      </c>
      <c r="D53" s="913">
        <f>C53*'Energy Inputs'!$E$24</f>
        <v>12.54</v>
      </c>
      <c r="E53" s="197">
        <f>'Energy margins'!$L$12</f>
        <v>269.5</v>
      </c>
      <c r="F53" s="197">
        <f t="shared" si="17"/>
        <v>3379.5299999999997</v>
      </c>
      <c r="G53" s="913">
        <f>'Energy Inputs'!$D$10</f>
        <v>471.64</v>
      </c>
      <c r="H53" s="197">
        <f t="shared" si="18"/>
        <v>3851.1699999999996</v>
      </c>
      <c r="I53" s="197"/>
      <c r="J53" s="938">
        <f>IF(ISERROR(IF(MOD(IF(AND(B53&gt;='Energy margins'!$M$44,B53&lt;='Energy margins'!$N$44),B53-'Energy margins'!$M$44,""),'Energy margins'!$O$44)=0,'Energy margins'!$L$44,0)),0,IF(MOD(IF(AND(B53&gt;='Energy margins'!$M$44,B53&lt;='Energy margins'!$N$44),B53-'Energy margins'!$M$44,""),'Energy margins'!$O$44)=0,'Energy margins'!$L$44,0))</f>
        <v>0</v>
      </c>
      <c r="K53" s="913">
        <f>IF(ISERROR(IF(MOD(IF(AND(B53&gt;='Energy margins'!$M$45,B53&lt;='Energy margins'!$N$45),B53-'Energy margins'!$M$45,""),'Energy margins'!$O$45)=0,'Energy margins'!$L$45,0)),0,IF(MOD(IF(AND(B53&gt;='Energy margins'!$M$45,B53&lt;='Energy margins'!$N$45),B53-'Energy margins'!$M$45,""),'Energy margins'!$O$45)=0,'Energy margins'!$L$45,0))</f>
        <v>0</v>
      </c>
      <c r="L53" s="913">
        <f>IF(ISERROR(IF(MOD(IF(AND(B53&gt;='Energy margins'!$M$46,B53&lt;='Energy margins'!$N$46),B53-'Energy margins'!$M$46,""),'Energy margins'!$O$46)=0,'Energy margins'!$L$46,0)),0,IF(MOD(IF(AND(B53&gt;='Energy margins'!$M$46,B53&lt;='Energy margins'!$N$46),B53-'Energy margins'!$M$46,""),'Energy margins'!$O$46)=0,'Energy margins'!$L$46,0))</f>
        <v>0</v>
      </c>
      <c r="M53" s="913">
        <f>IF(ISERROR(IF(MOD(IF(AND(B53&gt;='Energy margins'!$M$47,B53&lt;='Energy margins'!$N$47),B53-'Energy margins'!$M$47,""),'Energy margins'!$O$47)=0,'Energy margins'!$L$47,0)),0,IF(MOD(IF(AND(B53&gt;='Energy margins'!$M$47,B53&lt;='Energy margins'!$N$47),B53-'Energy margins'!$M$47,""),'Energy margins'!$O$47)=0,'Energy margins'!$L$47,0))</f>
        <v>327</v>
      </c>
      <c r="N53" s="913">
        <f>IF(ISERROR(IF(MOD(IF(AND(B53&gt;='Energy margins'!$M$50,B53&lt;='Energy margins'!$N$50),B53-'Energy margins'!$M$50,""),'Energy margins'!$O$50)=0,'Energy margins'!$L$50,0)),0,IF(MOD(IF(AND(B53&gt;='Energy margins'!$M$50,B53&lt;='Energy margins'!$N$50),B53-'Energy margins'!$M$50,""),'Energy margins'!$O$50)=0,'Energy margins'!$L$50,0))</f>
        <v>344</v>
      </c>
      <c r="O53" s="913">
        <f>IF(ISERROR(IF(MOD(IF(AND(B53&gt;='Energy margins'!$M$53,B53&lt;='Energy margins'!$N$53),B53-'Energy margins'!$M$53,""),'Energy margins'!$O$53)=0,'Energy margins'!$L$53,0)),0,IF(MOD(IF(AND(B53&gt;='Energy margins'!$M$53,B53&lt;='Energy margins'!$N$53),B53-'Energy margins'!$M$53,""),'Energy margins'!$O$53)=0,'Energy margins'!$L$53,0))</f>
        <v>357.59999999999997</v>
      </c>
      <c r="P53" s="913">
        <f>IF(ISERROR(IF(MOD(IF(AND(B53&gt;='Energy margins'!$M$56,B53&lt;='Energy margins'!$N$56),B53-'Energy margins'!$M$56,""),'Energy margins'!$O$56)=0,'Energy margins'!$L$56,0)),0,IF(MOD(IF(AND(B53&gt;='Energy margins'!$M$56,B53&lt;='Energy margins'!$N$56),B53-'Energy margins'!$M$56,""),'Energy margins'!$O$56)=0,'Energy margins'!$L$56,0))</f>
        <v>321.60000000000002</v>
      </c>
      <c r="Q53" s="913">
        <f>IF(ISERROR(IF(MOD(IF(AND(B53&gt;='Energy margins'!$M$59,B53&lt;='Energy margins'!$N$59),B53-'Energy margins'!$M$59,""),'Energy margins'!$O$59)=0,'Energy margins'!$L$59,0)),0,IF(MOD(IF(AND(B53&gt;='Energy margins'!$M$59,B53&lt;='Energy margins'!$N$59),B53-'Energy margins'!$M$59,""),'Energy margins'!$O$59)=0,'Energy margins'!$L$59,0))</f>
        <v>0</v>
      </c>
      <c r="R53" s="913">
        <f>IF(ISERROR(IF(MOD(IF(AND(B53&gt;='Energy margins'!$M$60,B53&lt;='Energy margins'!$N$60),B53-'Energy margins'!$M$60,""),'Energy margins'!$O$60)=0,'Energy margins'!$L$60,0)),0,IF(MOD(IF(AND(B53&gt;='Energy margins'!$M$60,B53&lt;='Energy margins'!$N$60),B53-'Energy margins'!$M$60,""),'Energy margins'!$O$60)=0,'Energy margins'!$L$60,0))</f>
        <v>650</v>
      </c>
      <c r="S53" s="913">
        <f>IF(ISERROR(IF(MOD(IF(AND(B53&gt;='Energy margins'!$M$61,B53&lt;='Energy margins'!$N$61),B53-'Energy margins'!$M$61,""),'Energy margins'!$O$61)=0,'Energy margins'!$L$61,0)),0,IF(MOD(IF(AND(B53&gt;='Energy margins'!$M$61,B53&lt;='Energy margins'!$N$61),B53-'Energy margins'!$M$61,""),'Energy margins'!$O$61)=0,'Energy margins'!$L$61,0))</f>
        <v>0</v>
      </c>
      <c r="T53" s="913">
        <f>IF(ISERROR(IF(MOD(IF(AND(B53&gt;='Energy margins'!$M$62,B53&lt;='Energy margins'!$N$62),B53-'Energy margins'!$M$62,""),'Energy margins'!$O$62)=0,'Energy margins'!$L$62,0)),0,IF(MOD(IF(AND(B53&gt;='Energy margins'!$M$62,B53&lt;='Energy margins'!$N$62),B53-'Energy margins'!$M$62,""),'Energy margins'!$O$62)=0,'Energy margins'!$L$62,0))</f>
        <v>0</v>
      </c>
      <c r="U53" s="939">
        <f t="shared" si="19"/>
        <v>2000.1999999999998</v>
      </c>
      <c r="V53" s="197"/>
      <c r="W53" s="197">
        <f t="shared" si="20"/>
        <v>2000.1999999999998</v>
      </c>
      <c r="X53" s="197">
        <f t="shared" si="14"/>
        <v>1379.33</v>
      </c>
      <c r="Y53" s="197">
        <f t="shared" si="15"/>
        <v>1850.9699999999998</v>
      </c>
      <c r="Z53" s="968">
        <f t="shared" si="21"/>
        <v>1951.5943666487772</v>
      </c>
      <c r="AA53" s="969">
        <f t="shared" si="22"/>
        <v>272.36034806207647</v>
      </c>
      <c r="AB53" s="969">
        <f t="shared" si="23"/>
        <v>1155.0656606601758</v>
      </c>
      <c r="AC53" s="969">
        <f t="shared" si="24"/>
        <v>796.52870598860136</v>
      </c>
      <c r="AD53" s="969">
        <f t="shared" si="25"/>
        <v>1068.8890540506777</v>
      </c>
      <c r="AE53" s="968">
        <f t="shared" si="30"/>
        <v>33268.844347094142</v>
      </c>
      <c r="AF53" s="969">
        <f t="shared" si="26"/>
        <v>5453.6312984480828</v>
      </c>
      <c r="AG53" s="969">
        <f t="shared" si="27"/>
        <v>88353.702270477792</v>
      </c>
      <c r="AH53" s="969">
        <f t="shared" si="28"/>
        <v>-55084.857923383701</v>
      </c>
      <c r="AI53" s="970">
        <f t="shared" si="29"/>
        <v>-49631.226624935618</v>
      </c>
    </row>
    <row r="54" spans="2:35" x14ac:dyDescent="0.3">
      <c r="B54" s="896">
        <v>16</v>
      </c>
      <c r="C54" s="914">
        <f>'Energy Inputs'!E45</f>
        <v>1</v>
      </c>
      <c r="D54" s="914">
        <f>C54*'Energy Inputs'!$E$24</f>
        <v>12.54</v>
      </c>
      <c r="E54" s="207">
        <f>'Energy margins'!$L$12</f>
        <v>269.5</v>
      </c>
      <c r="F54" s="207">
        <f t="shared" si="17"/>
        <v>3379.5299999999997</v>
      </c>
      <c r="G54" s="914">
        <f>'Energy Inputs'!$D$10</f>
        <v>471.64</v>
      </c>
      <c r="H54" s="207">
        <f t="shared" si="18"/>
        <v>3851.1699999999996</v>
      </c>
      <c r="I54" s="207"/>
      <c r="J54" s="940">
        <f>IF(ISERROR(IF(MOD(IF(AND(B54&gt;='Energy margins'!$M$44,B54&lt;='Energy margins'!$N$44),B54-'Energy margins'!$M$44,""),'Energy margins'!$O$44)=0,'Energy margins'!$L$44,0)),0,IF(MOD(IF(AND(B54&gt;='Energy margins'!$M$44,B54&lt;='Energy margins'!$N$44),B54-'Energy margins'!$M$44,""),'Energy margins'!$O$44)=0,'Energy margins'!$L$44,0))</f>
        <v>0</v>
      </c>
      <c r="K54" s="914">
        <f>IF(ISERROR(IF(MOD(IF(AND(B54&gt;='Energy margins'!$M$45,B54&lt;='Energy margins'!$N$45),B54-'Energy margins'!$M$45,""),'Energy margins'!$O$45)=0,'Energy margins'!$L$45,0)),0,IF(MOD(IF(AND(B54&gt;='Energy margins'!$M$45,B54&lt;='Energy margins'!$N$45),B54-'Energy margins'!$M$45,""),'Energy margins'!$O$45)=0,'Energy margins'!$L$45,0))</f>
        <v>0</v>
      </c>
      <c r="L54" s="914">
        <f>IF(ISERROR(IF(MOD(IF(AND(B54&gt;='Energy margins'!$M$46,B54&lt;='Energy margins'!$N$46),B54-'Energy margins'!$M$46,""),'Energy margins'!$O$46)=0,'Energy margins'!$L$46,0)),0,IF(MOD(IF(AND(B54&gt;='Energy margins'!$M$46,B54&lt;='Energy margins'!$N$46),B54-'Energy margins'!$M$46,""),'Energy margins'!$O$46)=0,'Energy margins'!$L$46,0))</f>
        <v>0</v>
      </c>
      <c r="M54" s="914">
        <f>IF(ISERROR(IF(MOD(IF(AND(B54&gt;='Energy margins'!$M$47,B54&lt;='Energy margins'!$N$47),B54-'Energy margins'!$M$47,""),'Energy margins'!$O$47)=0,'Energy margins'!$L$47,0)),0,IF(MOD(IF(AND(B54&gt;='Energy margins'!$M$47,B54&lt;='Energy margins'!$N$47),B54-'Energy margins'!$M$47,""),'Energy margins'!$O$47)=0,'Energy margins'!$L$47,0))</f>
        <v>327</v>
      </c>
      <c r="N54" s="914">
        <f>IF(ISERROR(IF(MOD(IF(AND(B54&gt;='Energy margins'!$M$50,B54&lt;='Energy margins'!$N$50),B54-'Energy margins'!$M$50,""),'Energy margins'!$O$50)=0,'Energy margins'!$L$50,0)),0,IF(MOD(IF(AND(B54&gt;='Energy margins'!$M$50,B54&lt;='Energy margins'!$N$50),B54-'Energy margins'!$M$50,""),'Energy margins'!$O$50)=0,'Energy margins'!$L$50,0))</f>
        <v>344</v>
      </c>
      <c r="O54" s="914">
        <f>IF(ISERROR(IF(MOD(IF(AND(B54&gt;='Energy margins'!$M$53,B54&lt;='Energy margins'!$N$53),B54-'Energy margins'!$M$53,""),'Energy margins'!$O$53)=0,'Energy margins'!$L$53,0)),0,IF(MOD(IF(AND(B54&gt;='Energy margins'!$M$53,B54&lt;='Energy margins'!$N$53),B54-'Energy margins'!$M$53,""),'Energy margins'!$O$53)=0,'Energy margins'!$L$53,0))</f>
        <v>357.59999999999997</v>
      </c>
      <c r="P54" s="914">
        <f>IF(ISERROR(IF(MOD(IF(AND(B54&gt;='Energy margins'!$M$56,B54&lt;='Energy margins'!$N$56),B54-'Energy margins'!$M$56,""),'Energy margins'!$O$56)=0,'Energy margins'!$L$56,0)),0,IF(MOD(IF(AND(B54&gt;='Energy margins'!$M$56,B54&lt;='Energy margins'!$N$56),B54-'Energy margins'!$M$56,""),'Energy margins'!$O$56)=0,'Energy margins'!$L$56,0))</f>
        <v>321.60000000000002</v>
      </c>
      <c r="Q54" s="914">
        <f>IF(ISERROR(IF(MOD(IF(AND(B54&gt;='Energy margins'!$M$59,B54&lt;='Energy margins'!$N$59),B54-'Energy margins'!$M$59,""),'Energy margins'!$O$59)=0,'Energy margins'!$L$59,0)),0,IF(MOD(IF(AND(B54&gt;='Energy margins'!$M$59,B54&lt;='Energy margins'!$N$59),B54-'Energy margins'!$M$59,""),'Energy margins'!$O$59)=0,'Energy margins'!$L$59,0))</f>
        <v>0</v>
      </c>
      <c r="R54" s="914">
        <f>IF(ISERROR(IF(MOD(IF(AND(B54&gt;='Energy margins'!$M$60,B54&lt;='Energy margins'!$N$60),B54-'Energy margins'!$M$60,""),'Energy margins'!$O$60)=0,'Energy margins'!$L$60,0)),0,IF(MOD(IF(AND(B54&gt;='Energy margins'!$M$60,B54&lt;='Energy margins'!$N$60),B54-'Energy margins'!$M$60,""),'Energy margins'!$O$60)=0,'Energy margins'!$L$60,0))</f>
        <v>650</v>
      </c>
      <c r="S54" s="914">
        <f>IF(ISERROR(IF(MOD(IF(AND(B54&gt;='Energy margins'!$M$61,B54&lt;='Energy margins'!$N$61),B54-'Energy margins'!$M$61,""),'Energy margins'!$O$61)=0,'Energy margins'!$L$61,0)),0,IF(MOD(IF(AND(B54&gt;='Energy margins'!$M$61,B54&lt;='Energy margins'!$N$61),B54-'Energy margins'!$M$61,""),'Energy margins'!$O$61)=0,'Energy margins'!$L$61,0))</f>
        <v>0</v>
      </c>
      <c r="T54" s="914">
        <f>IF(ISERROR(IF(MOD(IF(AND(B54&gt;='Energy margins'!$M$62,B54&lt;='Energy margins'!$N$62),B54-'Energy margins'!$M$62,""),'Energy margins'!$O$62)=0,'Energy margins'!$L$62,0)),0,IF(MOD(IF(AND(B54&gt;='Energy margins'!$M$62,B54&lt;='Energy margins'!$N$62),B54-'Energy margins'!$M$62,""),'Energy margins'!$O$62)=0,'Energy margins'!$L$62,0))</f>
        <v>0</v>
      </c>
      <c r="U54" s="941">
        <f t="shared" si="19"/>
        <v>2000.1999999999998</v>
      </c>
      <c r="V54" s="207">
        <f>'Energy margins'!Q67</f>
        <v>500</v>
      </c>
      <c r="W54" s="207">
        <f t="shared" si="20"/>
        <v>2500.1999999999998</v>
      </c>
      <c r="X54" s="207">
        <f t="shared" si="14"/>
        <v>879.32999999999993</v>
      </c>
      <c r="Y54" s="207">
        <f t="shared" si="15"/>
        <v>1350.9699999999998</v>
      </c>
      <c r="Z54" s="971">
        <f t="shared" si="21"/>
        <v>1876.5330448545935</v>
      </c>
      <c r="AA54" s="972">
        <f t="shared" si="22"/>
        <v>261.88495005968895</v>
      </c>
      <c r="AB54" s="972">
        <f t="shared" si="23"/>
        <v>1388.2723096837296</v>
      </c>
      <c r="AC54" s="972">
        <f t="shared" si="24"/>
        <v>488.26073517086388</v>
      </c>
      <c r="AD54" s="973">
        <f t="shared" si="25"/>
        <v>750.14568523055277</v>
      </c>
      <c r="AE54" s="971">
        <f t="shared" si="30"/>
        <v>35145.377391948736</v>
      </c>
      <c r="AF54" s="972">
        <f t="shared" si="26"/>
        <v>5715.5162485077717</v>
      </c>
      <c r="AG54" s="972">
        <f t="shared" si="27"/>
        <v>89741.974580161521</v>
      </c>
      <c r="AH54" s="972">
        <f t="shared" si="28"/>
        <v>-54596.597188212836</v>
      </c>
      <c r="AI54" s="973">
        <f t="shared" si="29"/>
        <v>-48881.080939705062</v>
      </c>
    </row>
    <row r="57" spans="2:35" x14ac:dyDescent="0.3">
      <c r="J57" t="s">
        <v>545</v>
      </c>
      <c r="K57" t="s">
        <v>549</v>
      </c>
    </row>
    <row r="58" spans="2:35" x14ac:dyDescent="0.3">
      <c r="J58" t="s">
        <v>546</v>
      </c>
      <c r="K58" t="s">
        <v>550</v>
      </c>
    </row>
    <row r="59" spans="2:35" x14ac:dyDescent="0.3">
      <c r="J59" t="s">
        <v>547</v>
      </c>
      <c r="K59" t="s">
        <v>551</v>
      </c>
    </row>
    <row r="60" spans="2:35" x14ac:dyDescent="0.3">
      <c r="J60" t="s">
        <v>548</v>
      </c>
      <c r="K60" t="s">
        <v>552</v>
      </c>
    </row>
    <row r="61" spans="2:35" x14ac:dyDescent="0.3">
      <c r="B61" s="227" t="s">
        <v>94</v>
      </c>
      <c r="C61" s="231"/>
      <c r="D61" s="231"/>
      <c r="E61" s="231"/>
      <c r="F61" s="194"/>
      <c r="G61" s="193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</row>
    <row r="62" spans="2:35" x14ac:dyDescent="0.3">
      <c r="B62" s="203"/>
      <c r="C62" s="148"/>
      <c r="D62" s="148"/>
      <c r="E62" s="148"/>
      <c r="F62" s="1082"/>
      <c r="G62" s="1082"/>
      <c r="H62" s="1082"/>
      <c r="I62" s="148"/>
      <c r="J62" s="925" t="s">
        <v>86</v>
      </c>
      <c r="K62" s="926"/>
      <c r="L62" s="926"/>
      <c r="M62" s="926"/>
      <c r="N62" s="926"/>
      <c r="O62" s="926"/>
      <c r="P62" s="926"/>
      <c r="Q62" s="926"/>
      <c r="R62" s="926"/>
      <c r="S62" s="926"/>
      <c r="T62" s="926"/>
      <c r="U62" s="927"/>
      <c r="V62" s="1082"/>
      <c r="W62" s="1082"/>
      <c r="X62" s="148"/>
      <c r="Y62" s="148"/>
      <c r="Z62" s="1083" t="s">
        <v>273</v>
      </c>
      <c r="AA62" s="1084"/>
      <c r="AB62" s="1084"/>
      <c r="AC62" s="1084"/>
      <c r="AD62" s="1085"/>
      <c r="AE62" s="1083" t="s">
        <v>274</v>
      </c>
      <c r="AF62" s="1084"/>
      <c r="AG62" s="1084"/>
      <c r="AH62" s="1084"/>
      <c r="AI62" s="1085"/>
    </row>
    <row r="63" spans="2:35" ht="51" x14ac:dyDescent="0.3">
      <c r="B63" s="204" t="s">
        <v>275</v>
      </c>
      <c r="C63" s="205" t="s">
        <v>536</v>
      </c>
      <c r="D63" s="205" t="s">
        <v>293</v>
      </c>
      <c r="E63" s="205" t="s">
        <v>294</v>
      </c>
      <c r="F63" s="171" t="s">
        <v>622</v>
      </c>
      <c r="G63" s="171" t="s">
        <v>591</v>
      </c>
      <c r="H63" s="171" t="s">
        <v>623</v>
      </c>
      <c r="I63" s="205" t="s">
        <v>291</v>
      </c>
      <c r="J63" s="950" t="s">
        <v>253</v>
      </c>
      <c r="K63" s="951" t="s">
        <v>33</v>
      </c>
      <c r="L63" s="951" t="s">
        <v>520</v>
      </c>
      <c r="M63" s="951" t="s">
        <v>145</v>
      </c>
      <c r="N63" s="952" t="s">
        <v>542</v>
      </c>
      <c r="O63" s="952" t="s">
        <v>543</v>
      </c>
      <c r="P63" s="952" t="s">
        <v>544</v>
      </c>
      <c r="Q63" s="953" t="s">
        <v>180</v>
      </c>
      <c r="R63" s="953" t="s">
        <v>464</v>
      </c>
      <c r="S63" s="954" t="s">
        <v>465</v>
      </c>
      <c r="T63" s="953" t="s">
        <v>466</v>
      </c>
      <c r="U63" s="955" t="s">
        <v>292</v>
      </c>
      <c r="V63" s="205" t="s">
        <v>295</v>
      </c>
      <c r="W63" s="171" t="s">
        <v>279</v>
      </c>
      <c r="X63" s="171" t="s">
        <v>624</v>
      </c>
      <c r="Y63" s="171" t="s">
        <v>625</v>
      </c>
      <c r="Z63" s="195" t="s">
        <v>280</v>
      </c>
      <c r="AA63" s="171" t="s">
        <v>626</v>
      </c>
      <c r="AB63" s="171" t="s">
        <v>281</v>
      </c>
      <c r="AC63" s="171" t="s">
        <v>627</v>
      </c>
      <c r="AD63" s="198" t="s">
        <v>282</v>
      </c>
      <c r="AE63" s="195" t="s">
        <v>283</v>
      </c>
      <c r="AF63" s="171" t="s">
        <v>628</v>
      </c>
      <c r="AG63" s="171" t="s">
        <v>284</v>
      </c>
      <c r="AH63" s="171" t="s">
        <v>629</v>
      </c>
      <c r="AI63" s="198" t="s">
        <v>285</v>
      </c>
    </row>
    <row r="64" spans="2:35" x14ac:dyDescent="0.3">
      <c r="B64" s="173"/>
      <c r="C64" s="226" t="s">
        <v>537</v>
      </c>
      <c r="D64" s="226" t="s">
        <v>336</v>
      </c>
      <c r="E64" s="226" t="s">
        <v>573</v>
      </c>
      <c r="F64" s="226" t="s">
        <v>571</v>
      </c>
      <c r="G64" s="226" t="s">
        <v>571</v>
      </c>
      <c r="H64" s="226" t="s">
        <v>571</v>
      </c>
      <c r="I64" s="226" t="s">
        <v>571</v>
      </c>
      <c r="J64" s="932" t="s">
        <v>571</v>
      </c>
      <c r="K64" s="933" t="s">
        <v>571</v>
      </c>
      <c r="L64" s="933" t="s">
        <v>571</v>
      </c>
      <c r="M64" s="933" t="s">
        <v>571</v>
      </c>
      <c r="N64" s="933" t="s">
        <v>571</v>
      </c>
      <c r="O64" s="933" t="s">
        <v>571</v>
      </c>
      <c r="P64" s="933" t="s">
        <v>571</v>
      </c>
      <c r="Q64" s="934" t="s">
        <v>571</v>
      </c>
      <c r="R64" s="934" t="s">
        <v>571</v>
      </c>
      <c r="S64" s="934" t="s">
        <v>571</v>
      </c>
      <c r="T64" s="934" t="s">
        <v>573</v>
      </c>
      <c r="U64" s="935" t="s">
        <v>571</v>
      </c>
      <c r="V64" s="226" t="s">
        <v>571</v>
      </c>
      <c r="W64" s="226" t="s">
        <v>571</v>
      </c>
      <c r="X64" s="226" t="s">
        <v>571</v>
      </c>
      <c r="Y64" s="727" t="s">
        <v>571</v>
      </c>
      <c r="Z64" s="226" t="s">
        <v>571</v>
      </c>
      <c r="AA64" s="226" t="s">
        <v>571</v>
      </c>
      <c r="AB64" s="226" t="s">
        <v>571</v>
      </c>
      <c r="AC64" s="226" t="s">
        <v>571</v>
      </c>
      <c r="AD64" s="727" t="s">
        <v>571</v>
      </c>
      <c r="AE64" s="226" t="s">
        <v>571</v>
      </c>
      <c r="AF64" s="226" t="s">
        <v>571</v>
      </c>
      <c r="AG64" s="226" t="s">
        <v>571</v>
      </c>
      <c r="AH64" s="226" t="s">
        <v>571</v>
      </c>
      <c r="AI64" s="727" t="s">
        <v>571</v>
      </c>
    </row>
    <row r="65" spans="2:35" x14ac:dyDescent="0.3">
      <c r="B65" s="894">
        <v>1</v>
      </c>
      <c r="C65" s="917">
        <f>'Energy Inputs'!F30</f>
        <v>0.1761785888496743</v>
      </c>
      <c r="D65" s="913">
        <f>C65*'Energy Inputs'!$F$24</f>
        <v>2.0466666666666664</v>
      </c>
      <c r="E65" s="197">
        <f>'Energy margins'!$S$12</f>
        <v>269.5</v>
      </c>
      <c r="F65" s="197">
        <f>D65*E65</f>
        <v>551.5766666666666</v>
      </c>
      <c r="G65" s="923">
        <f>'Energy Inputs'!$D$10</f>
        <v>471.64</v>
      </c>
      <c r="H65" s="197">
        <f>F65+G65</f>
        <v>1023.2166666666666</v>
      </c>
      <c r="I65" s="197">
        <f>'Margins summary'!T20</f>
        <v>27899.875000000004</v>
      </c>
      <c r="J65" s="959">
        <f>IF(ISERROR(IF(MOD(IF(AND(B65&gt;='Energy margins'!$T$44,B65&lt;='Energy margins'!$U$44),B65-'Energy margins'!$T$44,""),'Energy margins'!$V$44)=0,'Energy margins'!$S$44,0)),0,IF(MOD(IF(AND(B65&gt;='Energy margins'!$T$44,B65&lt;='Energy margins'!$U$44),B65-'Energy margins'!$T$44,""),'Energy margins'!$V$44)=0,'Energy margins'!$S$44,0))</f>
        <v>0</v>
      </c>
      <c r="K65" s="923">
        <f>IF(ISERROR(IF(MOD(IF(AND(B65&gt;='Energy margins'!$T$45,B65&lt;='Energy margins'!$U$45),B65-'Energy margins'!$T$45,""),'Energy margins'!$V$45)=0,'Energy margins'!$S$45,0)),0,IF(MOD(IF(AND(B65&gt;='Energy margins'!$T$45,B65&lt;='Energy margins'!$U$45),B65-'Energy margins'!$T$45,""),'Energy margins'!$V$45)=0,'Energy margins'!$S$45,0))</f>
        <v>0</v>
      </c>
      <c r="L65" s="923">
        <f>IF(ISERROR(IF(MOD(IF(AND(B65&gt;='Energy margins'!$T$46,B65&lt;='Energy margins'!$U$46),B65-'Energy margins'!$T$46,""),'Energy margins'!$V$46)=0,'Energy margins'!$S$46,0)),0,IF(MOD(IF(AND(B65&gt;='Energy margins'!$T$46,B65&lt;='Energy margins'!$U$46),B65-'Energy margins'!$T$46,""),'Energy margins'!$V$46)=0,'Energy margins'!$S$46,0))</f>
        <v>0</v>
      </c>
      <c r="M65" s="923">
        <f>IF(ISERROR(IF(MOD(IF(AND(B65&gt;='Energy margins'!$T$47,B65&lt;='Energy margins'!$U$47),B65-'Energy margins'!$T$47,""),'Energy margins'!$V$47)=0,'Energy margins'!$S$47,0)),0,IF(MOD(IF(AND(B65&gt;='Energy margins'!$T$47,B65&lt;='Energy margins'!$U$47),B65-'Energy margins'!$T$47,""),'Energy margins'!$V$47)=0,'Energy margins'!$S$47,0))</f>
        <v>0</v>
      </c>
      <c r="N65" s="923">
        <f>IF(ISERROR(IF(MOD(IF(AND(B65&gt;='Energy margins'!$T$50,B65&lt;='Energy margins'!$U$50),B65-'Energy margins'!$T$50,""),'Energy margins'!$V$50)=0,'Energy margins'!$S$50,0)),0,IF(MOD(IF(AND(B65&gt;='Energy margins'!$T$50,B65&lt;='Energy margins'!$U$50),B65-'Energy margins'!$T$50,""),'Energy margins'!$V$50)=0,'Energy margins'!$S$50,0))</f>
        <v>0</v>
      </c>
      <c r="O65" s="923">
        <f>IF(ISERROR(IF(MOD(IF(AND(B65&gt;='Energy margins'!$T$53,B65&lt;='Energy margins'!$U$53),B65-'Energy margins'!$T$53,""),'Energy margins'!$V$53)=0,'Energy margins'!$S$53,0)),0,IF(MOD(IF(AND(B65&gt;='Energy margins'!$T$53,B65&lt;='Energy margins'!$U$53),B65-'Energy margins'!$T$53,""),'Energy margins'!$V$53)=0,'Energy margins'!$S$53,0))</f>
        <v>0</v>
      </c>
      <c r="P65" s="923">
        <f>IF(ISERROR(IF(MOD(IF(AND(B65&gt;='Energy margins'!$T$56,B65&lt;='Energy margins'!$U$56),B65-'Energy margins'!$T$56,""),'Energy margins'!$V$56)=0,'Energy margins'!$S$56,0)),0,IF(MOD(IF(AND(B65&gt;='Energy margins'!$T$56,B65&lt;='Energy margins'!$U$56),B65-'Energy margins'!$T$56,""),'Energy margins'!$V$56)=0,'Energy margins'!$S$56,0))</f>
        <v>0</v>
      </c>
      <c r="Q65" s="923">
        <f>IF(ISERROR(IF(MOD(IF(AND(B65&gt;='Energy margins'!$T$59,B65&lt;='Energy margins'!$U$59),B65-'Energy margins'!$T$59,""),'Energy margins'!$V$59)=0,'Energy margins'!$S$59,0)),0,IF(MOD(IF(AND(B65&gt;='Energy margins'!$T$59,B65&lt;='Energy margins'!$U$59),B65-'Energy margins'!$T$59,""),'Energy margins'!$V$59)=0,'Energy margins'!$S$59,0))</f>
        <v>490.00000000000006</v>
      </c>
      <c r="R65" s="923">
        <f>IF(ISERROR(IF(MOD(IF(AND(B65&gt;='Energy margins'!$T$60,B65&lt;='Energy margins'!$U$60),B65-'Energy margins'!$T$60,""),'Energy margins'!$V$60)=0,'Energy margins'!$S$60,0)),0,IF(MOD(IF(AND(B65&gt;='Energy margins'!$T$60,B65&lt;='Energy margins'!$U$60),B65-'Energy margins'!$T$60,""),'Energy margins'!$V$60)=0,'Energy margins'!$S$60,0))</f>
        <v>0</v>
      </c>
      <c r="S65" s="923">
        <f>IF(ISERROR(IF(MOD(IF(AND(B65&gt;='Energy margins'!$T$61,B65&lt;='Energy margins'!$U$61),B65-'Energy margins'!$T$61,""),'Energy margins'!$V$61)=0,'Energy margins'!$S$61,0)),0,IF(MOD(IF(AND(B65&gt;='Energy margins'!$T$61,B65&lt;='Energy margins'!$U$61),B65-'Energy margins'!$T$61,""),'Energy margins'!$V$61)=0,'Energy margins'!$S$61,0))</f>
        <v>0</v>
      </c>
      <c r="T65" s="923">
        <f>IF(ISERROR(IF(MOD(IF(AND(B65&gt;='Energy margins'!$T$62,B65&lt;='Energy margins'!$U$62),B65-'Energy margins'!$T$62,""),'Energy margins'!$V$62)=0,'Energy margins'!$S$62,0)),0,IF(MOD(IF(AND(B65&gt;='Energy margins'!$T$62,B65&lt;='Energy margins'!$U$62),B65-'Energy margins'!$T$62,""),'Energy margins'!$V$62)=0,'Energy margins'!$S$62,0))</f>
        <v>0</v>
      </c>
      <c r="U65" s="937">
        <f>SUM(J65:T65)</f>
        <v>490.00000000000006</v>
      </c>
      <c r="V65" s="197"/>
      <c r="W65" s="197">
        <f>I65+U65+V65</f>
        <v>28389.875000000004</v>
      </c>
      <c r="X65" s="197">
        <f t="shared" ref="X65:X80" si="31">F65-W65</f>
        <v>-27838.298333333336</v>
      </c>
      <c r="Y65" s="197">
        <f t="shared" ref="Y65:Y80" si="32">H65-W65</f>
        <v>-27366.658333333336</v>
      </c>
      <c r="Z65" s="968">
        <f>F65/((1+$C$6)^($B65-1))</f>
        <v>551.5766666666666</v>
      </c>
      <c r="AA65" s="969">
        <f>G65/((1+$C$6)^($B65-1))</f>
        <v>471.64</v>
      </c>
      <c r="AB65" s="969">
        <f>W65/((1+$C$6)^($B65-1))</f>
        <v>28389.875000000004</v>
      </c>
      <c r="AC65" s="969">
        <f t="shared" ref="AC65:AD65" si="33">X65/((1+$C$6)^($B65-1))</f>
        <v>-27838.298333333336</v>
      </c>
      <c r="AD65" s="969">
        <f t="shared" si="33"/>
        <v>-27366.658333333336</v>
      </c>
      <c r="AE65" s="968">
        <f>Z65</f>
        <v>551.5766666666666</v>
      </c>
      <c r="AF65" s="969">
        <f>AA65</f>
        <v>471.64</v>
      </c>
      <c r="AG65" s="969">
        <f>AB65</f>
        <v>28389.875000000004</v>
      </c>
      <c r="AH65" s="969">
        <f>AC65</f>
        <v>-27838.298333333336</v>
      </c>
      <c r="AI65" s="970">
        <f>AD65</f>
        <v>-27366.658333333336</v>
      </c>
    </row>
    <row r="66" spans="2:35" x14ac:dyDescent="0.3">
      <c r="B66" s="895">
        <v>2</v>
      </c>
      <c r="C66" s="917">
        <f>'Energy Inputs'!F31</f>
        <v>0.71188775071016608</v>
      </c>
      <c r="D66" s="913">
        <f>C66*'Energy Inputs'!$F$24</f>
        <v>8.27</v>
      </c>
      <c r="E66" s="197">
        <f>'Energy margins'!$S$12</f>
        <v>269.5</v>
      </c>
      <c r="F66" s="197">
        <f t="shared" ref="F66:F80" si="34">D66*E66</f>
        <v>2228.7649999999999</v>
      </c>
      <c r="G66" s="913">
        <f>'Energy Inputs'!$D$10</f>
        <v>471.64</v>
      </c>
      <c r="H66" s="197">
        <f t="shared" ref="H66:H80" si="35">F66+G66</f>
        <v>2700.4049999999997</v>
      </c>
      <c r="I66" s="197"/>
      <c r="J66" s="942">
        <f>IF(ISERROR(IF(MOD(IF(AND(B66&gt;='Energy margins'!$T$44,B66&lt;='Energy margins'!$U$44),B66-'Energy margins'!$T$44,""),'Energy margins'!$V$44)=0,'Energy margins'!$S$44,0)),0,IF(MOD(IF(AND(B66&gt;='Energy margins'!$T$44,B66&lt;='Energy margins'!$U$44),B66-'Energy margins'!$T$44,""),'Energy margins'!$V$44)=0,'Energy margins'!$S$44,0))</f>
        <v>788.90000000000009</v>
      </c>
      <c r="K66" s="913">
        <f>IF(ISERROR(IF(MOD(IF(AND(B66&gt;='Energy margins'!$T$45,B66&lt;='Energy margins'!$U$45),B66-'Energy margins'!$T$45,""),'Energy margins'!$V$45)=0,'Energy margins'!$S$45,0)),0,IF(MOD(IF(AND(B66&gt;='Energy margins'!$T$45,B66&lt;='Energy margins'!$U$45),B66-'Energy margins'!$T$45,""),'Energy margins'!$V$45)=0,'Energy margins'!$S$45,0))</f>
        <v>0</v>
      </c>
      <c r="L66" s="913">
        <f>IF(ISERROR(IF(MOD(IF(AND(B66&gt;='Energy margins'!$T$46,B66&lt;='Energy margins'!$U$46),B66-'Energy margins'!$T$46,""),'Energy margins'!$V$46)=0,'Energy margins'!$S$46,0)),0,IF(MOD(IF(AND(B66&gt;='Energy margins'!$T$46,B66&lt;='Energy margins'!$U$46),B66-'Energy margins'!$T$46,""),'Energy margins'!$V$46)=0,'Energy margins'!$S$46,0))</f>
        <v>0</v>
      </c>
      <c r="M66" s="913">
        <f>IF(ISERROR(IF(MOD(IF(AND(B66&gt;='Energy margins'!$T$47,B66&lt;='Energy margins'!$U$47),B66-'Energy margins'!$T$47,""),'Energy margins'!$V$47)=0,'Energy margins'!$S$47,0)),0,IF(MOD(IF(AND(B66&gt;='Energy margins'!$T$47,B66&lt;='Energy margins'!$U$47),B66-'Energy margins'!$T$47,""),'Energy margins'!$V$47)=0,'Energy margins'!$S$47,0))</f>
        <v>327</v>
      </c>
      <c r="N66" s="913">
        <f>IF(ISERROR(IF(MOD(IF(AND(B66&gt;='Energy margins'!$T$50,B66&lt;='Energy margins'!$U$50),B66-'Energy margins'!$T$50,""),'Energy margins'!$V$50)=0,'Energy margins'!$S$50,0)),0,IF(MOD(IF(AND(B66&gt;='Energy margins'!$T$50,B66&lt;='Energy margins'!$U$50),B66-'Energy margins'!$T$50,""),'Energy margins'!$V$50)=0,'Energy margins'!$S$50,0))</f>
        <v>344</v>
      </c>
      <c r="O66" s="913">
        <f>IF(ISERROR(IF(MOD(IF(AND(B66&gt;='Energy margins'!$T$53,B66&lt;='Energy margins'!$U$53),B66-'Energy margins'!$T$53,""),'Energy margins'!$V$53)=0,'Energy margins'!$S$53,0)),0,IF(MOD(IF(AND(B66&gt;='Energy margins'!$T$53,B66&lt;='Energy margins'!$U$53),B66-'Energy margins'!$T$53,""),'Energy margins'!$V$53)=0,'Energy margins'!$S$53,0))</f>
        <v>357.59999999999997</v>
      </c>
      <c r="P66" s="913">
        <f>IF(ISERROR(IF(MOD(IF(AND(B66&gt;='Energy margins'!$T$56,B66&lt;='Energy margins'!$U$56),B66-'Energy margins'!$T$56,""),'Energy margins'!$V$56)=0,'Energy margins'!$S$56,0)),0,IF(MOD(IF(AND(B66&gt;='Energy margins'!$T$56,B66&lt;='Energy margins'!$U$56),B66-'Energy margins'!$T$56,""),'Energy margins'!$V$56)=0,'Energy margins'!$S$56,0))</f>
        <v>321.60000000000002</v>
      </c>
      <c r="Q66" s="913">
        <f>IF(ISERROR(IF(MOD(IF(AND(B66&gt;='Energy margins'!$T$59,B66&lt;='Energy margins'!$U$59),B66-'Energy margins'!$T$59,""),'Energy margins'!$V$59)=0,'Energy margins'!$S$59,0)),0,IF(MOD(IF(AND(B66&gt;='Energy margins'!$T$59,B66&lt;='Energy margins'!$U$59),B66-'Energy margins'!$T$59,""),'Energy margins'!$V$59)=0,'Energy margins'!$S$59,0))</f>
        <v>490.00000000000006</v>
      </c>
      <c r="R66" s="913">
        <f>IF(ISERROR(IF(MOD(IF(AND(B66&gt;='Energy margins'!$T$60,B66&lt;='Energy margins'!$U$60),B66-'Energy margins'!$T$60,""),'Energy margins'!$V$60)=0,'Energy margins'!$S$60,0)),0,IF(MOD(IF(AND(B66&gt;='Energy margins'!$T$60,B66&lt;='Energy margins'!$U$60),B66-'Energy margins'!$T$60,""),'Energy margins'!$V$60)=0,'Energy margins'!$S$60,0))</f>
        <v>0</v>
      </c>
      <c r="S66" s="913">
        <f>IF(ISERROR(IF(MOD(IF(AND(B66&gt;='Energy margins'!$T$61,B66&lt;='Energy margins'!$U$61),B66-'Energy margins'!$T$61,""),'Energy margins'!$V$61)=0,'Energy margins'!$S$61,0)),0,IF(MOD(IF(AND(B66&gt;='Energy margins'!$T$61,B66&lt;='Energy margins'!$U$61),B66-'Energy margins'!$T$61,""),'Energy margins'!$V$61)=0,'Energy margins'!$S$61,0))</f>
        <v>0</v>
      </c>
      <c r="T66" s="913">
        <f>IF(ISERROR(IF(MOD(IF(AND(B66&gt;='Energy margins'!$T$62,B66&lt;='Energy margins'!$U$62),B66-'Energy margins'!$T$62,""),'Energy margins'!$V$62)=0,'Energy margins'!$S$62,0)),0,IF(MOD(IF(AND(B66&gt;='Energy margins'!$T$62,B66&lt;='Energy margins'!$U$62),B66-'Energy margins'!$T$62,""),'Energy margins'!$V$62)=0,'Energy margins'!$S$62,0))</f>
        <v>0</v>
      </c>
      <c r="U66" s="939">
        <f t="shared" ref="U66:U80" si="36">SUM(J66:T66)</f>
        <v>2629.1</v>
      </c>
      <c r="V66" s="197"/>
      <c r="W66" s="197">
        <f t="shared" ref="W66:W80" si="37">I66+U66+V66</f>
        <v>2629.1</v>
      </c>
      <c r="X66" s="197">
        <f t="shared" si="31"/>
        <v>-400.33500000000004</v>
      </c>
      <c r="Y66" s="197">
        <f t="shared" si="32"/>
        <v>71.304999999999836</v>
      </c>
      <c r="Z66" s="968">
        <f t="shared" ref="Z66:Z80" si="38">F66/((1+$C$6)^($B66-1))</f>
        <v>2143.0432692307691</v>
      </c>
      <c r="AA66" s="969">
        <f t="shared" ref="AA66:AA80" si="39">G66/((1+$C$6)^($B66-1))</f>
        <v>453.49999999999994</v>
      </c>
      <c r="AB66" s="969">
        <f t="shared" ref="AB66:AB80" si="40">W66/((1+$C$6)^($B66-1))</f>
        <v>2527.9807692307691</v>
      </c>
      <c r="AC66" s="969">
        <f t="shared" ref="AC66:AC80" si="41">X66/((1+$C$6)^($B66-1))</f>
        <v>-384.9375</v>
      </c>
      <c r="AD66" s="969">
        <f t="shared" ref="AD66:AD80" si="42">Y66/((1+$C$6)^($B66-1))</f>
        <v>68.562499999999844</v>
      </c>
      <c r="AE66" s="968">
        <f>AE65+Z66</f>
        <v>2694.6199358974354</v>
      </c>
      <c r="AF66" s="969">
        <f t="shared" ref="AF66:AF80" si="43">AF65+AA66</f>
        <v>925.13999999999987</v>
      </c>
      <c r="AG66" s="969">
        <f t="shared" ref="AG66:AG80" si="44">AG65+AB66</f>
        <v>30917.855769230773</v>
      </c>
      <c r="AH66" s="969">
        <f t="shared" ref="AH66:AH80" si="45">AH65+AC66</f>
        <v>-28223.235833333336</v>
      </c>
      <c r="AI66" s="970">
        <f t="shared" ref="AI66:AI80" si="46">AI65+AD66</f>
        <v>-27298.095833333336</v>
      </c>
    </row>
    <row r="67" spans="2:35" x14ac:dyDescent="0.3">
      <c r="B67" s="895">
        <v>3</v>
      </c>
      <c r="C67" s="917">
        <f>'Energy Inputs'!F32</f>
        <v>0.94057559323979223</v>
      </c>
      <c r="D67" s="913">
        <f>C67*'Energy Inputs'!$F$24</f>
        <v>10.926666666666668</v>
      </c>
      <c r="E67" s="197">
        <f>'Energy margins'!$S$12</f>
        <v>269.5</v>
      </c>
      <c r="F67" s="197">
        <f t="shared" si="34"/>
        <v>2944.7366666666671</v>
      </c>
      <c r="G67" s="913">
        <f>'Energy Inputs'!$D$10</f>
        <v>471.64</v>
      </c>
      <c r="H67" s="197">
        <f t="shared" si="35"/>
        <v>3416.376666666667</v>
      </c>
      <c r="I67" s="197"/>
      <c r="J67" s="942">
        <f>IF(ISERROR(IF(MOD(IF(AND(B67&gt;='Energy margins'!$T$44,B67&lt;='Energy margins'!$U$44),B67-'Energy margins'!$T$44,""),'Energy margins'!$V$44)=0,'Energy margins'!$S$44,0)),0,IF(MOD(IF(AND(B67&gt;='Energy margins'!$T$44,B67&lt;='Energy margins'!$U$44),B67-'Energy margins'!$T$44,""),'Energy margins'!$V$44)=0,'Energy margins'!$S$44,0))</f>
        <v>788.90000000000009</v>
      </c>
      <c r="K67" s="913">
        <f>IF(ISERROR(IF(MOD(IF(AND(B67&gt;='Energy margins'!$T$45,B67&lt;='Energy margins'!$U$45),B67-'Energy margins'!$T$45,""),'Energy margins'!$V$45)=0,'Energy margins'!$S$45,0)),0,IF(MOD(IF(AND(B67&gt;='Energy margins'!$T$45,B67&lt;='Energy margins'!$U$45),B67-'Energy margins'!$T$45,""),'Energy margins'!$V$45)=0,'Energy margins'!$S$45,0))</f>
        <v>0</v>
      </c>
      <c r="L67" s="913">
        <f>IF(ISERROR(IF(MOD(IF(AND(B67&gt;='Energy margins'!$T$46,B67&lt;='Energy margins'!$U$46),B67-'Energy margins'!$T$46,""),'Energy margins'!$V$46)=0,'Energy margins'!$S$46,0)),0,IF(MOD(IF(AND(B67&gt;='Energy margins'!$T$46,B67&lt;='Energy margins'!$U$46),B67-'Energy margins'!$T$46,""),'Energy margins'!$V$46)=0,'Energy margins'!$S$46,0))</f>
        <v>0</v>
      </c>
      <c r="M67" s="913">
        <f>IF(ISERROR(IF(MOD(IF(AND(B67&gt;='Energy margins'!$T$47,B67&lt;='Energy margins'!$U$47),B67-'Energy margins'!$T$47,""),'Energy margins'!$V$47)=0,'Energy margins'!$S$47,0)),0,IF(MOD(IF(AND(B67&gt;='Energy margins'!$T$47,B67&lt;='Energy margins'!$U$47),B67-'Energy margins'!$T$47,""),'Energy margins'!$V$47)=0,'Energy margins'!$S$47,0))</f>
        <v>327</v>
      </c>
      <c r="N67" s="913">
        <f>IF(ISERROR(IF(MOD(IF(AND(B67&gt;='Energy margins'!$T$50,B67&lt;='Energy margins'!$U$50),B67-'Energy margins'!$T$50,""),'Energy margins'!$V$50)=0,'Energy margins'!$S$50,0)),0,IF(MOD(IF(AND(B67&gt;='Energy margins'!$T$50,B67&lt;='Energy margins'!$U$50),B67-'Energy margins'!$T$50,""),'Energy margins'!$V$50)=0,'Energy margins'!$S$50,0))</f>
        <v>344</v>
      </c>
      <c r="O67" s="913">
        <f>IF(ISERROR(IF(MOD(IF(AND(B67&gt;='Energy margins'!$T$53,B67&lt;='Energy margins'!$U$53),B67-'Energy margins'!$T$53,""),'Energy margins'!$V$53)=0,'Energy margins'!$S$53,0)),0,IF(MOD(IF(AND(B67&gt;='Energy margins'!$T$53,B67&lt;='Energy margins'!$U$53),B67-'Energy margins'!$T$53,""),'Energy margins'!$V$53)=0,'Energy margins'!$S$53,0))</f>
        <v>357.59999999999997</v>
      </c>
      <c r="P67" s="913">
        <f>IF(ISERROR(IF(MOD(IF(AND(B67&gt;='Energy margins'!$T$56,B67&lt;='Energy margins'!$U$56),B67-'Energy margins'!$T$56,""),'Energy margins'!$V$56)=0,'Energy margins'!$S$56,0)),0,IF(MOD(IF(AND(B67&gt;='Energy margins'!$T$56,B67&lt;='Energy margins'!$U$56),B67-'Energy margins'!$T$56,""),'Energy margins'!$V$56)=0,'Energy margins'!$S$56,0))</f>
        <v>321.60000000000002</v>
      </c>
      <c r="Q67" s="913">
        <f>IF(ISERROR(IF(MOD(IF(AND(B67&gt;='Energy margins'!$T$59,B67&lt;='Energy margins'!$U$59),B67-'Energy margins'!$T$59,""),'Energy margins'!$V$59)=0,'Energy margins'!$S$59,0)),0,IF(MOD(IF(AND(B67&gt;='Energy margins'!$T$59,B67&lt;='Energy margins'!$U$59),B67-'Energy margins'!$T$59,""),'Energy margins'!$V$59)=0,'Energy margins'!$S$59,0))</f>
        <v>490.00000000000006</v>
      </c>
      <c r="R67" s="913">
        <f>IF(ISERROR(IF(MOD(IF(AND(B67&gt;='Energy margins'!$T$60,B67&lt;='Energy margins'!$U$60),B67-'Energy margins'!$T$60,""),'Energy margins'!$V$60)=0,'Energy margins'!$S$60,0)),0,IF(MOD(IF(AND(B67&gt;='Energy margins'!$T$60,B67&lt;='Energy margins'!$U$60),B67-'Energy margins'!$T$60,""),'Energy margins'!$V$60)=0,'Energy margins'!$S$60,0))</f>
        <v>0</v>
      </c>
      <c r="S67" s="913">
        <f>IF(ISERROR(IF(MOD(IF(AND(B67&gt;='Energy margins'!$T$61,B67&lt;='Energy margins'!$U$61),B67-'Energy margins'!$T$61,""),'Energy margins'!$V$61)=0,'Energy margins'!$S$61,0)),0,IF(MOD(IF(AND(B67&gt;='Energy margins'!$T$61,B67&lt;='Energy margins'!$U$61),B67-'Energy margins'!$T$61,""),'Energy margins'!$V$61)=0,'Energy margins'!$S$61,0))</f>
        <v>0</v>
      </c>
      <c r="T67" s="913">
        <f>IF(ISERROR(IF(MOD(IF(AND(B67&gt;='Energy margins'!$T$62,B67&lt;='Energy margins'!$U$62),B67-'Energy margins'!$T$62,""),'Energy margins'!$V$62)=0,'Energy margins'!$S$62,0)),0,IF(MOD(IF(AND(B67&gt;='Energy margins'!$T$62,B67&lt;='Energy margins'!$U$62),B67-'Energy margins'!$T$62,""),'Energy margins'!$V$62)=0,'Energy margins'!$S$62,0))</f>
        <v>0</v>
      </c>
      <c r="U67" s="939">
        <f t="shared" si="36"/>
        <v>2629.1</v>
      </c>
      <c r="V67" s="197"/>
      <c r="W67" s="197">
        <f t="shared" si="37"/>
        <v>2629.1</v>
      </c>
      <c r="X67" s="197">
        <f t="shared" si="31"/>
        <v>315.63666666666722</v>
      </c>
      <c r="Y67" s="197">
        <f t="shared" si="32"/>
        <v>787.2766666666671</v>
      </c>
      <c r="Z67" s="968">
        <f t="shared" si="38"/>
        <v>2722.5745808678503</v>
      </c>
      <c r="AA67" s="969">
        <f t="shared" si="39"/>
        <v>436.05769230769226</v>
      </c>
      <c r="AB67" s="969">
        <f t="shared" si="40"/>
        <v>2430.7507396449701</v>
      </c>
      <c r="AC67" s="969">
        <f t="shared" si="41"/>
        <v>291.82384122288016</v>
      </c>
      <c r="AD67" s="969">
        <f t="shared" si="42"/>
        <v>727.88153353057226</v>
      </c>
      <c r="AE67" s="968">
        <f t="shared" ref="AE67:AE80" si="47">AE66+Z67</f>
        <v>5417.1945167652857</v>
      </c>
      <c r="AF67" s="969">
        <f t="shared" si="43"/>
        <v>1361.1976923076923</v>
      </c>
      <c r="AG67" s="969">
        <f t="shared" si="44"/>
        <v>33348.606508875746</v>
      </c>
      <c r="AH67" s="969">
        <f t="shared" si="45"/>
        <v>-27931.411992110458</v>
      </c>
      <c r="AI67" s="970">
        <f t="shared" si="46"/>
        <v>-26570.214299802763</v>
      </c>
    </row>
    <row r="68" spans="2:35" x14ac:dyDescent="0.3">
      <c r="B68" s="895">
        <v>4</v>
      </c>
      <c r="C68" s="917">
        <f>'Energy Inputs'!F33</f>
        <v>1</v>
      </c>
      <c r="D68" s="913">
        <f>C68*'Energy Inputs'!$F$24</f>
        <v>11.617000000000001</v>
      </c>
      <c r="E68" s="197">
        <f>'Energy margins'!$S$12</f>
        <v>269.5</v>
      </c>
      <c r="F68" s="197">
        <f t="shared" si="34"/>
        <v>3130.7815000000001</v>
      </c>
      <c r="G68" s="913">
        <f>'Energy Inputs'!$D$10</f>
        <v>471.64</v>
      </c>
      <c r="H68" s="197">
        <f t="shared" si="35"/>
        <v>3602.4214999999999</v>
      </c>
      <c r="I68" s="197"/>
      <c r="J68" s="942">
        <f>IF(ISERROR(IF(MOD(IF(AND(B68&gt;='Energy margins'!$T$44,B68&lt;='Energy margins'!$U$44),B68-'Energy margins'!$T$44,""),'Energy margins'!$V$44)=0,'Energy margins'!$S$44,0)),0,IF(MOD(IF(AND(B68&gt;='Energy margins'!$T$44,B68&lt;='Energy margins'!$U$44),B68-'Energy margins'!$T$44,""),'Energy margins'!$V$44)=0,'Energy margins'!$S$44,0))</f>
        <v>0</v>
      </c>
      <c r="K68" s="913">
        <f>IF(ISERROR(IF(MOD(IF(AND(B68&gt;='Energy margins'!$T$45,B68&lt;='Energy margins'!$U$45),B68-'Energy margins'!$T$45,""),'Energy margins'!$V$45)=0,'Energy margins'!$S$45,0)),0,IF(MOD(IF(AND(B68&gt;='Energy margins'!$T$45,B68&lt;='Energy margins'!$U$45),B68-'Energy margins'!$T$45,""),'Energy margins'!$V$45)=0,'Energy margins'!$S$45,0))</f>
        <v>0</v>
      </c>
      <c r="L68" s="913">
        <f>IF(ISERROR(IF(MOD(IF(AND(B68&gt;='Energy margins'!$T$46,B68&lt;='Energy margins'!$U$46),B68-'Energy margins'!$T$46,""),'Energy margins'!$V$46)=0,'Energy margins'!$S$46,0)),0,IF(MOD(IF(AND(B68&gt;='Energy margins'!$T$46,B68&lt;='Energy margins'!$U$46),B68-'Energy margins'!$T$46,""),'Energy margins'!$V$46)=0,'Energy margins'!$S$46,0))</f>
        <v>0</v>
      </c>
      <c r="M68" s="913">
        <f>IF(ISERROR(IF(MOD(IF(AND(B68&gt;='Energy margins'!$T$47,B68&lt;='Energy margins'!$U$47),B68-'Energy margins'!$T$47,""),'Energy margins'!$V$47)=0,'Energy margins'!$S$47,0)),0,IF(MOD(IF(AND(B68&gt;='Energy margins'!$T$47,B68&lt;='Energy margins'!$U$47),B68-'Energy margins'!$T$47,""),'Energy margins'!$V$47)=0,'Energy margins'!$S$47,0))</f>
        <v>327</v>
      </c>
      <c r="N68" s="913">
        <f>IF(ISERROR(IF(MOD(IF(AND(B68&gt;='Energy margins'!$T$50,B68&lt;='Energy margins'!$U$50),B68-'Energy margins'!$T$50,""),'Energy margins'!$V$50)=0,'Energy margins'!$S$50,0)),0,IF(MOD(IF(AND(B68&gt;='Energy margins'!$T$50,B68&lt;='Energy margins'!$U$50),B68-'Energy margins'!$T$50,""),'Energy margins'!$V$50)=0,'Energy margins'!$S$50,0))</f>
        <v>344</v>
      </c>
      <c r="O68" s="913">
        <f>IF(ISERROR(IF(MOD(IF(AND(B68&gt;='Energy margins'!$T$53,B68&lt;='Energy margins'!$U$53),B68-'Energy margins'!$T$53,""),'Energy margins'!$V$53)=0,'Energy margins'!$S$53,0)),0,IF(MOD(IF(AND(B68&gt;='Energy margins'!$T$53,B68&lt;='Energy margins'!$U$53),B68-'Energy margins'!$T$53,""),'Energy margins'!$V$53)=0,'Energy margins'!$S$53,0))</f>
        <v>357.59999999999997</v>
      </c>
      <c r="P68" s="913">
        <f>IF(ISERROR(IF(MOD(IF(AND(B68&gt;='Energy margins'!$T$56,B68&lt;='Energy margins'!$U$56),B68-'Energy margins'!$T$56,""),'Energy margins'!$V$56)=0,'Energy margins'!$S$56,0)),0,IF(MOD(IF(AND(B68&gt;='Energy margins'!$T$56,B68&lt;='Energy margins'!$U$56),B68-'Energy margins'!$T$56,""),'Energy margins'!$V$56)=0,'Energy margins'!$S$56,0))</f>
        <v>321.60000000000002</v>
      </c>
      <c r="Q68" s="913">
        <f>IF(ISERROR(IF(MOD(IF(AND(B68&gt;='Energy margins'!$T$59,B68&lt;='Energy margins'!$U$59),B68-'Energy margins'!$T$59,""),'Energy margins'!$V$59)=0,'Energy margins'!$S$59,0)),0,IF(MOD(IF(AND(B68&gt;='Energy margins'!$T$59,B68&lt;='Energy margins'!$U$59),B68-'Energy margins'!$T$59,""),'Energy margins'!$V$59)=0,'Energy margins'!$S$59,0))</f>
        <v>490.00000000000006</v>
      </c>
      <c r="R68" s="913">
        <f>IF(ISERROR(IF(MOD(IF(AND(B68&gt;='Energy margins'!$T$60,B68&lt;='Energy margins'!$U$60),B68-'Energy margins'!$T$60,""),'Energy margins'!$V$60)=0,'Energy margins'!$S$60,0)),0,IF(MOD(IF(AND(B68&gt;='Energy margins'!$T$60,B68&lt;='Energy margins'!$U$60),B68-'Energy margins'!$T$60,""),'Energy margins'!$V$60)=0,'Energy margins'!$S$60,0))</f>
        <v>0</v>
      </c>
      <c r="S68" s="913">
        <f>IF(ISERROR(IF(MOD(IF(AND(B68&gt;='Energy margins'!$T$61,B68&lt;='Energy margins'!$U$61),B68-'Energy margins'!$T$61,""),'Energy margins'!$V$61)=0,'Energy margins'!$S$61,0)),0,IF(MOD(IF(AND(B68&gt;='Energy margins'!$T$61,B68&lt;='Energy margins'!$U$61),B68-'Energy margins'!$T$61,""),'Energy margins'!$V$61)=0,'Energy margins'!$S$61,0))</f>
        <v>0</v>
      </c>
      <c r="T68" s="913">
        <f>IF(ISERROR(IF(MOD(IF(AND(B68&gt;='Energy margins'!$T$62,B68&lt;='Energy margins'!$U$62),B68-'Energy margins'!$T$62,""),'Energy margins'!$V$62)=0,'Energy margins'!$S$62,0)),0,IF(MOD(IF(AND(B68&gt;='Energy margins'!$T$62,B68&lt;='Energy margins'!$U$62),B68-'Energy margins'!$T$62,""),'Energy margins'!$V$62)=0,'Energy margins'!$S$62,0))</f>
        <v>0</v>
      </c>
      <c r="U68" s="939">
        <f t="shared" si="36"/>
        <v>1840.1999999999998</v>
      </c>
      <c r="V68" s="197"/>
      <c r="W68" s="197">
        <f t="shared" si="37"/>
        <v>1840.1999999999998</v>
      </c>
      <c r="X68" s="197">
        <f t="shared" si="31"/>
        <v>1290.5815000000002</v>
      </c>
      <c r="Y68" s="197">
        <f t="shared" si="32"/>
        <v>1762.2215000000001</v>
      </c>
      <c r="Z68" s="968">
        <f t="shared" si="38"/>
        <v>2783.2533532942648</v>
      </c>
      <c r="AA68" s="969">
        <f t="shared" si="39"/>
        <v>419.28624260355025</v>
      </c>
      <c r="AB68" s="969">
        <f t="shared" si="40"/>
        <v>1635.9310992262174</v>
      </c>
      <c r="AC68" s="969">
        <f t="shared" si="41"/>
        <v>1147.3222540680474</v>
      </c>
      <c r="AD68" s="969">
        <f t="shared" si="42"/>
        <v>1566.6084966715975</v>
      </c>
      <c r="AE68" s="968">
        <f t="shared" si="47"/>
        <v>8200.44787005955</v>
      </c>
      <c r="AF68" s="969">
        <f t="shared" si="43"/>
        <v>1780.4839349112426</v>
      </c>
      <c r="AG68" s="969">
        <f t="shared" si="44"/>
        <v>34984.537608101964</v>
      </c>
      <c r="AH68" s="969">
        <f t="shared" si="45"/>
        <v>-26784.08973804241</v>
      </c>
      <c r="AI68" s="970">
        <f t="shared" si="46"/>
        <v>-25003.605803131166</v>
      </c>
    </row>
    <row r="69" spans="2:35" x14ac:dyDescent="0.3">
      <c r="B69" s="895">
        <v>5</v>
      </c>
      <c r="C69" s="917">
        <f>'Energy Inputs'!F34</f>
        <v>1</v>
      </c>
      <c r="D69" s="913">
        <f>C69*'Energy Inputs'!$F$24</f>
        <v>11.617000000000001</v>
      </c>
      <c r="E69" s="197">
        <f>'Energy margins'!$S$12</f>
        <v>269.5</v>
      </c>
      <c r="F69" s="197">
        <f t="shared" si="34"/>
        <v>3130.7815000000001</v>
      </c>
      <c r="G69" s="913">
        <f>'Energy Inputs'!$D$10</f>
        <v>471.64</v>
      </c>
      <c r="H69" s="197">
        <f t="shared" si="35"/>
        <v>3602.4214999999999</v>
      </c>
      <c r="I69" s="197"/>
      <c r="J69" s="942">
        <f>IF(ISERROR(IF(MOD(IF(AND(B69&gt;='Energy margins'!$T$44,B69&lt;='Energy margins'!$U$44),B69-'Energy margins'!$T$44,""),'Energy margins'!$V$44)=0,'Energy margins'!$S$44,0)),0,IF(MOD(IF(AND(B69&gt;='Energy margins'!$T$44,B69&lt;='Energy margins'!$U$44),B69-'Energy margins'!$T$44,""),'Energy margins'!$V$44)=0,'Energy margins'!$S$44,0))</f>
        <v>0</v>
      </c>
      <c r="K69" s="913">
        <f>IF(ISERROR(IF(MOD(IF(AND(B69&gt;='Energy margins'!$T$45,B69&lt;='Energy margins'!$U$45),B69-'Energy margins'!$T$45,""),'Energy margins'!$V$45)=0,'Energy margins'!$S$45,0)),0,IF(MOD(IF(AND(B69&gt;='Energy margins'!$T$45,B69&lt;='Energy margins'!$U$45),B69-'Energy margins'!$T$45,""),'Energy margins'!$V$45)=0,'Energy margins'!$S$45,0))</f>
        <v>0</v>
      </c>
      <c r="L69" s="913">
        <f>IF(ISERROR(IF(MOD(IF(AND(B69&gt;='Energy margins'!$T$46,B69&lt;='Energy margins'!$U$46),B69-'Energy margins'!$T$46,""),'Energy margins'!$V$46)=0,'Energy margins'!$S$46,0)),0,IF(MOD(IF(AND(B69&gt;='Energy margins'!$T$46,B69&lt;='Energy margins'!$U$46),B69-'Energy margins'!$T$46,""),'Energy margins'!$V$46)=0,'Energy margins'!$S$46,0))</f>
        <v>0</v>
      </c>
      <c r="M69" s="913">
        <f>IF(ISERROR(IF(MOD(IF(AND(B69&gt;='Energy margins'!$T$47,B69&lt;='Energy margins'!$U$47),B69-'Energy margins'!$T$47,""),'Energy margins'!$V$47)=0,'Energy margins'!$S$47,0)),0,IF(MOD(IF(AND(B69&gt;='Energy margins'!$T$47,B69&lt;='Energy margins'!$U$47),B69-'Energy margins'!$T$47,""),'Energy margins'!$V$47)=0,'Energy margins'!$S$47,0))</f>
        <v>327</v>
      </c>
      <c r="N69" s="913">
        <f>IF(ISERROR(IF(MOD(IF(AND(B69&gt;='Energy margins'!$T$50,B69&lt;='Energy margins'!$U$50),B69-'Energy margins'!$T$50,""),'Energy margins'!$V$50)=0,'Energy margins'!$S$50,0)),0,IF(MOD(IF(AND(B69&gt;='Energy margins'!$T$50,B69&lt;='Energy margins'!$U$50),B69-'Energy margins'!$T$50,""),'Energy margins'!$V$50)=0,'Energy margins'!$S$50,0))</f>
        <v>344</v>
      </c>
      <c r="O69" s="913">
        <f>IF(ISERROR(IF(MOD(IF(AND(B69&gt;='Energy margins'!$T$53,B69&lt;='Energy margins'!$U$53),B69-'Energy margins'!$T$53,""),'Energy margins'!$V$53)=0,'Energy margins'!$S$53,0)),0,IF(MOD(IF(AND(B69&gt;='Energy margins'!$T$53,B69&lt;='Energy margins'!$U$53),B69-'Energy margins'!$T$53,""),'Energy margins'!$V$53)=0,'Energy margins'!$S$53,0))</f>
        <v>357.59999999999997</v>
      </c>
      <c r="P69" s="913">
        <f>IF(ISERROR(IF(MOD(IF(AND(B69&gt;='Energy margins'!$T$56,B69&lt;='Energy margins'!$U$56),B69-'Energy margins'!$T$56,""),'Energy margins'!$V$56)=0,'Energy margins'!$S$56,0)),0,IF(MOD(IF(AND(B69&gt;='Energy margins'!$T$56,B69&lt;='Energy margins'!$U$56),B69-'Energy margins'!$T$56,""),'Energy margins'!$V$56)=0,'Energy margins'!$S$56,0))</f>
        <v>321.60000000000002</v>
      </c>
      <c r="Q69" s="913">
        <f>IF(ISERROR(IF(MOD(IF(AND(B69&gt;='Energy margins'!$T$59,B69&lt;='Energy margins'!$U$59),B69-'Energy margins'!$T$59,""),'Energy margins'!$V$59)=0,'Energy margins'!$S$59,0)),0,IF(MOD(IF(AND(B69&gt;='Energy margins'!$T$59,B69&lt;='Energy margins'!$U$59),B69-'Energy margins'!$T$59,""),'Energy margins'!$V$59)=0,'Energy margins'!$S$59,0))</f>
        <v>490.00000000000006</v>
      </c>
      <c r="R69" s="913">
        <f>IF(ISERROR(IF(MOD(IF(AND(B69&gt;='Energy margins'!$T$60,B69&lt;='Energy margins'!$U$60),B69-'Energy margins'!$T$60,""),'Energy margins'!$V$60)=0,'Energy margins'!$S$60,0)),0,IF(MOD(IF(AND(B69&gt;='Energy margins'!$T$60,B69&lt;='Energy margins'!$U$60),B69-'Energy margins'!$T$60,""),'Energy margins'!$V$60)=0,'Energy margins'!$S$60,0))</f>
        <v>0</v>
      </c>
      <c r="S69" s="913">
        <f>IF(ISERROR(IF(MOD(IF(AND(B69&gt;='Energy margins'!$T$61,B69&lt;='Energy margins'!$U$61),B69-'Energy margins'!$T$61,""),'Energy margins'!$V$61)=0,'Energy margins'!$S$61,0)),0,IF(MOD(IF(AND(B69&gt;='Energy margins'!$T$61,B69&lt;='Energy margins'!$U$61),B69-'Energy margins'!$T$61,""),'Energy margins'!$V$61)=0,'Energy margins'!$S$61,0))</f>
        <v>0</v>
      </c>
      <c r="T69" s="913">
        <f>IF(ISERROR(IF(MOD(IF(AND(B69&gt;='Energy margins'!$T$62,B69&lt;='Energy margins'!$U$62),B69-'Energy margins'!$T$62,""),'Energy margins'!$V$62)=0,'Energy margins'!$S$62,0)),0,IF(MOD(IF(AND(B69&gt;='Energy margins'!$T$62,B69&lt;='Energy margins'!$U$62),B69-'Energy margins'!$T$62,""),'Energy margins'!$V$62)=0,'Energy margins'!$S$62,0))</f>
        <v>0</v>
      </c>
      <c r="U69" s="939">
        <f t="shared" si="36"/>
        <v>1840.1999999999998</v>
      </c>
      <c r="V69" s="197"/>
      <c r="W69" s="197">
        <f t="shared" si="37"/>
        <v>1840.1999999999998</v>
      </c>
      <c r="X69" s="197">
        <f t="shared" si="31"/>
        <v>1290.5815000000002</v>
      </c>
      <c r="Y69" s="197">
        <f t="shared" si="32"/>
        <v>1762.2215000000001</v>
      </c>
      <c r="Z69" s="968">
        <f t="shared" si="38"/>
        <v>2676.2051473983311</v>
      </c>
      <c r="AA69" s="969">
        <f t="shared" si="39"/>
        <v>403.15984865725983</v>
      </c>
      <c r="AB69" s="969">
        <f t="shared" si="40"/>
        <v>1573.0106723329011</v>
      </c>
      <c r="AC69" s="969">
        <f t="shared" si="41"/>
        <v>1103.1944750654302</v>
      </c>
      <c r="AD69" s="969">
        <f t="shared" si="42"/>
        <v>1506.3543237226897</v>
      </c>
      <c r="AE69" s="968">
        <f t="shared" si="47"/>
        <v>10876.65301745788</v>
      </c>
      <c r="AF69" s="969">
        <f t="shared" si="43"/>
        <v>2183.6437835685024</v>
      </c>
      <c r="AG69" s="969">
        <f t="shared" si="44"/>
        <v>36557.548280434865</v>
      </c>
      <c r="AH69" s="969">
        <f t="shared" si="45"/>
        <v>-25680.895262976981</v>
      </c>
      <c r="AI69" s="970">
        <f t="shared" si="46"/>
        <v>-23497.251479408475</v>
      </c>
    </row>
    <row r="70" spans="2:35" x14ac:dyDescent="0.3">
      <c r="B70" s="895">
        <v>6</v>
      </c>
      <c r="C70" s="917">
        <f>'Energy Inputs'!F35</f>
        <v>1</v>
      </c>
      <c r="D70" s="913">
        <f>C70*'Energy Inputs'!$F$24</f>
        <v>11.617000000000001</v>
      </c>
      <c r="E70" s="197">
        <f>'Energy margins'!$S$12</f>
        <v>269.5</v>
      </c>
      <c r="F70" s="197">
        <f t="shared" si="34"/>
        <v>3130.7815000000001</v>
      </c>
      <c r="G70" s="913">
        <f>'Energy Inputs'!$D$10</f>
        <v>471.64</v>
      </c>
      <c r="H70" s="197">
        <f t="shared" si="35"/>
        <v>3602.4214999999999</v>
      </c>
      <c r="I70" s="197"/>
      <c r="J70" s="942">
        <f>IF(ISERROR(IF(MOD(IF(AND(B70&gt;='Energy margins'!$T$44,B70&lt;='Energy margins'!$U$44),B70-'Energy margins'!$T$44,""),'Energy margins'!$V$44)=0,'Energy margins'!$S$44,0)),0,IF(MOD(IF(AND(B70&gt;='Energy margins'!$T$44,B70&lt;='Energy margins'!$U$44),B70-'Energy margins'!$T$44,""),'Energy margins'!$V$44)=0,'Energy margins'!$S$44,0))</f>
        <v>0</v>
      </c>
      <c r="K70" s="913">
        <f>IF(ISERROR(IF(MOD(IF(AND(B70&gt;='Energy margins'!$T$45,B70&lt;='Energy margins'!$U$45),B70-'Energy margins'!$T$45,""),'Energy margins'!$V$45)=0,'Energy margins'!$S$45,0)),0,IF(MOD(IF(AND(B70&gt;='Energy margins'!$T$45,B70&lt;='Energy margins'!$U$45),B70-'Energy margins'!$T$45,""),'Energy margins'!$V$45)=0,'Energy margins'!$S$45,0))</f>
        <v>0</v>
      </c>
      <c r="L70" s="913">
        <f>IF(ISERROR(IF(MOD(IF(AND(B70&gt;='Energy margins'!$T$46,B70&lt;='Energy margins'!$U$46),B70-'Energy margins'!$T$46,""),'Energy margins'!$V$46)=0,'Energy margins'!$S$46,0)),0,IF(MOD(IF(AND(B70&gt;='Energy margins'!$T$46,B70&lt;='Energy margins'!$U$46),B70-'Energy margins'!$T$46,""),'Energy margins'!$V$46)=0,'Energy margins'!$S$46,0))</f>
        <v>0</v>
      </c>
      <c r="M70" s="913">
        <f>IF(ISERROR(IF(MOD(IF(AND(B70&gt;='Energy margins'!$T$47,B70&lt;='Energy margins'!$U$47),B70-'Energy margins'!$T$47,""),'Energy margins'!$V$47)=0,'Energy margins'!$S$47,0)),0,IF(MOD(IF(AND(B70&gt;='Energy margins'!$T$47,B70&lt;='Energy margins'!$U$47),B70-'Energy margins'!$T$47,""),'Energy margins'!$V$47)=0,'Energy margins'!$S$47,0))</f>
        <v>327</v>
      </c>
      <c r="N70" s="913">
        <f>IF(ISERROR(IF(MOD(IF(AND(B70&gt;='Energy margins'!$T$50,B70&lt;='Energy margins'!$U$50),B70-'Energy margins'!$T$50,""),'Energy margins'!$V$50)=0,'Energy margins'!$S$50,0)),0,IF(MOD(IF(AND(B70&gt;='Energy margins'!$T$50,B70&lt;='Energy margins'!$U$50),B70-'Energy margins'!$T$50,""),'Energy margins'!$V$50)=0,'Energy margins'!$S$50,0))</f>
        <v>344</v>
      </c>
      <c r="O70" s="913">
        <f>IF(ISERROR(IF(MOD(IF(AND(B70&gt;='Energy margins'!$T$53,B70&lt;='Energy margins'!$U$53),B70-'Energy margins'!$T$53,""),'Energy margins'!$V$53)=0,'Energy margins'!$S$53,0)),0,IF(MOD(IF(AND(B70&gt;='Energy margins'!$T$53,B70&lt;='Energy margins'!$U$53),B70-'Energy margins'!$T$53,""),'Energy margins'!$V$53)=0,'Energy margins'!$S$53,0))</f>
        <v>357.59999999999997</v>
      </c>
      <c r="P70" s="913">
        <f>IF(ISERROR(IF(MOD(IF(AND(B70&gt;='Energy margins'!$T$56,B70&lt;='Energy margins'!$U$56),B70-'Energy margins'!$T$56,""),'Energy margins'!$V$56)=0,'Energy margins'!$S$56,0)),0,IF(MOD(IF(AND(B70&gt;='Energy margins'!$T$56,B70&lt;='Energy margins'!$U$56),B70-'Energy margins'!$T$56,""),'Energy margins'!$V$56)=0,'Energy margins'!$S$56,0))</f>
        <v>321.60000000000002</v>
      </c>
      <c r="Q70" s="913">
        <f>IF(ISERROR(IF(MOD(IF(AND(B70&gt;='Energy margins'!$T$59,B70&lt;='Energy margins'!$U$59),B70-'Energy margins'!$T$59,""),'Energy margins'!$V$59)=0,'Energy margins'!$S$59,0)),0,IF(MOD(IF(AND(B70&gt;='Energy margins'!$T$59,B70&lt;='Energy margins'!$U$59),B70-'Energy margins'!$T$59,""),'Energy margins'!$V$59)=0,'Energy margins'!$S$59,0))</f>
        <v>490.00000000000006</v>
      </c>
      <c r="R70" s="913">
        <f>IF(ISERROR(IF(MOD(IF(AND(B70&gt;='Energy margins'!$T$60,B70&lt;='Energy margins'!$U$60),B70-'Energy margins'!$T$60,""),'Energy margins'!$V$60)=0,'Energy margins'!$S$60,0)),0,IF(MOD(IF(AND(B70&gt;='Energy margins'!$T$60,B70&lt;='Energy margins'!$U$60),B70-'Energy margins'!$T$60,""),'Energy margins'!$V$60)=0,'Energy margins'!$S$60,0))</f>
        <v>0</v>
      </c>
      <c r="S70" s="913">
        <f>IF(ISERROR(IF(MOD(IF(AND(B70&gt;='Energy margins'!$T$61,B70&lt;='Energy margins'!$U$61),B70-'Energy margins'!$T$61,""),'Energy margins'!$V$61)=0,'Energy margins'!$S$61,0)),0,IF(MOD(IF(AND(B70&gt;='Energy margins'!$T$61,B70&lt;='Energy margins'!$U$61),B70-'Energy margins'!$T$61,""),'Energy margins'!$V$61)=0,'Energy margins'!$S$61,0))</f>
        <v>0</v>
      </c>
      <c r="T70" s="913">
        <f>IF(ISERROR(IF(MOD(IF(AND(B70&gt;='Energy margins'!$T$62,B70&lt;='Energy margins'!$U$62),B70-'Energy margins'!$T$62,""),'Energy margins'!$V$62)=0,'Energy margins'!$S$62,0)),0,IF(MOD(IF(AND(B70&gt;='Energy margins'!$T$62,B70&lt;='Energy margins'!$U$62),B70-'Energy margins'!$T$62,""),'Energy margins'!$V$62)=0,'Energy margins'!$S$62,0))</f>
        <v>0</v>
      </c>
      <c r="U70" s="939">
        <f t="shared" si="36"/>
        <v>1840.1999999999998</v>
      </c>
      <c r="V70" s="197"/>
      <c r="W70" s="197">
        <f t="shared" si="37"/>
        <v>1840.1999999999998</v>
      </c>
      <c r="X70" s="197">
        <f t="shared" si="31"/>
        <v>1290.5815000000002</v>
      </c>
      <c r="Y70" s="197">
        <f t="shared" si="32"/>
        <v>1762.2215000000001</v>
      </c>
      <c r="Z70" s="968">
        <f t="shared" si="38"/>
        <v>2573.2741801907027</v>
      </c>
      <c r="AA70" s="969">
        <f t="shared" si="39"/>
        <v>387.65370063198054</v>
      </c>
      <c r="AB70" s="969">
        <f t="shared" si="40"/>
        <v>1512.5102618585586</v>
      </c>
      <c r="AC70" s="969">
        <f t="shared" si="41"/>
        <v>1060.7639183321442</v>
      </c>
      <c r="AD70" s="969">
        <f t="shared" si="42"/>
        <v>1448.4176189641248</v>
      </c>
      <c r="AE70" s="968">
        <f t="shared" si="47"/>
        <v>13449.927197648583</v>
      </c>
      <c r="AF70" s="969">
        <f t="shared" si="43"/>
        <v>2571.2974842004828</v>
      </c>
      <c r="AG70" s="969">
        <f t="shared" si="44"/>
        <v>38070.058542293424</v>
      </c>
      <c r="AH70" s="969">
        <f t="shared" si="45"/>
        <v>-24620.131344644837</v>
      </c>
      <c r="AI70" s="970">
        <f t="shared" si="46"/>
        <v>-22048.833860444349</v>
      </c>
    </row>
    <row r="71" spans="2:35" x14ac:dyDescent="0.3">
      <c r="B71" s="895">
        <v>7</v>
      </c>
      <c r="C71" s="917">
        <f>'Energy Inputs'!F36</f>
        <v>1</v>
      </c>
      <c r="D71" s="913">
        <f>C71*'Energy Inputs'!$F$24</f>
        <v>11.617000000000001</v>
      </c>
      <c r="E71" s="197">
        <f>'Energy margins'!$S$12</f>
        <v>269.5</v>
      </c>
      <c r="F71" s="197">
        <f t="shared" si="34"/>
        <v>3130.7815000000001</v>
      </c>
      <c r="G71" s="913">
        <f>'Energy Inputs'!$D$10</f>
        <v>471.64</v>
      </c>
      <c r="H71" s="197">
        <f t="shared" si="35"/>
        <v>3602.4214999999999</v>
      </c>
      <c r="I71" s="197"/>
      <c r="J71" s="942">
        <f>IF(ISERROR(IF(MOD(IF(AND(B71&gt;='Energy margins'!$T$44,B71&lt;='Energy margins'!$U$44),B71-'Energy margins'!$T$44,""),'Energy margins'!$V$44)=0,'Energy margins'!$S$44,0)),0,IF(MOD(IF(AND(B71&gt;='Energy margins'!$T$44,B71&lt;='Energy margins'!$U$44),B71-'Energy margins'!$T$44,""),'Energy margins'!$V$44)=0,'Energy margins'!$S$44,0))</f>
        <v>0</v>
      </c>
      <c r="K71" s="913">
        <f>IF(ISERROR(IF(MOD(IF(AND(B71&gt;='Energy margins'!$T$45,B71&lt;='Energy margins'!$U$45),B71-'Energy margins'!$T$45,""),'Energy margins'!$V$45)=0,'Energy margins'!$S$45,0)),0,IF(MOD(IF(AND(B71&gt;='Energy margins'!$T$45,B71&lt;='Energy margins'!$U$45),B71-'Energy margins'!$T$45,""),'Energy margins'!$V$45)=0,'Energy margins'!$S$45,0))</f>
        <v>0</v>
      </c>
      <c r="L71" s="913">
        <f>IF(ISERROR(IF(MOD(IF(AND(B71&gt;='Energy margins'!$T$46,B71&lt;='Energy margins'!$U$46),B71-'Energy margins'!$T$46,""),'Energy margins'!$V$46)=0,'Energy margins'!$S$46,0)),0,IF(MOD(IF(AND(B71&gt;='Energy margins'!$T$46,B71&lt;='Energy margins'!$U$46),B71-'Energy margins'!$T$46,""),'Energy margins'!$V$46)=0,'Energy margins'!$S$46,0))</f>
        <v>0</v>
      </c>
      <c r="M71" s="913">
        <f>IF(ISERROR(IF(MOD(IF(AND(B71&gt;='Energy margins'!$T$47,B71&lt;='Energy margins'!$U$47),B71-'Energy margins'!$T$47,""),'Energy margins'!$V$47)=0,'Energy margins'!$S$47,0)),0,IF(MOD(IF(AND(B71&gt;='Energy margins'!$T$47,B71&lt;='Energy margins'!$U$47),B71-'Energy margins'!$T$47,""),'Energy margins'!$V$47)=0,'Energy margins'!$S$47,0))</f>
        <v>327</v>
      </c>
      <c r="N71" s="913">
        <f>IF(ISERROR(IF(MOD(IF(AND(B71&gt;='Energy margins'!$T$50,B71&lt;='Energy margins'!$U$50),B71-'Energy margins'!$T$50,""),'Energy margins'!$V$50)=0,'Energy margins'!$S$50,0)),0,IF(MOD(IF(AND(B71&gt;='Energy margins'!$T$50,B71&lt;='Energy margins'!$U$50),B71-'Energy margins'!$T$50,""),'Energy margins'!$V$50)=0,'Energy margins'!$S$50,0))</f>
        <v>344</v>
      </c>
      <c r="O71" s="913">
        <f>IF(ISERROR(IF(MOD(IF(AND(B71&gt;='Energy margins'!$T$53,B71&lt;='Energy margins'!$U$53),B71-'Energy margins'!$T$53,""),'Energy margins'!$V$53)=0,'Energy margins'!$S$53,0)),0,IF(MOD(IF(AND(B71&gt;='Energy margins'!$T$53,B71&lt;='Energy margins'!$U$53),B71-'Energy margins'!$T$53,""),'Energy margins'!$V$53)=0,'Energy margins'!$S$53,0))</f>
        <v>357.59999999999997</v>
      </c>
      <c r="P71" s="913">
        <f>IF(ISERROR(IF(MOD(IF(AND(B71&gt;='Energy margins'!$T$56,B71&lt;='Energy margins'!$U$56),B71-'Energy margins'!$T$56,""),'Energy margins'!$V$56)=0,'Energy margins'!$S$56,0)),0,IF(MOD(IF(AND(B71&gt;='Energy margins'!$T$56,B71&lt;='Energy margins'!$U$56),B71-'Energy margins'!$T$56,""),'Energy margins'!$V$56)=0,'Energy margins'!$S$56,0))</f>
        <v>321.60000000000002</v>
      </c>
      <c r="Q71" s="913">
        <f>IF(ISERROR(IF(MOD(IF(AND(B71&gt;='Energy margins'!$T$59,B71&lt;='Energy margins'!$U$59),B71-'Energy margins'!$T$59,""),'Energy margins'!$V$59)=0,'Energy margins'!$S$59,0)),0,IF(MOD(IF(AND(B71&gt;='Energy margins'!$T$59,B71&lt;='Energy margins'!$U$59),B71-'Energy margins'!$T$59,""),'Energy margins'!$V$59)=0,'Energy margins'!$S$59,0))</f>
        <v>490.00000000000006</v>
      </c>
      <c r="R71" s="913">
        <f>IF(ISERROR(IF(MOD(IF(AND(B71&gt;='Energy margins'!$T$60,B71&lt;='Energy margins'!$U$60),B71-'Energy margins'!$T$60,""),'Energy margins'!$V$60)=0,'Energy margins'!$S$60,0)),0,IF(MOD(IF(AND(B71&gt;='Energy margins'!$T$60,B71&lt;='Energy margins'!$U$60),B71-'Energy margins'!$T$60,""),'Energy margins'!$V$60)=0,'Energy margins'!$S$60,0))</f>
        <v>0</v>
      </c>
      <c r="S71" s="913">
        <f>IF(ISERROR(IF(MOD(IF(AND(B71&gt;='Energy margins'!$T$61,B71&lt;='Energy margins'!$U$61),B71-'Energy margins'!$T$61,""),'Energy margins'!$V$61)=0,'Energy margins'!$S$61,0)),0,IF(MOD(IF(AND(B71&gt;='Energy margins'!$T$61,B71&lt;='Energy margins'!$U$61),B71-'Energy margins'!$T$61,""),'Energy margins'!$V$61)=0,'Energy margins'!$S$61,0))</f>
        <v>0</v>
      </c>
      <c r="T71" s="913">
        <f>IF(ISERROR(IF(MOD(IF(AND(B71&gt;='Energy margins'!$T$62,B71&lt;='Energy margins'!$U$62),B71-'Energy margins'!$T$62,""),'Energy margins'!$V$62)=0,'Energy margins'!$S$62,0)),0,IF(MOD(IF(AND(B71&gt;='Energy margins'!$T$62,B71&lt;='Energy margins'!$U$62),B71-'Energy margins'!$T$62,""),'Energy margins'!$V$62)=0,'Energy margins'!$S$62,0))</f>
        <v>0</v>
      </c>
      <c r="U71" s="939">
        <f t="shared" si="36"/>
        <v>1840.1999999999998</v>
      </c>
      <c r="V71" s="197"/>
      <c r="W71" s="197">
        <f t="shared" si="37"/>
        <v>1840.1999999999998</v>
      </c>
      <c r="X71" s="197">
        <f t="shared" si="31"/>
        <v>1290.5815000000002</v>
      </c>
      <c r="Y71" s="197">
        <f t="shared" si="32"/>
        <v>1762.2215000000001</v>
      </c>
      <c r="Z71" s="968">
        <f t="shared" si="38"/>
        <v>2474.3020963372142</v>
      </c>
      <c r="AA71" s="969">
        <f t="shared" si="39"/>
        <v>372.74394291536589</v>
      </c>
      <c r="AB71" s="969">
        <f t="shared" si="40"/>
        <v>1454.3367902486141</v>
      </c>
      <c r="AC71" s="969">
        <f t="shared" si="41"/>
        <v>1019.9653060886002</v>
      </c>
      <c r="AD71" s="969">
        <f t="shared" si="42"/>
        <v>1392.7092490039661</v>
      </c>
      <c r="AE71" s="968">
        <f t="shared" si="47"/>
        <v>15924.229293985798</v>
      </c>
      <c r="AF71" s="969">
        <f t="shared" si="43"/>
        <v>2944.0414271158488</v>
      </c>
      <c r="AG71" s="969">
        <f t="shared" si="44"/>
        <v>39524.395332542037</v>
      </c>
      <c r="AH71" s="969">
        <f t="shared" si="45"/>
        <v>-23600.166038556235</v>
      </c>
      <c r="AI71" s="970">
        <f t="shared" si="46"/>
        <v>-20656.124611440384</v>
      </c>
    </row>
    <row r="72" spans="2:35" x14ac:dyDescent="0.3">
      <c r="B72" s="895">
        <v>8</v>
      </c>
      <c r="C72" s="917">
        <f>'Energy Inputs'!F37</f>
        <v>1</v>
      </c>
      <c r="D72" s="913">
        <f>C72*'Energy Inputs'!$F$24</f>
        <v>11.617000000000001</v>
      </c>
      <c r="E72" s="197">
        <f>'Energy margins'!$S$12</f>
        <v>269.5</v>
      </c>
      <c r="F72" s="197">
        <f t="shared" si="34"/>
        <v>3130.7815000000001</v>
      </c>
      <c r="G72" s="913">
        <f>'Energy Inputs'!$D$10</f>
        <v>471.64</v>
      </c>
      <c r="H72" s="197">
        <f t="shared" si="35"/>
        <v>3602.4214999999999</v>
      </c>
      <c r="I72" s="197"/>
      <c r="J72" s="942">
        <f>IF(ISERROR(IF(MOD(IF(AND(B72&gt;='Energy margins'!$T$44,B72&lt;='Energy margins'!$U$44),B72-'Energy margins'!$T$44,""),'Energy margins'!$V$44)=0,'Energy margins'!$S$44,0)),0,IF(MOD(IF(AND(B72&gt;='Energy margins'!$T$44,B72&lt;='Energy margins'!$U$44),B72-'Energy margins'!$T$44,""),'Energy margins'!$V$44)=0,'Energy margins'!$S$44,0))</f>
        <v>0</v>
      </c>
      <c r="K72" s="913">
        <f>IF(ISERROR(IF(MOD(IF(AND(B72&gt;='Energy margins'!$T$45,B72&lt;='Energy margins'!$U$45),B72-'Energy margins'!$T$45,""),'Energy margins'!$V$45)=0,'Energy margins'!$S$45,0)),0,IF(MOD(IF(AND(B72&gt;='Energy margins'!$T$45,B72&lt;='Energy margins'!$U$45),B72-'Energy margins'!$T$45,""),'Energy margins'!$V$45)=0,'Energy margins'!$S$45,0))</f>
        <v>0</v>
      </c>
      <c r="L72" s="913">
        <f>IF(ISERROR(IF(MOD(IF(AND(B72&gt;='Energy margins'!$T$46,B72&lt;='Energy margins'!$U$46),B72-'Energy margins'!$T$46,""),'Energy margins'!$V$46)=0,'Energy margins'!$S$46,0)),0,IF(MOD(IF(AND(B72&gt;='Energy margins'!$T$46,B72&lt;='Energy margins'!$U$46),B72-'Energy margins'!$T$46,""),'Energy margins'!$V$46)=0,'Energy margins'!$S$46,0))</f>
        <v>0</v>
      </c>
      <c r="M72" s="913">
        <f>IF(ISERROR(IF(MOD(IF(AND(B72&gt;='Energy margins'!$T$47,B72&lt;='Energy margins'!$U$47),B72-'Energy margins'!$T$47,""),'Energy margins'!$V$47)=0,'Energy margins'!$S$47,0)),0,IF(MOD(IF(AND(B72&gt;='Energy margins'!$T$47,B72&lt;='Energy margins'!$U$47),B72-'Energy margins'!$T$47,""),'Energy margins'!$V$47)=0,'Energy margins'!$S$47,0))</f>
        <v>327</v>
      </c>
      <c r="N72" s="913">
        <f>IF(ISERROR(IF(MOD(IF(AND(B72&gt;='Energy margins'!$T$50,B72&lt;='Energy margins'!$U$50),B72-'Energy margins'!$T$50,""),'Energy margins'!$V$50)=0,'Energy margins'!$S$50,0)),0,IF(MOD(IF(AND(B72&gt;='Energy margins'!$T$50,B72&lt;='Energy margins'!$U$50),B72-'Energy margins'!$T$50,""),'Energy margins'!$V$50)=0,'Energy margins'!$S$50,0))</f>
        <v>344</v>
      </c>
      <c r="O72" s="913">
        <f>IF(ISERROR(IF(MOD(IF(AND(B72&gt;='Energy margins'!$T$53,B72&lt;='Energy margins'!$U$53),B72-'Energy margins'!$T$53,""),'Energy margins'!$V$53)=0,'Energy margins'!$S$53,0)),0,IF(MOD(IF(AND(B72&gt;='Energy margins'!$T$53,B72&lt;='Energy margins'!$U$53),B72-'Energy margins'!$T$53,""),'Energy margins'!$V$53)=0,'Energy margins'!$S$53,0))</f>
        <v>357.59999999999997</v>
      </c>
      <c r="P72" s="913">
        <f>IF(ISERROR(IF(MOD(IF(AND(B72&gt;='Energy margins'!$T$56,B72&lt;='Energy margins'!$U$56),B72-'Energy margins'!$T$56,""),'Energy margins'!$V$56)=0,'Energy margins'!$S$56,0)),0,IF(MOD(IF(AND(B72&gt;='Energy margins'!$T$56,B72&lt;='Energy margins'!$U$56),B72-'Energy margins'!$T$56,""),'Energy margins'!$V$56)=0,'Energy margins'!$S$56,0))</f>
        <v>321.60000000000002</v>
      </c>
      <c r="Q72" s="913">
        <f>IF(ISERROR(IF(MOD(IF(AND(B72&gt;='Energy margins'!$T$59,B72&lt;='Energy margins'!$U$59),B72-'Energy margins'!$T$59,""),'Energy margins'!$V$59)=0,'Energy margins'!$S$59,0)),0,IF(MOD(IF(AND(B72&gt;='Energy margins'!$T$59,B72&lt;='Energy margins'!$U$59),B72-'Energy margins'!$T$59,""),'Energy margins'!$V$59)=0,'Energy margins'!$S$59,0))</f>
        <v>490.00000000000006</v>
      </c>
      <c r="R72" s="913">
        <f>IF(ISERROR(IF(MOD(IF(AND(B72&gt;='Energy margins'!$T$60,B72&lt;='Energy margins'!$U$60),B72-'Energy margins'!$T$60,""),'Energy margins'!$V$60)=0,'Energy margins'!$S$60,0)),0,IF(MOD(IF(AND(B72&gt;='Energy margins'!$T$60,B72&lt;='Energy margins'!$U$60),B72-'Energy margins'!$T$60,""),'Energy margins'!$V$60)=0,'Energy margins'!$S$60,0))</f>
        <v>0</v>
      </c>
      <c r="S72" s="913">
        <f>IF(ISERROR(IF(MOD(IF(AND(B72&gt;='Energy margins'!$T$61,B72&lt;='Energy margins'!$U$61),B72-'Energy margins'!$T$61,""),'Energy margins'!$V$61)=0,'Energy margins'!$S$61,0)),0,IF(MOD(IF(AND(B72&gt;='Energy margins'!$T$61,B72&lt;='Energy margins'!$U$61),B72-'Energy margins'!$T$61,""),'Energy margins'!$V$61)=0,'Energy margins'!$S$61,0))</f>
        <v>0</v>
      </c>
      <c r="T72" s="913">
        <f>IF(ISERROR(IF(MOD(IF(AND(B72&gt;='Energy margins'!$T$62,B72&lt;='Energy margins'!$U$62),B72-'Energy margins'!$T$62,""),'Energy margins'!$V$62)=0,'Energy margins'!$S$62,0)),0,IF(MOD(IF(AND(B72&gt;='Energy margins'!$T$62,B72&lt;='Energy margins'!$U$62),B72-'Energy margins'!$T$62,""),'Energy margins'!$V$62)=0,'Energy margins'!$S$62,0))</f>
        <v>0</v>
      </c>
      <c r="U72" s="939">
        <f t="shared" si="36"/>
        <v>1840.1999999999998</v>
      </c>
      <c r="V72" s="197"/>
      <c r="W72" s="197">
        <f t="shared" si="37"/>
        <v>1840.1999999999998</v>
      </c>
      <c r="X72" s="197">
        <f t="shared" si="31"/>
        <v>1290.5815000000002</v>
      </c>
      <c r="Y72" s="197">
        <f t="shared" si="32"/>
        <v>1762.2215000000001</v>
      </c>
      <c r="Z72" s="968">
        <f t="shared" si="38"/>
        <v>2379.1366310934754</v>
      </c>
      <c r="AA72" s="969">
        <f t="shared" si="39"/>
        <v>358.40763741862111</v>
      </c>
      <c r="AB72" s="969">
        <f t="shared" si="40"/>
        <v>1398.4007598544367</v>
      </c>
      <c r="AC72" s="969">
        <f t="shared" si="41"/>
        <v>980.73587123903883</v>
      </c>
      <c r="AD72" s="969">
        <f t="shared" si="42"/>
        <v>1339.1435086576598</v>
      </c>
      <c r="AE72" s="968">
        <f t="shared" si="47"/>
        <v>18303.365925079273</v>
      </c>
      <c r="AF72" s="969">
        <f t="shared" si="43"/>
        <v>3302.4490645344699</v>
      </c>
      <c r="AG72" s="969">
        <f t="shared" si="44"/>
        <v>40922.796092396471</v>
      </c>
      <c r="AH72" s="969">
        <f t="shared" si="45"/>
        <v>-22619.430167317198</v>
      </c>
      <c r="AI72" s="970">
        <f t="shared" si="46"/>
        <v>-19316.981102782724</v>
      </c>
    </row>
    <row r="73" spans="2:35" x14ac:dyDescent="0.3">
      <c r="B73" s="895">
        <v>9</v>
      </c>
      <c r="C73" s="917">
        <f>'Energy Inputs'!F38</f>
        <v>1</v>
      </c>
      <c r="D73" s="913">
        <f>C73*'Energy Inputs'!$F$24</f>
        <v>11.617000000000001</v>
      </c>
      <c r="E73" s="197">
        <f>'Energy margins'!$S$12</f>
        <v>269.5</v>
      </c>
      <c r="F73" s="197">
        <f t="shared" si="34"/>
        <v>3130.7815000000001</v>
      </c>
      <c r="G73" s="913">
        <f>'Energy Inputs'!$D$10</f>
        <v>471.64</v>
      </c>
      <c r="H73" s="197">
        <f t="shared" si="35"/>
        <v>3602.4214999999999</v>
      </c>
      <c r="I73" s="197"/>
      <c r="J73" s="942">
        <f>IF(ISERROR(IF(MOD(IF(AND(B73&gt;='Energy margins'!$T$44,B73&lt;='Energy margins'!$U$44),B73-'Energy margins'!$T$44,""),'Energy margins'!$V$44)=0,'Energy margins'!$S$44,0)),0,IF(MOD(IF(AND(B73&gt;='Energy margins'!$T$44,B73&lt;='Energy margins'!$U$44),B73-'Energy margins'!$T$44,""),'Energy margins'!$V$44)=0,'Energy margins'!$S$44,0))</f>
        <v>0</v>
      </c>
      <c r="K73" s="913">
        <f>IF(ISERROR(IF(MOD(IF(AND(B73&gt;='Energy margins'!$T$45,B73&lt;='Energy margins'!$U$45),B73-'Energy margins'!$T$45,""),'Energy margins'!$V$45)=0,'Energy margins'!$S$45,0)),0,IF(MOD(IF(AND(B73&gt;='Energy margins'!$T$45,B73&lt;='Energy margins'!$U$45),B73-'Energy margins'!$T$45,""),'Energy margins'!$V$45)=0,'Energy margins'!$S$45,0))</f>
        <v>0</v>
      </c>
      <c r="L73" s="913">
        <f>IF(ISERROR(IF(MOD(IF(AND(B73&gt;='Energy margins'!$T$46,B73&lt;='Energy margins'!$U$46),B73-'Energy margins'!$T$46,""),'Energy margins'!$V$46)=0,'Energy margins'!$S$46,0)),0,IF(MOD(IF(AND(B73&gt;='Energy margins'!$T$46,B73&lt;='Energy margins'!$U$46),B73-'Energy margins'!$T$46,""),'Energy margins'!$V$46)=0,'Energy margins'!$S$46,0))</f>
        <v>0</v>
      </c>
      <c r="M73" s="913">
        <f>IF(ISERROR(IF(MOD(IF(AND(B73&gt;='Energy margins'!$T$47,B73&lt;='Energy margins'!$U$47),B73-'Energy margins'!$T$47,""),'Energy margins'!$V$47)=0,'Energy margins'!$S$47,0)),0,IF(MOD(IF(AND(B73&gt;='Energy margins'!$T$47,B73&lt;='Energy margins'!$U$47),B73-'Energy margins'!$T$47,""),'Energy margins'!$V$47)=0,'Energy margins'!$S$47,0))</f>
        <v>327</v>
      </c>
      <c r="N73" s="913">
        <f>IF(ISERROR(IF(MOD(IF(AND(B73&gt;='Energy margins'!$T$50,B73&lt;='Energy margins'!$U$50),B73-'Energy margins'!$T$50,""),'Energy margins'!$V$50)=0,'Energy margins'!$S$50,0)),0,IF(MOD(IF(AND(B73&gt;='Energy margins'!$T$50,B73&lt;='Energy margins'!$U$50),B73-'Energy margins'!$T$50,""),'Energy margins'!$V$50)=0,'Energy margins'!$S$50,0))</f>
        <v>344</v>
      </c>
      <c r="O73" s="913">
        <f>IF(ISERROR(IF(MOD(IF(AND(B73&gt;='Energy margins'!$T$53,B73&lt;='Energy margins'!$U$53),B73-'Energy margins'!$T$53,""),'Energy margins'!$V$53)=0,'Energy margins'!$S$53,0)),0,IF(MOD(IF(AND(B73&gt;='Energy margins'!$T$53,B73&lt;='Energy margins'!$U$53),B73-'Energy margins'!$T$53,""),'Energy margins'!$V$53)=0,'Energy margins'!$S$53,0))</f>
        <v>357.59999999999997</v>
      </c>
      <c r="P73" s="913">
        <f>IF(ISERROR(IF(MOD(IF(AND(B73&gt;='Energy margins'!$T$56,B73&lt;='Energy margins'!$U$56),B73-'Energy margins'!$T$56,""),'Energy margins'!$V$56)=0,'Energy margins'!$S$56,0)),0,IF(MOD(IF(AND(B73&gt;='Energy margins'!$T$56,B73&lt;='Energy margins'!$U$56),B73-'Energy margins'!$T$56,""),'Energy margins'!$V$56)=0,'Energy margins'!$S$56,0))</f>
        <v>321.60000000000002</v>
      </c>
      <c r="Q73" s="913">
        <f>IF(ISERROR(IF(MOD(IF(AND(B73&gt;='Energy margins'!$T$59,B73&lt;='Energy margins'!$U$59),B73-'Energy margins'!$T$59,""),'Energy margins'!$V$59)=0,'Energy margins'!$S$59,0)),0,IF(MOD(IF(AND(B73&gt;='Energy margins'!$T$59,B73&lt;='Energy margins'!$U$59),B73-'Energy margins'!$T$59,""),'Energy margins'!$V$59)=0,'Energy margins'!$S$59,0))</f>
        <v>490.00000000000006</v>
      </c>
      <c r="R73" s="913">
        <f>IF(ISERROR(IF(MOD(IF(AND(B73&gt;='Energy margins'!$T$60,B73&lt;='Energy margins'!$U$60),B73-'Energy margins'!$T$60,""),'Energy margins'!$V$60)=0,'Energy margins'!$S$60,0)),0,IF(MOD(IF(AND(B73&gt;='Energy margins'!$T$60,B73&lt;='Energy margins'!$U$60),B73-'Energy margins'!$T$60,""),'Energy margins'!$V$60)=0,'Energy margins'!$S$60,0))</f>
        <v>0</v>
      </c>
      <c r="S73" s="913">
        <f>IF(ISERROR(IF(MOD(IF(AND(B73&gt;='Energy margins'!$T$61,B73&lt;='Energy margins'!$U$61),B73-'Energy margins'!$T$61,""),'Energy margins'!$V$61)=0,'Energy margins'!$S$61,0)),0,IF(MOD(IF(AND(B73&gt;='Energy margins'!$T$61,B73&lt;='Energy margins'!$U$61),B73-'Energy margins'!$T$61,""),'Energy margins'!$V$61)=0,'Energy margins'!$S$61,0))</f>
        <v>0</v>
      </c>
      <c r="T73" s="913">
        <f>IF(ISERROR(IF(MOD(IF(AND(B73&gt;='Energy margins'!$T$62,B73&lt;='Energy margins'!$U$62),B73-'Energy margins'!$T$62,""),'Energy margins'!$V$62)=0,'Energy margins'!$S$62,0)),0,IF(MOD(IF(AND(B73&gt;='Energy margins'!$T$62,B73&lt;='Energy margins'!$U$62),B73-'Energy margins'!$T$62,""),'Energy margins'!$V$62)=0,'Energy margins'!$S$62,0))</f>
        <v>0</v>
      </c>
      <c r="U73" s="939">
        <f t="shared" si="36"/>
        <v>1840.1999999999998</v>
      </c>
      <c r="V73" s="197"/>
      <c r="W73" s="197">
        <f t="shared" si="37"/>
        <v>1840.1999999999998</v>
      </c>
      <c r="X73" s="197">
        <f t="shared" si="31"/>
        <v>1290.5815000000002</v>
      </c>
      <c r="Y73" s="197">
        <f t="shared" si="32"/>
        <v>1762.2215000000001</v>
      </c>
      <c r="Z73" s="968">
        <f t="shared" si="38"/>
        <v>2287.6313760514181</v>
      </c>
      <c r="AA73" s="969">
        <f t="shared" si="39"/>
        <v>344.6227282871356</v>
      </c>
      <c r="AB73" s="969">
        <f t="shared" si="40"/>
        <v>1344.6161152446505</v>
      </c>
      <c r="AC73" s="969">
        <f t="shared" si="41"/>
        <v>943.01526080676786</v>
      </c>
      <c r="AD73" s="969">
        <f t="shared" si="42"/>
        <v>1287.6379890939033</v>
      </c>
      <c r="AE73" s="968">
        <f t="shared" si="47"/>
        <v>20590.99730113069</v>
      </c>
      <c r="AF73" s="969">
        <f t="shared" si="43"/>
        <v>3647.0717928216054</v>
      </c>
      <c r="AG73" s="969">
        <f t="shared" si="44"/>
        <v>42267.412207641122</v>
      </c>
      <c r="AH73" s="969">
        <f t="shared" si="45"/>
        <v>-21676.414906510428</v>
      </c>
      <c r="AI73" s="970">
        <f t="shared" si="46"/>
        <v>-18029.343113688821</v>
      </c>
    </row>
    <row r="74" spans="2:35" x14ac:dyDescent="0.3">
      <c r="B74" s="895">
        <v>10</v>
      </c>
      <c r="C74" s="917">
        <f>'Energy Inputs'!F39</f>
        <v>1</v>
      </c>
      <c r="D74" s="913">
        <f>C74*'Energy Inputs'!$F$24</f>
        <v>11.617000000000001</v>
      </c>
      <c r="E74" s="197">
        <f>'Energy margins'!$S$12</f>
        <v>269.5</v>
      </c>
      <c r="F74" s="197">
        <f t="shared" si="34"/>
        <v>3130.7815000000001</v>
      </c>
      <c r="G74" s="913">
        <f>'Energy Inputs'!$D$10</f>
        <v>471.64</v>
      </c>
      <c r="H74" s="197">
        <f t="shared" si="35"/>
        <v>3602.4214999999999</v>
      </c>
      <c r="I74" s="197"/>
      <c r="J74" s="942">
        <f>IF(ISERROR(IF(MOD(IF(AND(B74&gt;='Energy margins'!$T$44,B74&lt;='Energy margins'!$U$44),B74-'Energy margins'!$T$44,""),'Energy margins'!$V$44)=0,'Energy margins'!$S$44,0)),0,IF(MOD(IF(AND(B74&gt;='Energy margins'!$T$44,B74&lt;='Energy margins'!$U$44),B74-'Energy margins'!$T$44,""),'Energy margins'!$V$44)=0,'Energy margins'!$S$44,0))</f>
        <v>0</v>
      </c>
      <c r="K74" s="913">
        <f>IF(ISERROR(IF(MOD(IF(AND(B74&gt;='Energy margins'!$T$45,B74&lt;='Energy margins'!$U$45),B74-'Energy margins'!$T$45,""),'Energy margins'!$V$45)=0,'Energy margins'!$S$45,0)),0,IF(MOD(IF(AND(B74&gt;='Energy margins'!$T$45,B74&lt;='Energy margins'!$U$45),B74-'Energy margins'!$T$45,""),'Energy margins'!$V$45)=0,'Energy margins'!$S$45,0))</f>
        <v>0</v>
      </c>
      <c r="L74" s="913">
        <f>IF(ISERROR(IF(MOD(IF(AND(B74&gt;='Energy margins'!$T$46,B74&lt;='Energy margins'!$U$46),B74-'Energy margins'!$T$46,""),'Energy margins'!$V$46)=0,'Energy margins'!$S$46,0)),0,IF(MOD(IF(AND(B74&gt;='Energy margins'!$T$46,B74&lt;='Energy margins'!$U$46),B74-'Energy margins'!$T$46,""),'Energy margins'!$V$46)=0,'Energy margins'!$S$46,0))</f>
        <v>0</v>
      </c>
      <c r="M74" s="913">
        <f>IF(ISERROR(IF(MOD(IF(AND(B74&gt;='Energy margins'!$T$47,B74&lt;='Energy margins'!$U$47),B74-'Energy margins'!$T$47,""),'Energy margins'!$V$47)=0,'Energy margins'!$S$47,0)),0,IF(MOD(IF(AND(B74&gt;='Energy margins'!$T$47,B74&lt;='Energy margins'!$U$47),B74-'Energy margins'!$T$47,""),'Energy margins'!$V$47)=0,'Energy margins'!$S$47,0))</f>
        <v>327</v>
      </c>
      <c r="N74" s="913">
        <f>IF(ISERROR(IF(MOD(IF(AND(B74&gt;='Energy margins'!$T$50,B74&lt;='Energy margins'!$U$50),B74-'Energy margins'!$T$50,""),'Energy margins'!$V$50)=0,'Energy margins'!$S$50,0)),0,IF(MOD(IF(AND(B74&gt;='Energy margins'!$T$50,B74&lt;='Energy margins'!$U$50),B74-'Energy margins'!$T$50,""),'Energy margins'!$V$50)=0,'Energy margins'!$S$50,0))</f>
        <v>344</v>
      </c>
      <c r="O74" s="913">
        <f>IF(ISERROR(IF(MOD(IF(AND(B74&gt;='Energy margins'!$T$53,B74&lt;='Energy margins'!$U$53),B74-'Energy margins'!$T$53,""),'Energy margins'!$V$53)=0,'Energy margins'!$S$53,0)),0,IF(MOD(IF(AND(B74&gt;='Energy margins'!$T$53,B74&lt;='Energy margins'!$U$53),B74-'Energy margins'!$T$53,""),'Energy margins'!$V$53)=0,'Energy margins'!$S$53,0))</f>
        <v>357.59999999999997</v>
      </c>
      <c r="P74" s="913">
        <f>IF(ISERROR(IF(MOD(IF(AND(B74&gt;='Energy margins'!$T$56,B74&lt;='Energy margins'!$U$56),B74-'Energy margins'!$T$56,""),'Energy margins'!$V$56)=0,'Energy margins'!$S$56,0)),0,IF(MOD(IF(AND(B74&gt;='Energy margins'!$T$56,B74&lt;='Energy margins'!$U$56),B74-'Energy margins'!$T$56,""),'Energy margins'!$V$56)=0,'Energy margins'!$S$56,0))</f>
        <v>321.60000000000002</v>
      </c>
      <c r="Q74" s="913">
        <f>IF(ISERROR(IF(MOD(IF(AND(B74&gt;='Energy margins'!$T$59,B74&lt;='Energy margins'!$U$59),B74-'Energy margins'!$T$59,""),'Energy margins'!$V$59)=0,'Energy margins'!$S$59,0)),0,IF(MOD(IF(AND(B74&gt;='Energy margins'!$T$59,B74&lt;='Energy margins'!$U$59),B74-'Energy margins'!$T$59,""),'Energy margins'!$V$59)=0,'Energy margins'!$S$59,0))</f>
        <v>490.00000000000006</v>
      </c>
      <c r="R74" s="913">
        <f>IF(ISERROR(IF(MOD(IF(AND(B74&gt;='Energy margins'!$T$60,B74&lt;='Energy margins'!$U$60),B74-'Energy margins'!$T$60,""),'Energy margins'!$V$60)=0,'Energy margins'!$S$60,0)),0,IF(MOD(IF(AND(B74&gt;='Energy margins'!$T$60,B74&lt;='Energy margins'!$U$60),B74-'Energy margins'!$T$60,""),'Energy margins'!$V$60)=0,'Energy margins'!$S$60,0))</f>
        <v>0</v>
      </c>
      <c r="S74" s="913">
        <f>IF(ISERROR(IF(MOD(IF(AND(B74&gt;='Energy margins'!$T$61,B74&lt;='Energy margins'!$U$61),B74-'Energy margins'!$T$61,""),'Energy margins'!$V$61)=0,'Energy margins'!$S$61,0)),0,IF(MOD(IF(AND(B74&gt;='Energy margins'!$T$61,B74&lt;='Energy margins'!$U$61),B74-'Energy margins'!$T$61,""),'Energy margins'!$V$61)=0,'Energy margins'!$S$61,0))</f>
        <v>0</v>
      </c>
      <c r="T74" s="913">
        <f>IF(ISERROR(IF(MOD(IF(AND(B74&gt;='Energy margins'!$T$62,B74&lt;='Energy margins'!$U$62),B74-'Energy margins'!$T$62,""),'Energy margins'!$V$62)=0,'Energy margins'!$S$62,0)),0,IF(MOD(IF(AND(B74&gt;='Energy margins'!$T$62,B74&lt;='Energy margins'!$U$62),B74-'Energy margins'!$T$62,""),'Energy margins'!$V$62)=0,'Energy margins'!$S$62,0))</f>
        <v>0</v>
      </c>
      <c r="U74" s="939">
        <f t="shared" si="36"/>
        <v>1840.1999999999998</v>
      </c>
      <c r="V74" s="197"/>
      <c r="W74" s="197">
        <f t="shared" si="37"/>
        <v>1840.1999999999998</v>
      </c>
      <c r="X74" s="197">
        <f t="shared" si="31"/>
        <v>1290.5815000000002</v>
      </c>
      <c r="Y74" s="197">
        <f t="shared" si="32"/>
        <v>1762.2215000000001</v>
      </c>
      <c r="Z74" s="968">
        <f t="shared" si="38"/>
        <v>2199.6455538955943</v>
      </c>
      <c r="AA74" s="969">
        <f t="shared" si="39"/>
        <v>331.36800796839958</v>
      </c>
      <c r="AB74" s="969">
        <f t="shared" si="40"/>
        <v>1292.9001108121638</v>
      </c>
      <c r="AC74" s="969">
        <f t="shared" si="41"/>
        <v>906.74544308343059</v>
      </c>
      <c r="AD74" s="969">
        <f t="shared" si="42"/>
        <v>1238.1134510518302</v>
      </c>
      <c r="AE74" s="968">
        <f t="shared" si="47"/>
        <v>22790.642855026286</v>
      </c>
      <c r="AF74" s="969">
        <f t="shared" si="43"/>
        <v>3978.4398007900049</v>
      </c>
      <c r="AG74" s="969">
        <f t="shared" si="44"/>
        <v>43560.312318453289</v>
      </c>
      <c r="AH74" s="969">
        <f t="shared" si="45"/>
        <v>-20769.669463426999</v>
      </c>
      <c r="AI74" s="970">
        <f t="shared" si="46"/>
        <v>-16791.22966263699</v>
      </c>
    </row>
    <row r="75" spans="2:35" x14ac:dyDescent="0.3">
      <c r="B75" s="895">
        <v>11</v>
      </c>
      <c r="C75" s="917">
        <f>'Energy Inputs'!F40</f>
        <v>1</v>
      </c>
      <c r="D75" s="913">
        <f>C75*'Energy Inputs'!$F$24</f>
        <v>11.617000000000001</v>
      </c>
      <c r="E75" s="197">
        <f>'Energy margins'!$S$12</f>
        <v>269.5</v>
      </c>
      <c r="F75" s="197">
        <f t="shared" si="34"/>
        <v>3130.7815000000001</v>
      </c>
      <c r="G75" s="913">
        <f>'Energy Inputs'!$D$10</f>
        <v>471.64</v>
      </c>
      <c r="H75" s="197">
        <f t="shared" si="35"/>
        <v>3602.4214999999999</v>
      </c>
      <c r="I75" s="197"/>
      <c r="J75" s="942">
        <f>IF(ISERROR(IF(MOD(IF(AND(B75&gt;='Energy margins'!$T$44,B75&lt;='Energy margins'!$U$44),B75-'Energy margins'!$T$44,""),'Energy margins'!$V$44)=0,'Energy margins'!$S$44,0)),0,IF(MOD(IF(AND(B75&gt;='Energy margins'!$T$44,B75&lt;='Energy margins'!$U$44),B75-'Energy margins'!$T$44,""),'Energy margins'!$V$44)=0,'Energy margins'!$S$44,0))</f>
        <v>0</v>
      </c>
      <c r="K75" s="913">
        <f>IF(ISERROR(IF(MOD(IF(AND(B75&gt;='Energy margins'!$T$45,B75&lt;='Energy margins'!$U$45),B75-'Energy margins'!$T$45,""),'Energy margins'!$V$45)=0,'Energy margins'!$S$45,0)),0,IF(MOD(IF(AND(B75&gt;='Energy margins'!$T$45,B75&lt;='Energy margins'!$U$45),B75-'Energy margins'!$T$45,""),'Energy margins'!$V$45)=0,'Energy margins'!$S$45,0))</f>
        <v>0</v>
      </c>
      <c r="L75" s="913">
        <f>IF(ISERROR(IF(MOD(IF(AND(B75&gt;='Energy margins'!$T$46,B75&lt;='Energy margins'!$U$46),B75-'Energy margins'!$T$46,""),'Energy margins'!$V$46)=0,'Energy margins'!$S$46,0)),0,IF(MOD(IF(AND(B75&gt;='Energy margins'!$T$46,B75&lt;='Energy margins'!$U$46),B75-'Energy margins'!$T$46,""),'Energy margins'!$V$46)=0,'Energy margins'!$S$46,0))</f>
        <v>0</v>
      </c>
      <c r="M75" s="913">
        <f>IF(ISERROR(IF(MOD(IF(AND(B75&gt;='Energy margins'!$T$47,B75&lt;='Energy margins'!$U$47),B75-'Energy margins'!$T$47,""),'Energy margins'!$V$47)=0,'Energy margins'!$S$47,0)),0,IF(MOD(IF(AND(B75&gt;='Energy margins'!$T$47,B75&lt;='Energy margins'!$U$47),B75-'Energy margins'!$T$47,""),'Energy margins'!$V$47)=0,'Energy margins'!$S$47,0))</f>
        <v>327</v>
      </c>
      <c r="N75" s="913">
        <f>IF(ISERROR(IF(MOD(IF(AND(B75&gt;='Energy margins'!$T$50,B75&lt;='Energy margins'!$U$50),B75-'Energy margins'!$T$50,""),'Energy margins'!$V$50)=0,'Energy margins'!$S$50,0)),0,IF(MOD(IF(AND(B75&gt;='Energy margins'!$T$50,B75&lt;='Energy margins'!$U$50),B75-'Energy margins'!$T$50,""),'Energy margins'!$V$50)=0,'Energy margins'!$S$50,0))</f>
        <v>344</v>
      </c>
      <c r="O75" s="913">
        <f>IF(ISERROR(IF(MOD(IF(AND(B75&gt;='Energy margins'!$T$53,B75&lt;='Energy margins'!$U$53),B75-'Energy margins'!$T$53,""),'Energy margins'!$V$53)=0,'Energy margins'!$S$53,0)),0,IF(MOD(IF(AND(B75&gt;='Energy margins'!$T$53,B75&lt;='Energy margins'!$U$53),B75-'Energy margins'!$T$53,""),'Energy margins'!$V$53)=0,'Energy margins'!$S$53,0))</f>
        <v>357.59999999999997</v>
      </c>
      <c r="P75" s="913">
        <f>IF(ISERROR(IF(MOD(IF(AND(B75&gt;='Energy margins'!$T$56,B75&lt;='Energy margins'!$U$56),B75-'Energy margins'!$T$56,""),'Energy margins'!$V$56)=0,'Energy margins'!$S$56,0)),0,IF(MOD(IF(AND(B75&gt;='Energy margins'!$T$56,B75&lt;='Energy margins'!$U$56),B75-'Energy margins'!$T$56,""),'Energy margins'!$V$56)=0,'Energy margins'!$S$56,0))</f>
        <v>321.60000000000002</v>
      </c>
      <c r="Q75" s="913">
        <f>IF(ISERROR(IF(MOD(IF(AND(B75&gt;='Energy margins'!$T$59,B75&lt;='Energy margins'!$U$59),B75-'Energy margins'!$T$59,""),'Energy margins'!$V$59)=0,'Energy margins'!$S$59,0)),0,IF(MOD(IF(AND(B75&gt;='Energy margins'!$T$59,B75&lt;='Energy margins'!$U$59),B75-'Energy margins'!$T$59,""),'Energy margins'!$V$59)=0,'Energy margins'!$S$59,0))</f>
        <v>490.00000000000006</v>
      </c>
      <c r="R75" s="913">
        <f>IF(ISERROR(IF(MOD(IF(AND(B75&gt;='Energy margins'!$T$60,B75&lt;='Energy margins'!$U$60),B75-'Energy margins'!$T$60,""),'Energy margins'!$V$60)=0,'Energy margins'!$S$60,0)),0,IF(MOD(IF(AND(B75&gt;='Energy margins'!$T$60,B75&lt;='Energy margins'!$U$60),B75-'Energy margins'!$T$60,""),'Energy margins'!$V$60)=0,'Energy margins'!$S$60,0))</f>
        <v>0</v>
      </c>
      <c r="S75" s="913">
        <f>IF(ISERROR(IF(MOD(IF(AND(B75&gt;='Energy margins'!$T$61,B75&lt;='Energy margins'!$U$61),B75-'Energy margins'!$T$61,""),'Energy margins'!$V$61)=0,'Energy margins'!$S$61,0)),0,IF(MOD(IF(AND(B75&gt;='Energy margins'!$T$61,B75&lt;='Energy margins'!$U$61),B75-'Energy margins'!$T$61,""),'Energy margins'!$V$61)=0,'Energy margins'!$S$61,0))</f>
        <v>0</v>
      </c>
      <c r="T75" s="913">
        <f>IF(ISERROR(IF(MOD(IF(AND(B75&gt;='Energy margins'!$T$62,B75&lt;='Energy margins'!$U$62),B75-'Energy margins'!$T$62,""),'Energy margins'!$V$62)=0,'Energy margins'!$S$62,0)),0,IF(MOD(IF(AND(B75&gt;='Energy margins'!$T$62,B75&lt;='Energy margins'!$U$62),B75-'Energy margins'!$T$62,""),'Energy margins'!$V$62)=0,'Energy margins'!$S$62,0))</f>
        <v>0</v>
      </c>
      <c r="U75" s="939">
        <f t="shared" si="36"/>
        <v>1840.1999999999998</v>
      </c>
      <c r="V75" s="197"/>
      <c r="W75" s="197">
        <f t="shared" si="37"/>
        <v>1840.1999999999998</v>
      </c>
      <c r="X75" s="197">
        <f t="shared" si="31"/>
        <v>1290.5815000000002</v>
      </c>
      <c r="Y75" s="197">
        <f t="shared" si="32"/>
        <v>1762.2215000000001</v>
      </c>
      <c r="Z75" s="968">
        <f t="shared" si="38"/>
        <v>2115.0438018226869</v>
      </c>
      <c r="AA75" s="969">
        <f t="shared" si="39"/>
        <v>318.62308458499962</v>
      </c>
      <c r="AB75" s="969">
        <f t="shared" si="40"/>
        <v>1243.1731834732343</v>
      </c>
      <c r="AC75" s="969">
        <f t="shared" si="41"/>
        <v>871.87061834945246</v>
      </c>
      <c r="AD75" s="969">
        <f t="shared" si="42"/>
        <v>1190.4937029344521</v>
      </c>
      <c r="AE75" s="968">
        <f t="shared" si="47"/>
        <v>24905.686656848971</v>
      </c>
      <c r="AF75" s="969">
        <f t="shared" si="43"/>
        <v>4297.062885375005</v>
      </c>
      <c r="AG75" s="969">
        <f t="shared" si="44"/>
        <v>44803.485501926523</v>
      </c>
      <c r="AH75" s="969">
        <f t="shared" si="45"/>
        <v>-19897.798845077545</v>
      </c>
      <c r="AI75" s="970">
        <f t="shared" si="46"/>
        <v>-15600.735959702537</v>
      </c>
    </row>
    <row r="76" spans="2:35" x14ac:dyDescent="0.3">
      <c r="B76" s="895">
        <v>12</v>
      </c>
      <c r="C76" s="917">
        <f>'Energy Inputs'!F41</f>
        <v>1</v>
      </c>
      <c r="D76" s="913">
        <f>C76*'Energy Inputs'!$F$24</f>
        <v>11.617000000000001</v>
      </c>
      <c r="E76" s="197">
        <f>'Energy margins'!$S$12</f>
        <v>269.5</v>
      </c>
      <c r="F76" s="197">
        <f t="shared" si="34"/>
        <v>3130.7815000000001</v>
      </c>
      <c r="G76" s="913">
        <f>'Energy Inputs'!$D$10</f>
        <v>471.64</v>
      </c>
      <c r="H76" s="197">
        <f t="shared" si="35"/>
        <v>3602.4214999999999</v>
      </c>
      <c r="I76" s="197"/>
      <c r="J76" s="942">
        <f>IF(ISERROR(IF(MOD(IF(AND(B76&gt;='Energy margins'!$T$44,B76&lt;='Energy margins'!$U$44),B76-'Energy margins'!$T$44,""),'Energy margins'!$V$44)=0,'Energy margins'!$S$44,0)),0,IF(MOD(IF(AND(B76&gt;='Energy margins'!$T$44,B76&lt;='Energy margins'!$U$44),B76-'Energy margins'!$T$44,""),'Energy margins'!$V$44)=0,'Energy margins'!$S$44,0))</f>
        <v>0</v>
      </c>
      <c r="K76" s="913">
        <f>IF(ISERROR(IF(MOD(IF(AND(B76&gt;='Energy margins'!$T$45,B76&lt;='Energy margins'!$U$45),B76-'Energy margins'!$T$45,""),'Energy margins'!$V$45)=0,'Energy margins'!$S$45,0)),0,IF(MOD(IF(AND(B76&gt;='Energy margins'!$T$45,B76&lt;='Energy margins'!$U$45),B76-'Energy margins'!$T$45,""),'Energy margins'!$V$45)=0,'Energy margins'!$S$45,0))</f>
        <v>0</v>
      </c>
      <c r="L76" s="913">
        <f>IF(ISERROR(IF(MOD(IF(AND(B76&gt;='Energy margins'!$T$46,B76&lt;='Energy margins'!$U$46),B76-'Energy margins'!$T$46,""),'Energy margins'!$V$46)=0,'Energy margins'!$S$46,0)),0,IF(MOD(IF(AND(B76&gt;='Energy margins'!$T$46,B76&lt;='Energy margins'!$U$46),B76-'Energy margins'!$T$46,""),'Energy margins'!$V$46)=0,'Energy margins'!$S$46,0))</f>
        <v>0</v>
      </c>
      <c r="M76" s="913">
        <f>IF(ISERROR(IF(MOD(IF(AND(B76&gt;='Energy margins'!$T$47,B76&lt;='Energy margins'!$U$47),B76-'Energy margins'!$T$47,""),'Energy margins'!$V$47)=0,'Energy margins'!$S$47,0)),0,IF(MOD(IF(AND(B76&gt;='Energy margins'!$T$47,B76&lt;='Energy margins'!$U$47),B76-'Energy margins'!$T$47,""),'Energy margins'!$V$47)=0,'Energy margins'!$S$47,0))</f>
        <v>327</v>
      </c>
      <c r="N76" s="913">
        <f>IF(ISERROR(IF(MOD(IF(AND(B76&gt;='Energy margins'!$T$50,B76&lt;='Energy margins'!$U$50),B76-'Energy margins'!$T$50,""),'Energy margins'!$V$50)=0,'Energy margins'!$S$50,0)),0,IF(MOD(IF(AND(B76&gt;='Energy margins'!$T$50,B76&lt;='Energy margins'!$U$50),B76-'Energy margins'!$T$50,""),'Energy margins'!$V$50)=0,'Energy margins'!$S$50,0))</f>
        <v>344</v>
      </c>
      <c r="O76" s="913">
        <f>IF(ISERROR(IF(MOD(IF(AND(B76&gt;='Energy margins'!$T$53,B76&lt;='Energy margins'!$U$53),B76-'Energy margins'!$T$53,""),'Energy margins'!$V$53)=0,'Energy margins'!$S$53,0)),0,IF(MOD(IF(AND(B76&gt;='Energy margins'!$T$53,B76&lt;='Energy margins'!$U$53),B76-'Energy margins'!$T$53,""),'Energy margins'!$V$53)=0,'Energy margins'!$S$53,0))</f>
        <v>357.59999999999997</v>
      </c>
      <c r="P76" s="913">
        <f>IF(ISERROR(IF(MOD(IF(AND(B76&gt;='Energy margins'!$T$56,B76&lt;='Energy margins'!$U$56),B76-'Energy margins'!$T$56,""),'Energy margins'!$V$56)=0,'Energy margins'!$S$56,0)),0,IF(MOD(IF(AND(B76&gt;='Energy margins'!$T$56,B76&lt;='Energy margins'!$U$56),B76-'Energy margins'!$T$56,""),'Energy margins'!$V$56)=0,'Energy margins'!$S$56,0))</f>
        <v>321.60000000000002</v>
      </c>
      <c r="Q76" s="913">
        <f>IF(ISERROR(IF(MOD(IF(AND(B76&gt;='Energy margins'!$T$59,B76&lt;='Energy margins'!$U$59),B76-'Energy margins'!$T$59,""),'Energy margins'!$V$59)=0,'Energy margins'!$S$59,0)),0,IF(MOD(IF(AND(B76&gt;='Energy margins'!$T$59,B76&lt;='Energy margins'!$U$59),B76-'Energy margins'!$T$59,""),'Energy margins'!$V$59)=0,'Energy margins'!$S$59,0))</f>
        <v>490.00000000000006</v>
      </c>
      <c r="R76" s="913">
        <f>IF(ISERROR(IF(MOD(IF(AND(B76&gt;='Energy margins'!$T$60,B76&lt;='Energy margins'!$U$60),B76-'Energy margins'!$T$60,""),'Energy margins'!$V$60)=0,'Energy margins'!$S$60,0)),0,IF(MOD(IF(AND(B76&gt;='Energy margins'!$T$60,B76&lt;='Energy margins'!$U$60),B76-'Energy margins'!$T$60,""),'Energy margins'!$V$60)=0,'Energy margins'!$S$60,0))</f>
        <v>0</v>
      </c>
      <c r="S76" s="913">
        <f>IF(ISERROR(IF(MOD(IF(AND(B76&gt;='Energy margins'!$T$61,B76&lt;='Energy margins'!$U$61),B76-'Energy margins'!$T$61,""),'Energy margins'!$V$61)=0,'Energy margins'!$S$61,0)),0,IF(MOD(IF(AND(B76&gt;='Energy margins'!$T$61,B76&lt;='Energy margins'!$U$61),B76-'Energy margins'!$T$61,""),'Energy margins'!$V$61)=0,'Energy margins'!$S$61,0))</f>
        <v>0</v>
      </c>
      <c r="T76" s="913">
        <f>IF(ISERROR(IF(MOD(IF(AND(B76&gt;='Energy margins'!$T$62,B76&lt;='Energy margins'!$U$62),B76-'Energy margins'!$T$62,""),'Energy margins'!$V$62)=0,'Energy margins'!$S$62,0)),0,IF(MOD(IF(AND(B76&gt;='Energy margins'!$T$62,B76&lt;='Energy margins'!$U$62),B76-'Energy margins'!$T$62,""),'Energy margins'!$V$62)=0,'Energy margins'!$S$62,0))</f>
        <v>0</v>
      </c>
      <c r="U76" s="939">
        <f t="shared" si="36"/>
        <v>1840.1999999999998</v>
      </c>
      <c r="V76" s="197"/>
      <c r="W76" s="197">
        <f t="shared" si="37"/>
        <v>1840.1999999999998</v>
      </c>
      <c r="X76" s="197">
        <f t="shared" si="31"/>
        <v>1290.5815000000002</v>
      </c>
      <c r="Y76" s="197">
        <f t="shared" si="32"/>
        <v>1762.2215000000001</v>
      </c>
      <c r="Z76" s="968">
        <f t="shared" si="38"/>
        <v>2033.6959632910452</v>
      </c>
      <c r="AA76" s="969">
        <f t="shared" si="39"/>
        <v>306.36835056249964</v>
      </c>
      <c r="AB76" s="969">
        <f t="shared" si="40"/>
        <v>1195.3588302627254</v>
      </c>
      <c r="AC76" s="969">
        <f t="shared" si="41"/>
        <v>838.33713302831973</v>
      </c>
      <c r="AD76" s="969">
        <f t="shared" si="42"/>
        <v>1144.7054835908193</v>
      </c>
      <c r="AE76" s="968">
        <f t="shared" si="47"/>
        <v>26939.382620140015</v>
      </c>
      <c r="AF76" s="969">
        <f t="shared" si="43"/>
        <v>4603.4312359375044</v>
      </c>
      <c r="AG76" s="969">
        <f t="shared" si="44"/>
        <v>45998.844332189248</v>
      </c>
      <c r="AH76" s="969">
        <f t="shared" si="45"/>
        <v>-19059.461712049226</v>
      </c>
      <c r="AI76" s="970">
        <f t="shared" si="46"/>
        <v>-14456.030476111719</v>
      </c>
    </row>
    <row r="77" spans="2:35" x14ac:dyDescent="0.3">
      <c r="B77" s="895">
        <v>13</v>
      </c>
      <c r="C77" s="917">
        <f>'Energy Inputs'!F42</f>
        <v>1</v>
      </c>
      <c r="D77" s="913">
        <f>C77*'Energy Inputs'!$F$24</f>
        <v>11.617000000000001</v>
      </c>
      <c r="E77" s="197">
        <f>'Energy margins'!$S$12</f>
        <v>269.5</v>
      </c>
      <c r="F77" s="197">
        <f t="shared" si="34"/>
        <v>3130.7815000000001</v>
      </c>
      <c r="G77" s="913">
        <f>'Energy Inputs'!$D$10</f>
        <v>471.64</v>
      </c>
      <c r="H77" s="197">
        <f t="shared" si="35"/>
        <v>3602.4214999999999</v>
      </c>
      <c r="I77" s="197"/>
      <c r="J77" s="942">
        <f>IF(ISERROR(IF(MOD(IF(AND(B77&gt;='Energy margins'!$T$44,B77&lt;='Energy margins'!$U$44),B77-'Energy margins'!$T$44,""),'Energy margins'!$V$44)=0,'Energy margins'!$S$44,0)),0,IF(MOD(IF(AND(B77&gt;='Energy margins'!$T$44,B77&lt;='Energy margins'!$U$44),B77-'Energy margins'!$T$44,""),'Energy margins'!$V$44)=0,'Energy margins'!$S$44,0))</f>
        <v>0</v>
      </c>
      <c r="K77" s="913">
        <f>IF(ISERROR(IF(MOD(IF(AND(B77&gt;='Energy margins'!$T$45,B77&lt;='Energy margins'!$U$45),B77-'Energy margins'!$T$45,""),'Energy margins'!$V$45)=0,'Energy margins'!$S$45,0)),0,IF(MOD(IF(AND(B77&gt;='Energy margins'!$T$45,B77&lt;='Energy margins'!$U$45),B77-'Energy margins'!$T$45,""),'Energy margins'!$V$45)=0,'Energy margins'!$S$45,0))</f>
        <v>0</v>
      </c>
      <c r="L77" s="913">
        <f>IF(ISERROR(IF(MOD(IF(AND(B77&gt;='Energy margins'!$T$46,B77&lt;='Energy margins'!$U$46),B77-'Energy margins'!$T$46,""),'Energy margins'!$V$46)=0,'Energy margins'!$S$46,0)),0,IF(MOD(IF(AND(B77&gt;='Energy margins'!$T$46,B77&lt;='Energy margins'!$U$46),B77-'Energy margins'!$T$46,""),'Energy margins'!$V$46)=0,'Energy margins'!$S$46,0))</f>
        <v>0</v>
      </c>
      <c r="M77" s="913">
        <f>IF(ISERROR(IF(MOD(IF(AND(B77&gt;='Energy margins'!$T$47,B77&lt;='Energy margins'!$U$47),B77-'Energy margins'!$T$47,""),'Energy margins'!$V$47)=0,'Energy margins'!$S$47,0)),0,IF(MOD(IF(AND(B77&gt;='Energy margins'!$T$47,B77&lt;='Energy margins'!$U$47),B77-'Energy margins'!$T$47,""),'Energy margins'!$V$47)=0,'Energy margins'!$S$47,0))</f>
        <v>327</v>
      </c>
      <c r="N77" s="913">
        <f>IF(ISERROR(IF(MOD(IF(AND(B77&gt;='Energy margins'!$T$50,B77&lt;='Energy margins'!$U$50),B77-'Energy margins'!$T$50,""),'Energy margins'!$V$50)=0,'Energy margins'!$S$50,0)),0,IF(MOD(IF(AND(B77&gt;='Energy margins'!$T$50,B77&lt;='Energy margins'!$U$50),B77-'Energy margins'!$T$50,""),'Energy margins'!$V$50)=0,'Energy margins'!$S$50,0))</f>
        <v>344</v>
      </c>
      <c r="O77" s="913">
        <f>IF(ISERROR(IF(MOD(IF(AND(B77&gt;='Energy margins'!$T$53,B77&lt;='Energy margins'!$U$53),B77-'Energy margins'!$T$53,""),'Energy margins'!$V$53)=0,'Energy margins'!$S$53,0)),0,IF(MOD(IF(AND(B77&gt;='Energy margins'!$T$53,B77&lt;='Energy margins'!$U$53),B77-'Energy margins'!$T$53,""),'Energy margins'!$V$53)=0,'Energy margins'!$S$53,0))</f>
        <v>357.59999999999997</v>
      </c>
      <c r="P77" s="913">
        <f>IF(ISERROR(IF(MOD(IF(AND(B77&gt;='Energy margins'!$T$56,B77&lt;='Energy margins'!$U$56),B77-'Energy margins'!$T$56,""),'Energy margins'!$V$56)=0,'Energy margins'!$S$56,0)),0,IF(MOD(IF(AND(B77&gt;='Energy margins'!$T$56,B77&lt;='Energy margins'!$U$56),B77-'Energy margins'!$T$56,""),'Energy margins'!$V$56)=0,'Energy margins'!$S$56,0))</f>
        <v>321.60000000000002</v>
      </c>
      <c r="Q77" s="913">
        <f>IF(ISERROR(IF(MOD(IF(AND(B77&gt;='Energy margins'!$T$59,B77&lt;='Energy margins'!$U$59),B77-'Energy margins'!$T$59,""),'Energy margins'!$V$59)=0,'Energy margins'!$S$59,0)),0,IF(MOD(IF(AND(B77&gt;='Energy margins'!$T$59,B77&lt;='Energy margins'!$U$59),B77-'Energy margins'!$T$59,""),'Energy margins'!$V$59)=0,'Energy margins'!$S$59,0))</f>
        <v>490.00000000000006</v>
      </c>
      <c r="R77" s="913">
        <f>IF(ISERROR(IF(MOD(IF(AND(B77&gt;='Energy margins'!$T$60,B77&lt;='Energy margins'!$U$60),B77-'Energy margins'!$T$60,""),'Energy margins'!$V$60)=0,'Energy margins'!$S$60,0)),0,IF(MOD(IF(AND(B77&gt;='Energy margins'!$T$60,B77&lt;='Energy margins'!$U$60),B77-'Energy margins'!$T$60,""),'Energy margins'!$V$60)=0,'Energy margins'!$S$60,0))</f>
        <v>0</v>
      </c>
      <c r="S77" s="913">
        <f>IF(ISERROR(IF(MOD(IF(AND(B77&gt;='Energy margins'!$T$61,B77&lt;='Energy margins'!$U$61),B77-'Energy margins'!$T$61,""),'Energy margins'!$V$61)=0,'Energy margins'!$S$61,0)),0,IF(MOD(IF(AND(B77&gt;='Energy margins'!$T$61,B77&lt;='Energy margins'!$U$61),B77-'Energy margins'!$T$61,""),'Energy margins'!$V$61)=0,'Energy margins'!$S$61,0))</f>
        <v>0</v>
      </c>
      <c r="T77" s="913">
        <f>IF(ISERROR(IF(MOD(IF(AND(B77&gt;='Energy margins'!$T$62,B77&lt;='Energy margins'!$U$62),B77-'Energy margins'!$T$62,""),'Energy margins'!$V$62)=0,'Energy margins'!$S$62,0)),0,IF(MOD(IF(AND(B77&gt;='Energy margins'!$T$62,B77&lt;='Energy margins'!$U$62),B77-'Energy margins'!$T$62,""),'Energy margins'!$V$62)=0,'Energy margins'!$S$62,0))</f>
        <v>0</v>
      </c>
      <c r="U77" s="939">
        <f t="shared" si="36"/>
        <v>1840.1999999999998</v>
      </c>
      <c r="V77" s="197"/>
      <c r="W77" s="197">
        <f t="shared" si="37"/>
        <v>1840.1999999999998</v>
      </c>
      <c r="X77" s="197">
        <f t="shared" si="31"/>
        <v>1290.5815000000002</v>
      </c>
      <c r="Y77" s="197">
        <f t="shared" si="32"/>
        <v>1762.2215000000001</v>
      </c>
      <c r="Z77" s="968">
        <f t="shared" si="38"/>
        <v>1955.4768877798508</v>
      </c>
      <c r="AA77" s="969">
        <f t="shared" si="39"/>
        <v>294.58495246394193</v>
      </c>
      <c r="AB77" s="969">
        <f t="shared" si="40"/>
        <v>1149.3834906372358</v>
      </c>
      <c r="AC77" s="969">
        <f t="shared" si="41"/>
        <v>806.093397142615</v>
      </c>
      <c r="AD77" s="969">
        <f t="shared" si="42"/>
        <v>1100.6783496065568</v>
      </c>
      <c r="AE77" s="968">
        <f t="shared" si="47"/>
        <v>28894.859507919868</v>
      </c>
      <c r="AF77" s="969">
        <f t="shared" si="43"/>
        <v>4898.016188401446</v>
      </c>
      <c r="AG77" s="969">
        <f t="shared" si="44"/>
        <v>47148.227822826484</v>
      </c>
      <c r="AH77" s="969">
        <f t="shared" si="45"/>
        <v>-18253.368314906609</v>
      </c>
      <c r="AI77" s="970">
        <f t="shared" si="46"/>
        <v>-13355.352126505162</v>
      </c>
    </row>
    <row r="78" spans="2:35" x14ac:dyDescent="0.3">
      <c r="B78" s="895">
        <v>14</v>
      </c>
      <c r="C78" s="917">
        <f>'Energy Inputs'!F43</f>
        <v>1</v>
      </c>
      <c r="D78" s="913">
        <f>C78*'Energy Inputs'!$F$24</f>
        <v>11.617000000000001</v>
      </c>
      <c r="E78" s="197">
        <f>'Energy margins'!$S$12</f>
        <v>269.5</v>
      </c>
      <c r="F78" s="197">
        <f t="shared" si="34"/>
        <v>3130.7815000000001</v>
      </c>
      <c r="G78" s="913">
        <f>'Energy Inputs'!$D$10</f>
        <v>471.64</v>
      </c>
      <c r="H78" s="197">
        <f t="shared" si="35"/>
        <v>3602.4214999999999</v>
      </c>
      <c r="I78" s="197"/>
      <c r="J78" s="942">
        <f>IF(ISERROR(IF(MOD(IF(AND(B78&gt;='Energy margins'!$T$44,B78&lt;='Energy margins'!$U$44),B78-'Energy margins'!$T$44,""),'Energy margins'!$V$44)=0,'Energy margins'!$S$44,0)),0,IF(MOD(IF(AND(B78&gt;='Energy margins'!$T$44,B78&lt;='Energy margins'!$U$44),B78-'Energy margins'!$T$44,""),'Energy margins'!$V$44)=0,'Energy margins'!$S$44,0))</f>
        <v>0</v>
      </c>
      <c r="K78" s="913">
        <f>IF(ISERROR(IF(MOD(IF(AND(B78&gt;='Energy margins'!$T$45,B78&lt;='Energy margins'!$U$45),B78-'Energy margins'!$T$45,""),'Energy margins'!$V$45)=0,'Energy margins'!$S$45,0)),0,IF(MOD(IF(AND(B78&gt;='Energy margins'!$T$45,B78&lt;='Energy margins'!$U$45),B78-'Energy margins'!$T$45,""),'Energy margins'!$V$45)=0,'Energy margins'!$S$45,0))</f>
        <v>0</v>
      </c>
      <c r="L78" s="913">
        <f>IF(ISERROR(IF(MOD(IF(AND(B78&gt;='Energy margins'!$T$46,B78&lt;='Energy margins'!$U$46),B78-'Energy margins'!$T$46,""),'Energy margins'!$V$46)=0,'Energy margins'!$S$46,0)),0,IF(MOD(IF(AND(B78&gt;='Energy margins'!$T$46,B78&lt;='Energy margins'!$U$46),B78-'Energy margins'!$T$46,""),'Energy margins'!$V$46)=0,'Energy margins'!$S$46,0))</f>
        <v>0</v>
      </c>
      <c r="M78" s="913">
        <f>IF(ISERROR(IF(MOD(IF(AND(B78&gt;='Energy margins'!$T$47,B78&lt;='Energy margins'!$U$47),B78-'Energy margins'!$T$47,""),'Energy margins'!$V$47)=0,'Energy margins'!$S$47,0)),0,IF(MOD(IF(AND(B78&gt;='Energy margins'!$T$47,B78&lt;='Energy margins'!$U$47),B78-'Energy margins'!$T$47,""),'Energy margins'!$V$47)=0,'Energy margins'!$S$47,0))</f>
        <v>327</v>
      </c>
      <c r="N78" s="913">
        <f>IF(ISERROR(IF(MOD(IF(AND(B78&gt;='Energy margins'!$T$50,B78&lt;='Energy margins'!$U$50),B78-'Energy margins'!$T$50,""),'Energy margins'!$V$50)=0,'Energy margins'!$S$50,0)),0,IF(MOD(IF(AND(B78&gt;='Energy margins'!$T$50,B78&lt;='Energy margins'!$U$50),B78-'Energy margins'!$T$50,""),'Energy margins'!$V$50)=0,'Energy margins'!$S$50,0))</f>
        <v>344</v>
      </c>
      <c r="O78" s="913">
        <f>IF(ISERROR(IF(MOD(IF(AND(B78&gt;='Energy margins'!$T$53,B78&lt;='Energy margins'!$U$53),B78-'Energy margins'!$T$53,""),'Energy margins'!$V$53)=0,'Energy margins'!$S$53,0)),0,IF(MOD(IF(AND(B78&gt;='Energy margins'!$T$53,B78&lt;='Energy margins'!$U$53),B78-'Energy margins'!$T$53,""),'Energy margins'!$V$53)=0,'Energy margins'!$S$53,0))</f>
        <v>357.59999999999997</v>
      </c>
      <c r="P78" s="913">
        <f>IF(ISERROR(IF(MOD(IF(AND(B78&gt;='Energy margins'!$T$56,B78&lt;='Energy margins'!$U$56),B78-'Energy margins'!$T$56,""),'Energy margins'!$V$56)=0,'Energy margins'!$S$56,0)),0,IF(MOD(IF(AND(B78&gt;='Energy margins'!$T$56,B78&lt;='Energy margins'!$U$56),B78-'Energy margins'!$T$56,""),'Energy margins'!$V$56)=0,'Energy margins'!$S$56,0))</f>
        <v>321.60000000000002</v>
      </c>
      <c r="Q78" s="913">
        <f>IF(ISERROR(IF(MOD(IF(AND(B78&gt;='Energy margins'!$T$59,B78&lt;='Energy margins'!$U$59),B78-'Energy margins'!$T$59,""),'Energy margins'!$V$59)=0,'Energy margins'!$S$59,0)),0,IF(MOD(IF(AND(B78&gt;='Energy margins'!$T$59,B78&lt;='Energy margins'!$U$59),B78-'Energy margins'!$T$59,""),'Energy margins'!$V$59)=0,'Energy margins'!$S$59,0))</f>
        <v>490.00000000000006</v>
      </c>
      <c r="R78" s="913">
        <f>IF(ISERROR(IF(MOD(IF(AND(B78&gt;='Energy margins'!$T$60,B78&lt;='Energy margins'!$U$60),B78-'Energy margins'!$T$60,""),'Energy margins'!$V$60)=0,'Energy margins'!$S$60,0)),0,IF(MOD(IF(AND(B78&gt;='Energy margins'!$T$60,B78&lt;='Energy margins'!$U$60),B78-'Energy margins'!$T$60,""),'Energy margins'!$V$60)=0,'Energy margins'!$S$60,0))</f>
        <v>0</v>
      </c>
      <c r="S78" s="913">
        <f>IF(ISERROR(IF(MOD(IF(AND(B78&gt;='Energy margins'!$T$61,B78&lt;='Energy margins'!$U$61),B78-'Energy margins'!$T$61,""),'Energy margins'!$V$61)=0,'Energy margins'!$S$61,0)),0,IF(MOD(IF(AND(B78&gt;='Energy margins'!$T$61,B78&lt;='Energy margins'!$U$61),B78-'Energy margins'!$T$61,""),'Energy margins'!$V$61)=0,'Energy margins'!$S$61,0))</f>
        <v>0</v>
      </c>
      <c r="T78" s="913">
        <f>IF(ISERROR(IF(MOD(IF(AND(B78&gt;='Energy margins'!$T$62,B78&lt;='Energy margins'!$U$62),B78-'Energy margins'!$T$62,""),'Energy margins'!$V$62)=0,'Energy margins'!$S$62,0)),0,IF(MOD(IF(AND(B78&gt;='Energy margins'!$T$62,B78&lt;='Energy margins'!$U$62),B78-'Energy margins'!$T$62,""),'Energy margins'!$V$62)=0,'Energy margins'!$S$62,0))</f>
        <v>0</v>
      </c>
      <c r="U78" s="939">
        <f t="shared" si="36"/>
        <v>1840.1999999999998</v>
      </c>
      <c r="V78" s="197"/>
      <c r="W78" s="197">
        <f t="shared" si="37"/>
        <v>1840.1999999999998</v>
      </c>
      <c r="X78" s="197">
        <f t="shared" si="31"/>
        <v>1290.5815000000002</v>
      </c>
      <c r="Y78" s="197">
        <f t="shared" si="32"/>
        <v>1762.2215000000001</v>
      </c>
      <c r="Z78" s="968">
        <f t="shared" si="38"/>
        <v>1880.2662382498565</v>
      </c>
      <c r="AA78" s="969">
        <f t="shared" si="39"/>
        <v>283.25476198455954</v>
      </c>
      <c r="AB78" s="969">
        <f t="shared" si="40"/>
        <v>1105.1764333050344</v>
      </c>
      <c r="AC78" s="969">
        <f t="shared" si="41"/>
        <v>775.08980494482205</v>
      </c>
      <c r="AD78" s="969">
        <f t="shared" si="42"/>
        <v>1058.3445669293815</v>
      </c>
      <c r="AE78" s="968">
        <f t="shared" si="47"/>
        <v>30775.125746169724</v>
      </c>
      <c r="AF78" s="969">
        <f t="shared" si="43"/>
        <v>5181.270950386006</v>
      </c>
      <c r="AG78" s="969">
        <f t="shared" si="44"/>
        <v>48253.404256131522</v>
      </c>
      <c r="AH78" s="969">
        <f t="shared" si="45"/>
        <v>-17478.278509961787</v>
      </c>
      <c r="AI78" s="970">
        <f t="shared" si="46"/>
        <v>-12297.007559575781</v>
      </c>
    </row>
    <row r="79" spans="2:35" x14ac:dyDescent="0.3">
      <c r="B79" s="895">
        <v>15</v>
      </c>
      <c r="C79" s="917">
        <f>'Energy Inputs'!F44</f>
        <v>1</v>
      </c>
      <c r="D79" s="913">
        <f>C79*'Energy Inputs'!$F$24</f>
        <v>11.617000000000001</v>
      </c>
      <c r="E79" s="197">
        <f>'Energy margins'!$S$12</f>
        <v>269.5</v>
      </c>
      <c r="F79" s="197">
        <f t="shared" si="34"/>
        <v>3130.7815000000001</v>
      </c>
      <c r="G79" s="913">
        <f>'Energy Inputs'!$D$10</f>
        <v>471.64</v>
      </c>
      <c r="H79" s="197">
        <f t="shared" si="35"/>
        <v>3602.4214999999999</v>
      </c>
      <c r="I79" s="197"/>
      <c r="J79" s="942">
        <f>IF(ISERROR(IF(MOD(IF(AND(B79&gt;='Energy margins'!$T$44,B79&lt;='Energy margins'!$U$44),B79-'Energy margins'!$T$44,""),'Energy margins'!$V$44)=0,'Energy margins'!$S$44,0)),0,IF(MOD(IF(AND(B79&gt;='Energy margins'!$T$44,B79&lt;='Energy margins'!$U$44),B79-'Energy margins'!$T$44,""),'Energy margins'!$V$44)=0,'Energy margins'!$S$44,0))</f>
        <v>0</v>
      </c>
      <c r="K79" s="913">
        <f>IF(ISERROR(IF(MOD(IF(AND(B79&gt;='Energy margins'!$T$45,B79&lt;='Energy margins'!$U$45),B79-'Energy margins'!$T$45,""),'Energy margins'!$V$45)=0,'Energy margins'!$S$45,0)),0,IF(MOD(IF(AND(B79&gt;='Energy margins'!$T$45,B79&lt;='Energy margins'!$U$45),B79-'Energy margins'!$T$45,""),'Energy margins'!$V$45)=0,'Energy margins'!$S$45,0))</f>
        <v>0</v>
      </c>
      <c r="L79" s="913">
        <f>IF(ISERROR(IF(MOD(IF(AND(B79&gt;='Energy margins'!$T$46,B79&lt;='Energy margins'!$U$46),B79-'Energy margins'!$T$46,""),'Energy margins'!$V$46)=0,'Energy margins'!$S$46,0)),0,IF(MOD(IF(AND(B79&gt;='Energy margins'!$T$46,B79&lt;='Energy margins'!$U$46),B79-'Energy margins'!$T$46,""),'Energy margins'!$V$46)=0,'Energy margins'!$S$46,0))</f>
        <v>0</v>
      </c>
      <c r="M79" s="913">
        <f>IF(ISERROR(IF(MOD(IF(AND(B79&gt;='Energy margins'!$T$47,B79&lt;='Energy margins'!$U$47),B79-'Energy margins'!$T$47,""),'Energy margins'!$V$47)=0,'Energy margins'!$S$47,0)),0,IF(MOD(IF(AND(B79&gt;='Energy margins'!$T$47,B79&lt;='Energy margins'!$U$47),B79-'Energy margins'!$T$47,""),'Energy margins'!$V$47)=0,'Energy margins'!$S$47,0))</f>
        <v>327</v>
      </c>
      <c r="N79" s="913">
        <f>IF(ISERROR(IF(MOD(IF(AND(B79&gt;='Energy margins'!$T$50,B79&lt;='Energy margins'!$U$50),B79-'Energy margins'!$T$50,""),'Energy margins'!$V$50)=0,'Energy margins'!$S$50,0)),0,IF(MOD(IF(AND(B79&gt;='Energy margins'!$T$50,B79&lt;='Energy margins'!$U$50),B79-'Energy margins'!$T$50,""),'Energy margins'!$V$50)=0,'Energy margins'!$S$50,0))</f>
        <v>344</v>
      </c>
      <c r="O79" s="913">
        <f>IF(ISERROR(IF(MOD(IF(AND(B79&gt;='Energy margins'!$T$53,B79&lt;='Energy margins'!$U$53),B79-'Energy margins'!$T$53,""),'Energy margins'!$V$53)=0,'Energy margins'!$S$53,0)),0,IF(MOD(IF(AND(B79&gt;='Energy margins'!$T$53,B79&lt;='Energy margins'!$U$53),B79-'Energy margins'!$T$53,""),'Energy margins'!$V$53)=0,'Energy margins'!$S$53,0))</f>
        <v>357.59999999999997</v>
      </c>
      <c r="P79" s="913">
        <f>IF(ISERROR(IF(MOD(IF(AND(B79&gt;='Energy margins'!$T$56,B79&lt;='Energy margins'!$U$56),B79-'Energy margins'!$T$56,""),'Energy margins'!$V$56)=0,'Energy margins'!$S$56,0)),0,IF(MOD(IF(AND(B79&gt;='Energy margins'!$T$56,B79&lt;='Energy margins'!$U$56),B79-'Energy margins'!$T$56,""),'Energy margins'!$V$56)=0,'Energy margins'!$S$56,0))</f>
        <v>321.60000000000002</v>
      </c>
      <c r="Q79" s="913">
        <f>IF(ISERROR(IF(MOD(IF(AND(B79&gt;='Energy margins'!$T$59,B79&lt;='Energy margins'!$U$59),B79-'Energy margins'!$T$59,""),'Energy margins'!$V$59)=0,'Energy margins'!$S$59,0)),0,IF(MOD(IF(AND(B79&gt;='Energy margins'!$T$59,B79&lt;='Energy margins'!$U$59),B79-'Energy margins'!$T$59,""),'Energy margins'!$V$59)=0,'Energy margins'!$S$59,0))</f>
        <v>490.00000000000006</v>
      </c>
      <c r="R79" s="913">
        <f>IF(ISERROR(IF(MOD(IF(AND(B79&gt;='Energy margins'!$T$60,B79&lt;='Energy margins'!$U$60),B79-'Energy margins'!$T$60,""),'Energy margins'!$V$60)=0,'Energy margins'!$S$60,0)),0,IF(MOD(IF(AND(B79&gt;='Energy margins'!$T$60,B79&lt;='Energy margins'!$U$60),B79-'Energy margins'!$T$60,""),'Energy margins'!$V$60)=0,'Energy margins'!$S$60,0))</f>
        <v>0</v>
      </c>
      <c r="S79" s="913">
        <f>IF(ISERROR(IF(MOD(IF(AND(B79&gt;='Energy margins'!$T$61,B79&lt;='Energy margins'!$U$61),B79-'Energy margins'!$T$61,""),'Energy margins'!$V$61)=0,'Energy margins'!$S$61,0)),0,IF(MOD(IF(AND(B79&gt;='Energy margins'!$T$61,B79&lt;='Energy margins'!$U$61),B79-'Energy margins'!$T$61,""),'Energy margins'!$V$61)=0,'Energy margins'!$S$61,0))</f>
        <v>0</v>
      </c>
      <c r="T79" s="913">
        <f>IF(ISERROR(IF(MOD(IF(AND(B79&gt;='Energy margins'!$T$62,B79&lt;='Energy margins'!$U$62),B79-'Energy margins'!$T$62,""),'Energy margins'!$V$62)=0,'Energy margins'!$S$62,0)),0,IF(MOD(IF(AND(B79&gt;='Energy margins'!$T$62,B79&lt;='Energy margins'!$U$62),B79-'Energy margins'!$T$62,""),'Energy margins'!$V$62)=0,'Energy margins'!$S$62,0))</f>
        <v>0</v>
      </c>
      <c r="U79" s="939">
        <f t="shared" si="36"/>
        <v>1840.1999999999998</v>
      </c>
      <c r="V79" s="197"/>
      <c r="W79" s="197">
        <f t="shared" si="37"/>
        <v>1840.1999999999998</v>
      </c>
      <c r="X79" s="197">
        <f t="shared" si="31"/>
        <v>1290.5815000000002</v>
      </c>
      <c r="Y79" s="197">
        <f t="shared" si="32"/>
        <v>1762.2215000000001</v>
      </c>
      <c r="Z79" s="968">
        <f t="shared" si="38"/>
        <v>1807.9483060094774</v>
      </c>
      <c r="AA79" s="969">
        <f t="shared" si="39"/>
        <v>272.36034806207647</v>
      </c>
      <c r="AB79" s="969">
        <f t="shared" si="40"/>
        <v>1062.6696474086868</v>
      </c>
      <c r="AC79" s="969">
        <f t="shared" si="41"/>
        <v>745.27865860079044</v>
      </c>
      <c r="AD79" s="969">
        <f t="shared" si="42"/>
        <v>1017.6390066628669</v>
      </c>
      <c r="AE79" s="968">
        <f t="shared" si="47"/>
        <v>32583.074052179203</v>
      </c>
      <c r="AF79" s="969">
        <f t="shared" si="43"/>
        <v>5453.6312984480828</v>
      </c>
      <c r="AG79" s="969">
        <f t="shared" si="44"/>
        <v>49316.073903540208</v>
      </c>
      <c r="AH79" s="969">
        <f t="shared" si="45"/>
        <v>-16732.999851360997</v>
      </c>
      <c r="AI79" s="970">
        <f t="shared" si="46"/>
        <v>-11279.368552912914</v>
      </c>
    </row>
    <row r="80" spans="2:35" x14ac:dyDescent="0.3">
      <c r="B80" s="896">
        <v>16</v>
      </c>
      <c r="C80" s="914">
        <f>'Energy Inputs'!F45</f>
        <v>1</v>
      </c>
      <c r="D80" s="914">
        <f>C80*'Energy Inputs'!$F$24</f>
        <v>11.617000000000001</v>
      </c>
      <c r="E80" s="207">
        <f>'Energy margins'!$S$12</f>
        <v>269.5</v>
      </c>
      <c r="F80" s="207">
        <f t="shared" si="34"/>
        <v>3130.7815000000001</v>
      </c>
      <c r="G80" s="914">
        <f>'Energy Inputs'!$D$10</f>
        <v>471.64</v>
      </c>
      <c r="H80" s="207">
        <f t="shared" si="35"/>
        <v>3602.4214999999999</v>
      </c>
      <c r="I80" s="207"/>
      <c r="J80" s="943">
        <f>IF(ISERROR(IF(MOD(IF(AND(B80&gt;='Energy margins'!$T$44,B80&lt;='Energy margins'!$U$44),B80-'Energy margins'!$T$44,""),'Energy margins'!$V$44)=0,'Energy margins'!$S$44,0)),0,IF(MOD(IF(AND(B80&gt;='Energy margins'!$T$44,B80&lt;='Energy margins'!$U$44),B80-'Energy margins'!$T$44,""),'Energy margins'!$V$44)=0,'Energy margins'!$S$44,0))</f>
        <v>0</v>
      </c>
      <c r="K80" s="914">
        <f>IF(ISERROR(IF(MOD(IF(AND(B80&gt;='Energy margins'!$T$45,B80&lt;='Energy margins'!$U$45),B80-'Energy margins'!$T$45,""),'Energy margins'!$V$45)=0,'Energy margins'!$S$45,0)),0,IF(MOD(IF(AND(B80&gt;='Energy margins'!$T$45,B80&lt;='Energy margins'!$U$45),B80-'Energy margins'!$T$45,""),'Energy margins'!$V$45)=0,'Energy margins'!$S$45,0))</f>
        <v>0</v>
      </c>
      <c r="L80" s="914">
        <f>IF(ISERROR(IF(MOD(IF(AND(B80&gt;='Energy margins'!$T$46,B80&lt;='Energy margins'!$U$46),B80-'Energy margins'!$T$46,""),'Energy margins'!$V$46)=0,'Energy margins'!$S$46,0)),0,IF(MOD(IF(AND(B80&gt;='Energy margins'!$T$46,B80&lt;='Energy margins'!$U$46),B80-'Energy margins'!$T$46,""),'Energy margins'!$V$46)=0,'Energy margins'!$S$46,0))</f>
        <v>0</v>
      </c>
      <c r="M80" s="914">
        <f>IF(ISERROR(IF(MOD(IF(AND(B80&gt;='Energy margins'!$T$47,B80&lt;='Energy margins'!$U$47),B80-'Energy margins'!$T$47,""),'Energy margins'!$V$47)=0,'Energy margins'!$S$47,0)),0,IF(MOD(IF(AND(B80&gt;='Energy margins'!$T$47,B80&lt;='Energy margins'!$U$47),B80-'Energy margins'!$T$47,""),'Energy margins'!$V$47)=0,'Energy margins'!$S$47,0))</f>
        <v>327</v>
      </c>
      <c r="N80" s="914">
        <f>IF(ISERROR(IF(MOD(IF(AND(B80&gt;='Energy margins'!$T$50,B80&lt;='Energy margins'!$U$50),B80-'Energy margins'!$T$50,""),'Energy margins'!$V$50)=0,'Energy margins'!$S$50,0)),0,IF(MOD(IF(AND(B80&gt;='Energy margins'!$T$50,B80&lt;='Energy margins'!$U$50),B80-'Energy margins'!$T$50,""),'Energy margins'!$V$50)=0,'Energy margins'!$S$50,0))</f>
        <v>344</v>
      </c>
      <c r="O80" s="914">
        <f>IF(ISERROR(IF(MOD(IF(AND(B80&gt;='Energy margins'!$T$53,B80&lt;='Energy margins'!$U$53),B80-'Energy margins'!$T$53,""),'Energy margins'!$V$53)=0,'Energy margins'!$S$53,0)),0,IF(MOD(IF(AND(B80&gt;='Energy margins'!$T$53,B80&lt;='Energy margins'!$U$53),B80-'Energy margins'!$T$53,""),'Energy margins'!$V$53)=0,'Energy margins'!$S$53,0))</f>
        <v>357.59999999999997</v>
      </c>
      <c r="P80" s="914">
        <f>IF(ISERROR(IF(MOD(IF(AND(B80&gt;='Energy margins'!$T$56,B80&lt;='Energy margins'!$U$56),B80-'Energy margins'!$T$56,""),'Energy margins'!$V$56)=0,'Energy margins'!$S$56,0)),0,IF(MOD(IF(AND(B80&gt;='Energy margins'!$T$56,B80&lt;='Energy margins'!$U$56),B80-'Energy margins'!$T$56,""),'Energy margins'!$V$56)=0,'Energy margins'!$S$56,0))</f>
        <v>321.60000000000002</v>
      </c>
      <c r="Q80" s="914">
        <f>IF(ISERROR(IF(MOD(IF(AND(B80&gt;='Energy margins'!$T$59,B80&lt;='Energy margins'!$U$59),B80-'Energy margins'!$T$59,""),'Energy margins'!$V$59)=0,'Energy margins'!$S$59,0)),0,IF(MOD(IF(AND(B80&gt;='Energy margins'!$T$59,B80&lt;='Energy margins'!$U$59),B80-'Energy margins'!$T$59,""),'Energy margins'!$V$59)=0,'Energy margins'!$S$59,0))</f>
        <v>0</v>
      </c>
      <c r="R80" s="914">
        <f>IF(ISERROR(IF(MOD(IF(AND(B80&gt;='Energy margins'!$T$60,B80&lt;='Energy margins'!$U$60),B80-'Energy margins'!$T$60,""),'Energy margins'!$V$60)=0,'Energy margins'!$S$60,0)),0,IF(MOD(IF(AND(B80&gt;='Energy margins'!$T$60,B80&lt;='Energy margins'!$U$60),B80-'Energy margins'!$T$60,""),'Energy margins'!$V$60)=0,'Energy margins'!$S$60,0))</f>
        <v>0</v>
      </c>
      <c r="S80" s="914">
        <f>IF(ISERROR(IF(MOD(IF(AND(B80&gt;='Energy margins'!$T$61,B80&lt;='Energy margins'!$U$61),B80-'Energy margins'!$T$61,""),'Energy margins'!$V$61)=0,'Energy margins'!$S$61,0)),0,IF(MOD(IF(AND(B80&gt;='Energy margins'!$T$61,B80&lt;='Energy margins'!$U$61),B80-'Energy margins'!$T$61,""),'Energy margins'!$V$61)=0,'Energy margins'!$S$61,0))</f>
        <v>0</v>
      </c>
      <c r="T80" s="914">
        <f>IF(ISERROR(IF(MOD(IF(AND(B80&gt;='Energy margins'!$T$62,B80&lt;='Energy margins'!$U$62),B80-'Energy margins'!$T$62,""),'Energy margins'!$V$62)=0,'Energy margins'!$S$62,0)),0,IF(MOD(IF(AND(B80&gt;='Energy margins'!$T$62,B80&lt;='Energy margins'!$U$62),B80-'Energy margins'!$T$62,""),'Energy margins'!$V$62)=0,'Energy margins'!$S$62,0))</f>
        <v>0</v>
      </c>
      <c r="U80" s="941">
        <f t="shared" si="36"/>
        <v>1350.1999999999998</v>
      </c>
      <c r="V80" s="207">
        <f>'Energy margins'!X67</f>
        <v>500</v>
      </c>
      <c r="W80" s="207">
        <f t="shared" si="37"/>
        <v>1850.1999999999998</v>
      </c>
      <c r="X80" s="207">
        <f t="shared" si="31"/>
        <v>1280.5815000000002</v>
      </c>
      <c r="Y80" s="207">
        <f t="shared" si="32"/>
        <v>1752.2215000000001</v>
      </c>
      <c r="Z80" s="971">
        <f t="shared" si="38"/>
        <v>1738.4118327014205</v>
      </c>
      <c r="AA80" s="972">
        <f t="shared" si="39"/>
        <v>261.88495005968895</v>
      </c>
      <c r="AB80" s="972">
        <f t="shared" si="40"/>
        <v>1027.3503829201009</v>
      </c>
      <c r="AC80" s="972">
        <f t="shared" si="41"/>
        <v>711.06144978131965</v>
      </c>
      <c r="AD80" s="973">
        <f t="shared" si="42"/>
        <v>972.94639984100854</v>
      </c>
      <c r="AE80" s="971">
        <f t="shared" si="47"/>
        <v>34321.485884880625</v>
      </c>
      <c r="AF80" s="972">
        <f t="shared" si="43"/>
        <v>5715.5162485077717</v>
      </c>
      <c r="AG80" s="972">
        <f t="shared" si="44"/>
        <v>50343.424286460307</v>
      </c>
      <c r="AH80" s="972">
        <f t="shared" si="45"/>
        <v>-16021.938401579677</v>
      </c>
      <c r="AI80" s="973">
        <f t="shared" si="46"/>
        <v>-10306.422153071906</v>
      </c>
    </row>
    <row r="83" spans="2:35" x14ac:dyDescent="0.3">
      <c r="J83" t="s">
        <v>549</v>
      </c>
      <c r="K83" t="s">
        <v>553</v>
      </c>
    </row>
    <row r="84" spans="2:35" x14ac:dyDescent="0.3">
      <c r="J84" t="s">
        <v>550</v>
      </c>
      <c r="K84" t="s">
        <v>554</v>
      </c>
    </row>
    <row r="85" spans="2:35" x14ac:dyDescent="0.3">
      <c r="J85" t="s">
        <v>551</v>
      </c>
      <c r="K85" t="s">
        <v>555</v>
      </c>
    </row>
    <row r="86" spans="2:35" x14ac:dyDescent="0.3">
      <c r="J86" t="s">
        <v>552</v>
      </c>
      <c r="K86" t="s">
        <v>556</v>
      </c>
    </row>
    <row r="87" spans="2:35" x14ac:dyDescent="0.3">
      <c r="B87" s="228" t="s">
        <v>437</v>
      </c>
      <c r="C87" s="231"/>
      <c r="D87" s="231"/>
      <c r="E87" s="231"/>
      <c r="F87" s="194"/>
      <c r="G87" s="193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</row>
    <row r="88" spans="2:35" x14ac:dyDescent="0.3">
      <c r="B88" s="203"/>
      <c r="C88" s="148"/>
      <c r="D88" s="148"/>
      <c r="E88" s="148"/>
      <c r="F88" s="1082"/>
      <c r="G88" s="1082"/>
      <c r="H88" s="1082"/>
      <c r="I88" s="148"/>
      <c r="J88" s="925" t="s">
        <v>86</v>
      </c>
      <c r="K88" s="926"/>
      <c r="L88" s="926"/>
      <c r="M88" s="926"/>
      <c r="N88" s="926"/>
      <c r="O88" s="926"/>
      <c r="P88" s="926"/>
      <c r="Q88" s="926"/>
      <c r="R88" s="926"/>
      <c r="S88" s="926"/>
      <c r="T88" s="926"/>
      <c r="U88" s="927"/>
      <c r="V88" s="1082"/>
      <c r="W88" s="1082"/>
      <c r="X88" s="148"/>
      <c r="Y88" s="148"/>
      <c r="Z88" s="1083" t="s">
        <v>273</v>
      </c>
      <c r="AA88" s="1084"/>
      <c r="AB88" s="1084"/>
      <c r="AC88" s="1084"/>
      <c r="AD88" s="1085"/>
      <c r="AE88" s="1083" t="s">
        <v>274</v>
      </c>
      <c r="AF88" s="1084"/>
      <c r="AG88" s="1084"/>
      <c r="AH88" s="1084"/>
      <c r="AI88" s="1085"/>
    </row>
    <row r="89" spans="2:35" ht="51" x14ac:dyDescent="0.3">
      <c r="B89" s="204" t="s">
        <v>275</v>
      </c>
      <c r="C89" s="205" t="s">
        <v>536</v>
      </c>
      <c r="D89" s="205" t="s">
        <v>293</v>
      </c>
      <c r="E89" s="205" t="s">
        <v>294</v>
      </c>
      <c r="F89" s="171" t="s">
        <v>622</v>
      </c>
      <c r="G89" s="171" t="s">
        <v>591</v>
      </c>
      <c r="H89" s="171" t="s">
        <v>623</v>
      </c>
      <c r="I89" s="205" t="s">
        <v>291</v>
      </c>
      <c r="J89" s="950" t="s">
        <v>253</v>
      </c>
      <c r="K89" s="951" t="s">
        <v>33</v>
      </c>
      <c r="L89" s="951" t="s">
        <v>520</v>
      </c>
      <c r="M89" s="951" t="s">
        <v>145</v>
      </c>
      <c r="N89" s="952" t="s">
        <v>542</v>
      </c>
      <c r="O89" s="952" t="s">
        <v>543</v>
      </c>
      <c r="P89" s="952" t="s">
        <v>544</v>
      </c>
      <c r="Q89" s="953" t="s">
        <v>180</v>
      </c>
      <c r="R89" s="953" t="s">
        <v>464</v>
      </c>
      <c r="S89" s="954" t="s">
        <v>465</v>
      </c>
      <c r="T89" s="953" t="s">
        <v>466</v>
      </c>
      <c r="U89" s="955" t="s">
        <v>292</v>
      </c>
      <c r="V89" s="205" t="s">
        <v>295</v>
      </c>
      <c r="W89" s="171" t="s">
        <v>279</v>
      </c>
      <c r="X89" s="171" t="s">
        <v>624</v>
      </c>
      <c r="Y89" s="171" t="s">
        <v>625</v>
      </c>
      <c r="Z89" s="195" t="s">
        <v>280</v>
      </c>
      <c r="AA89" s="171" t="s">
        <v>626</v>
      </c>
      <c r="AB89" s="171" t="s">
        <v>281</v>
      </c>
      <c r="AC89" s="171" t="s">
        <v>627</v>
      </c>
      <c r="AD89" s="198" t="s">
        <v>282</v>
      </c>
      <c r="AE89" s="195" t="s">
        <v>283</v>
      </c>
      <c r="AF89" s="171" t="s">
        <v>628</v>
      </c>
      <c r="AG89" s="171" t="s">
        <v>284</v>
      </c>
      <c r="AH89" s="171" t="s">
        <v>629</v>
      </c>
      <c r="AI89" s="198" t="s">
        <v>285</v>
      </c>
    </row>
    <row r="90" spans="2:35" x14ac:dyDescent="0.3">
      <c r="B90" s="173"/>
      <c r="C90" s="226" t="s">
        <v>537</v>
      </c>
      <c r="D90" s="226" t="s">
        <v>336</v>
      </c>
      <c r="E90" s="226" t="s">
        <v>573</v>
      </c>
      <c r="F90" s="226" t="s">
        <v>571</v>
      </c>
      <c r="G90" s="226" t="s">
        <v>571</v>
      </c>
      <c r="H90" s="226" t="s">
        <v>571</v>
      </c>
      <c r="I90" s="226" t="s">
        <v>571</v>
      </c>
      <c r="J90" s="946" t="s">
        <v>571</v>
      </c>
      <c r="K90" s="947" t="s">
        <v>571</v>
      </c>
      <c r="L90" s="947" t="s">
        <v>571</v>
      </c>
      <c r="M90" s="947" t="s">
        <v>571</v>
      </c>
      <c r="N90" s="947" t="s">
        <v>571</v>
      </c>
      <c r="O90" s="947" t="s">
        <v>571</v>
      </c>
      <c r="P90" s="947" t="s">
        <v>571</v>
      </c>
      <c r="Q90" s="948" t="s">
        <v>571</v>
      </c>
      <c r="R90" s="948" t="s">
        <v>571</v>
      </c>
      <c r="S90" s="948" t="s">
        <v>571</v>
      </c>
      <c r="T90" s="948" t="s">
        <v>573</v>
      </c>
      <c r="U90" s="949" t="s">
        <v>571</v>
      </c>
      <c r="V90" s="226" t="s">
        <v>571</v>
      </c>
      <c r="W90" s="226" t="s">
        <v>571</v>
      </c>
      <c r="X90" s="226" t="s">
        <v>571</v>
      </c>
      <c r="Y90" s="727" t="s">
        <v>571</v>
      </c>
      <c r="Z90" s="226" t="s">
        <v>571</v>
      </c>
      <c r="AA90" s="226" t="s">
        <v>571</v>
      </c>
      <c r="AB90" s="226" t="s">
        <v>571</v>
      </c>
      <c r="AC90" s="226" t="s">
        <v>571</v>
      </c>
      <c r="AD90" s="727" t="s">
        <v>571</v>
      </c>
      <c r="AE90" s="226" t="s">
        <v>571</v>
      </c>
      <c r="AF90" s="226" t="s">
        <v>571</v>
      </c>
      <c r="AG90" s="226" t="s">
        <v>571</v>
      </c>
      <c r="AH90" s="226" t="s">
        <v>571</v>
      </c>
      <c r="AI90" s="727" t="s">
        <v>571</v>
      </c>
    </row>
    <row r="91" spans="2:35" x14ac:dyDescent="0.3">
      <c r="B91" s="894">
        <v>1</v>
      </c>
      <c r="C91" s="917">
        <f>'Energy Inputs'!G30</f>
        <v>0</v>
      </c>
      <c r="D91" s="913">
        <f>C91*'Energy Inputs'!$G$24</f>
        <v>0</v>
      </c>
      <c r="E91" s="197">
        <f>'Energy margins'!$Z$12</f>
        <v>269.5</v>
      </c>
      <c r="F91" s="197">
        <f>D91*E91</f>
        <v>0</v>
      </c>
      <c r="G91" s="923">
        <f>'Energy Inputs'!$D$10</f>
        <v>471.64</v>
      </c>
      <c r="H91" s="197">
        <f>F91+G91</f>
        <v>471.64</v>
      </c>
      <c r="I91" s="197">
        <f>'Margins summary'!V20</f>
        <v>10887.875</v>
      </c>
      <c r="J91" s="959">
        <f>IF(ISERROR(IF(MOD(IF(AND(B91&gt;='Energy margins'!$AA$44,B91&lt;='Energy margins'!$AB$44),B91-'Energy margins'!$AA$44,""),'Energy margins'!$AC$44)=0,'Energy margins'!$Z$44,0)),0,IF(MOD(IF(AND(B91&gt;='Energy margins'!$AA$44,B91&lt;='Energy margins'!$AB$44),B91-'Energy margins'!$AA$44,""),'Energy margins'!$AC$44)=0,'Energy margins'!$Z$44,0))</f>
        <v>0</v>
      </c>
      <c r="K91" s="923">
        <f>IF(ISERROR(IF(MOD(IF(AND(B91&gt;='Energy margins'!$AA$45,B91&lt;='Energy margins'!$AB$45),B91-'Energy margins'!$AA$45,""),'Energy margins'!$AC$45)=0,'Energy margins'!$Z$45,0)),0,IF(MOD(IF(AND(B91&gt;='Energy margins'!$AA$45,B91&lt;='Energy margins'!$AB$45),B91-'Energy margins'!$AA$45,""),'Energy margins'!$AC$45)=0,'Energy margins'!$Z$45,0))</f>
        <v>0</v>
      </c>
      <c r="L91" s="923">
        <f>IF(ISERROR(IF(MOD(IF(AND(B91&gt;='Energy margins'!$AA$46,B91&lt;='Energy margins'!$AB$46),B91-'Energy margins'!$AA$46,""),'Energy margins'!$AC$46)=0,'Energy margins'!$Z$46,0)),0,IF(MOD(IF(AND(B91&gt;='Energy margins'!$AA$46,B91&lt;='Energy margins'!$AB$46),B91-'Energy margins'!$AA$46,""),'Energy margins'!$AC$46)=0,'Energy margins'!$Z$46,0))</f>
        <v>0</v>
      </c>
      <c r="M91" s="923">
        <f>IF(ISERROR(IF(MOD(IF(AND(B91&gt;='Energy margins'!$AA$47,B91&lt;='Energy margins'!$AB$47),B91-'Energy margins'!$AA$47,""),'Energy margins'!$AC$47)=0,'Energy margins'!$Z$47,0)),0,IF(MOD(IF(AND(B91&gt;='Energy margins'!$AA$47,B91&lt;='Energy margins'!$AB$47),B91-'Energy margins'!$AA$47,""),'Energy margins'!$AC$47)=0,'Energy margins'!$Z$47,0))</f>
        <v>0</v>
      </c>
      <c r="N91" s="923">
        <f>IF(ISERROR(IF(MOD(IF(AND(B91&gt;='Energy margins'!$AA$50,B91&lt;='Energy margins'!$AB$50),B91-'Energy margins'!$AA$50,""),'Energy margins'!$AC$50)=0,'Energy margins'!$Z$50,0)),0,IF(MOD(IF(AND(B91&gt;='Energy margins'!$AA$50,B91&lt;='Energy margins'!$AB$50),B91-'Energy margins'!$AA$50,""),'Energy margins'!$AC$50)=0,'Energy margins'!$Z$50,0))</f>
        <v>0</v>
      </c>
      <c r="O91" s="923">
        <f>IF(ISERROR(IF(MOD(IF(AND(B91&gt;='Energy margins'!$AA$53,B91&lt;='Energy margins'!$AB$53),B91-'Energy margins'!$AA$53,""),'Energy margins'!$AC$53)=0,'Energy margins'!$Z$53,0)),0,IF(MOD(IF(AND(B91&gt;='Energy margins'!$AA$53,B91&lt;='Energy margins'!$AB$53),B91-'Energy margins'!$AA$53,""),'Energy margins'!$AC$53)=0,'Energy margins'!$Z$53,0))</f>
        <v>0</v>
      </c>
      <c r="P91" s="923">
        <f>IF(ISERROR(IF(MOD(IF(AND(B91&gt;='Energy margins'!$AA$56,B91&lt;='Energy margins'!$AB$56),B91-'Energy margins'!$AA$56,""),'Energy margins'!$AC$56)=0,'Energy margins'!$Z$56,0)),0,IF(MOD(IF(AND(B91&gt;='Energy margins'!$AA$56,B91&lt;='Energy margins'!$AB$56),B91-'Energy margins'!$AA$56,""),'Energy margins'!$AC$56)=0,'Energy margins'!$Z$56,0))</f>
        <v>0</v>
      </c>
      <c r="Q91" s="923">
        <f>IF(ISERROR(IF(MOD(IF(AND(B91&gt;='Energy margins'!$AA$59,B91&lt;='Energy margins'!$AB$59),B91-'Energy margins'!$AA$59,""),'Energy margins'!$AC$59)=0,'Energy margins'!$Z$59,0)),0,IF(MOD(IF(AND(B91&gt;='Energy margins'!$AA$59,B91&lt;='Energy margins'!$AB$59),B91-'Energy margins'!$AA$59,""),'Energy margins'!$AC$59)=0,'Energy margins'!$Z$59,0))</f>
        <v>0</v>
      </c>
      <c r="R91" s="923">
        <f>IF(ISERROR(IF(MOD(IF(AND(B91&gt;='Energy margins'!$AA$60,B91&lt;='Energy margins'!$AB$60),B91-'Energy margins'!$AA$60,""),'Energy margins'!$AC$60)=0,'Energy margins'!$Z$60,0)),0,IF(MOD(IF(AND(B91&gt;='Energy margins'!$AA$60,B91&lt;='Energy margins'!$AB$60),B91-'Energy margins'!$AA$60,""),'Energy margins'!$AC$60)=0,'Energy margins'!$Z$60,0))</f>
        <v>0</v>
      </c>
      <c r="S91" s="923">
        <f>IF(ISERROR(IF(MOD(IF(AND(B91&gt;='Energy margins'!$AA$61,B91&lt;='Energy margins'!$AB$61),B91-'Energy margins'!$AA$61,""),'Energy margins'!$AC$61)=0,'Energy margins'!$Z$61,0)),0,IF(MOD(IF(AND(B91&gt;='Energy margins'!$AA$61,B91&lt;='Energy margins'!$AB$61),B91-'Energy margins'!$AA$61,""),'Energy margins'!$AC$61)=0,'Energy margins'!$Z$61,0))</f>
        <v>0</v>
      </c>
      <c r="T91" s="923">
        <f>IF(ISERROR(IF(MOD(IF(AND(B91&gt;='Energy margins'!$AA$62,B91&lt;='Energy margins'!$AB$62),B91-'Energy margins'!$AA$62,""),'Energy margins'!$AC$62)=0,'Energy margins'!$Z$62,0)),0,IF(MOD(IF(AND(B91&gt;='Energy margins'!$AA$62,B91&lt;='Energy margins'!$AB$62),B91-'Energy margins'!$AA$62,""),'Energy margins'!$AC$62)=0,'Energy margins'!$Z$62,0))</f>
        <v>0</v>
      </c>
      <c r="U91" s="937">
        <f t="shared" ref="U91:U106" si="48">SUM(J91:T91)</f>
        <v>0</v>
      </c>
      <c r="V91" s="197"/>
      <c r="W91" s="197">
        <f>I91+U91+V91</f>
        <v>10887.875</v>
      </c>
      <c r="X91" s="197">
        <f t="shared" ref="X91:X106" si="49">F91-W91</f>
        <v>-10887.875</v>
      </c>
      <c r="Y91" s="197">
        <f t="shared" ref="Y91:Y106" si="50">H91-W91</f>
        <v>-10416.235000000001</v>
      </c>
      <c r="Z91" s="968">
        <f>F91/(1+$C$6)^($B91-1)</f>
        <v>0</v>
      </c>
      <c r="AA91" s="969">
        <f>G91/((1+$C$6)^($B91-1))</f>
        <v>471.64</v>
      </c>
      <c r="AB91" s="969">
        <f>W91/(1+$C$6)^($B91-1)</f>
        <v>10887.875</v>
      </c>
      <c r="AC91" s="969">
        <f t="shared" ref="AC91:AD91" si="51">X91/(1+$C$6)^($B91-1)</f>
        <v>-10887.875</v>
      </c>
      <c r="AD91" s="969">
        <f t="shared" si="51"/>
        <v>-10416.235000000001</v>
      </c>
      <c r="AE91" s="968">
        <f>Z91</f>
        <v>0</v>
      </c>
      <c r="AF91" s="969">
        <f>AA91</f>
        <v>471.64</v>
      </c>
      <c r="AG91" s="969">
        <f>AB91</f>
        <v>10887.875</v>
      </c>
      <c r="AH91" s="969">
        <f>AC91</f>
        <v>-10887.875</v>
      </c>
      <c r="AI91" s="970">
        <f>AD91</f>
        <v>-10416.235000000001</v>
      </c>
    </row>
    <row r="92" spans="2:35" x14ac:dyDescent="0.3">
      <c r="B92" s="895">
        <v>2</v>
      </c>
      <c r="C92" s="917">
        <f>'Energy Inputs'!G31</f>
        <v>0.60940695296523517</v>
      </c>
      <c r="D92" s="913">
        <f>C92*'Energy Inputs'!$G$24</f>
        <v>9.9333333333333336</v>
      </c>
      <c r="E92" s="197">
        <f>'Energy margins'!$Z$12</f>
        <v>269.5</v>
      </c>
      <c r="F92" s="197">
        <f>D92*E92</f>
        <v>2677.0333333333333</v>
      </c>
      <c r="G92" s="913">
        <f>'Energy Inputs'!$D$10</f>
        <v>471.64</v>
      </c>
      <c r="H92" s="197">
        <f t="shared" ref="H92:H106" si="52">F92+G92</f>
        <v>3148.6733333333332</v>
      </c>
      <c r="I92" s="197"/>
      <c r="J92" s="942">
        <f>IF(ISERROR(IF(MOD(IF(AND(B92&gt;='Energy margins'!$AA$44,B92&lt;='Energy margins'!$AB$44),B92-'Energy margins'!$AA$44,""),'Energy margins'!$AC$44)=0,'Energy margins'!$Z$44,0)),0,IF(MOD(IF(AND(B92&gt;='Energy margins'!$AA$44,B92&lt;='Energy margins'!$AB$44),B92-'Energy margins'!$AA$44,""),'Energy margins'!$AC$44)=0,'Energy margins'!$Z$44,0))</f>
        <v>788.90000000000009</v>
      </c>
      <c r="K92" s="913">
        <f>IF(ISERROR(IF(MOD(IF(AND(B92&gt;='Energy margins'!$AA$45,B92&lt;='Energy margins'!$AB$45),B92-'Energy margins'!$AA$45,""),'Energy margins'!$AC$45)=0,'Energy margins'!$Z$45,0)),0,IF(MOD(IF(AND(B92&gt;='Energy margins'!$AA$45,B92&lt;='Energy margins'!$AB$45),B92-'Energy margins'!$AA$45,""),'Energy margins'!$AC$45)=0,'Energy margins'!$Z$45,0))</f>
        <v>0</v>
      </c>
      <c r="L92" s="913">
        <f>IF(ISERROR(IF(MOD(IF(AND(B92&gt;='Energy margins'!$AA$46,B92&lt;='Energy margins'!$AB$46),B92-'Energy margins'!$AA$46,""),'Energy margins'!$AC$46)=0,'Energy margins'!$Z$46,0)),0,IF(MOD(IF(AND(B92&gt;='Energy margins'!$AA$46,B92&lt;='Energy margins'!$AB$46),B92-'Energy margins'!$AA$46,""),'Energy margins'!$AC$46)=0,'Energy margins'!$Z$46,0))</f>
        <v>0</v>
      </c>
      <c r="M92" s="913">
        <f>IF(ISERROR(IF(MOD(IF(AND(B92&gt;='Energy margins'!$AA$47,B92&lt;='Energy margins'!$AB$47),B92-'Energy margins'!$AA$47,""),'Energy margins'!$AC$47)=0,'Energy margins'!$Z$47,0)),0,IF(MOD(IF(AND(B92&gt;='Energy margins'!$AA$47,B92&lt;='Energy margins'!$AB$47),B92-'Energy margins'!$AA$47,""),'Energy margins'!$AC$47)=0,'Energy margins'!$Z$47,0))</f>
        <v>327</v>
      </c>
      <c r="N92" s="913">
        <f>IF(ISERROR(IF(MOD(IF(AND(B92&gt;='Energy margins'!$AA$50,B92&lt;='Energy margins'!$AB$50),B92-'Energy margins'!$AA$50,""),'Energy margins'!$AC$50)=0,'Energy margins'!$Z$50,0)),0,IF(MOD(IF(AND(B92&gt;='Energy margins'!$AA$50,B92&lt;='Energy margins'!$AB$50),B92-'Energy margins'!$AA$50,""),'Energy margins'!$AC$50)=0,'Energy margins'!$Z$50,0))</f>
        <v>344</v>
      </c>
      <c r="O92" s="913">
        <f>IF(ISERROR(IF(MOD(IF(AND(B92&gt;='Energy margins'!$AA$53,B92&lt;='Energy margins'!$AB$53),B92-'Energy margins'!$AA$53,""),'Energy margins'!$AC$53)=0,'Energy margins'!$Z$53,0)),0,IF(MOD(IF(AND(B92&gt;='Energy margins'!$AA$53,B92&lt;='Energy margins'!$AB$53),B92-'Energy margins'!$AA$53,""),'Energy margins'!$AC$53)=0,'Energy margins'!$Z$53,0))</f>
        <v>357.59999999999997</v>
      </c>
      <c r="P92" s="913">
        <f>IF(ISERROR(IF(MOD(IF(AND(B92&gt;='Energy margins'!$AA$56,B92&lt;='Energy margins'!$AB$56),B92-'Energy margins'!$AA$56,""),'Energy margins'!$AC$56)=0,'Energy margins'!$Z$56,0)),0,IF(MOD(IF(AND(B92&gt;='Energy margins'!$AA$56,B92&lt;='Energy margins'!$AB$56),B92-'Energy margins'!$AA$56,""),'Energy margins'!$AC$56)=0,'Energy margins'!$Z$56,0))</f>
        <v>321.60000000000002</v>
      </c>
      <c r="Q92" s="913">
        <f>IF(ISERROR(IF(MOD(IF(AND(B92&gt;='Energy margins'!$AA$59,B92&lt;='Energy margins'!$AB$59),B92-'Energy margins'!$AA$59,""),'Energy margins'!$AC$59)=0,'Energy margins'!$Z$59,0)),0,IF(MOD(IF(AND(B92&gt;='Energy margins'!$AA$59,B92&lt;='Energy margins'!$AB$59),B92-'Energy margins'!$AA$59,""),'Energy margins'!$AC$59)=0,'Energy margins'!$Z$59,0))</f>
        <v>0</v>
      </c>
      <c r="R92" s="913">
        <f>IF(ISERROR(IF(MOD(IF(AND(B92&gt;='Energy margins'!$AA$60,B92&lt;='Energy margins'!$AB$60),B92-'Energy margins'!$AA$60,""),'Energy margins'!$AC$60)=0,'Energy margins'!$Z$60,0)),0,IF(MOD(IF(AND(B92&gt;='Energy margins'!$AA$60,B92&lt;='Energy margins'!$AB$60),B92-'Energy margins'!$AA$60,""),'Energy margins'!$AC$60)=0,'Energy margins'!$Z$60,0))</f>
        <v>0</v>
      </c>
      <c r="S92" s="913">
        <f>IF(ISERROR(IF(MOD(IF(AND(B92&gt;='Energy margins'!$AA$61,B92&lt;='Energy margins'!$AB$61),B92-'Energy margins'!$AA$61,""),'Energy margins'!$AC$61)=0,'Energy margins'!$Z$61,0)),0,IF(MOD(IF(AND(B92&gt;='Energy margins'!$AA$61,B92&lt;='Energy margins'!$AB$61),B92-'Energy margins'!$AA$61,""),'Energy margins'!$AC$61)=0,'Energy margins'!$Z$61,0))</f>
        <v>857.50000000000011</v>
      </c>
      <c r="T92" s="913">
        <f>IF(ISERROR(IF(MOD(IF(AND(B92&gt;='Energy margins'!$AA$62,B92&lt;='Energy margins'!$AB$62),B92-'Energy margins'!$AA$62,""),'Energy margins'!$AC$62)=0,'Energy margins'!$Z$62,0)),0,IF(MOD(IF(AND(B92&gt;='Energy margins'!$AA$62,B92&lt;='Energy margins'!$AB$62),B92-'Energy margins'!$AA$62,""),'Energy margins'!$AC$62)=0,'Energy margins'!$Z$62,0))</f>
        <v>0</v>
      </c>
      <c r="U92" s="939">
        <f t="shared" si="48"/>
        <v>2996.6</v>
      </c>
      <c r="V92" s="197"/>
      <c r="W92" s="197">
        <f t="shared" ref="W92:W106" si="53">I92+U92+V92</f>
        <v>2996.6</v>
      </c>
      <c r="X92" s="197">
        <f t="shared" si="49"/>
        <v>-319.56666666666661</v>
      </c>
      <c r="Y92" s="197">
        <f t="shared" si="50"/>
        <v>152.07333333333327</v>
      </c>
      <c r="Z92" s="968">
        <f t="shared" ref="Z92:Z106" si="54">F92/(1+$C$6)^($B92-1)</f>
        <v>2574.0705128205127</v>
      </c>
      <c r="AA92" s="969">
        <f t="shared" ref="AA92:AA106" si="55">G92/((1+$C$6)^($B92-1))</f>
        <v>453.49999999999994</v>
      </c>
      <c r="AB92" s="969">
        <f t="shared" ref="AB92:AB106" si="56">W92/(1+$C$6)^($B92-1)</f>
        <v>2881.3461538461538</v>
      </c>
      <c r="AC92" s="969">
        <f t="shared" ref="AC92:AC106" si="57">X92/(1+$C$6)^($B92-1)</f>
        <v>-307.27564102564094</v>
      </c>
      <c r="AD92" s="969">
        <f t="shared" ref="AD92:AD106" si="58">Y92/(1+$C$6)^($B92-1)</f>
        <v>146.22435897435889</v>
      </c>
      <c r="AE92" s="968">
        <f>AE91+Z92</f>
        <v>2574.0705128205127</v>
      </c>
      <c r="AF92" s="969">
        <f t="shared" ref="AF92:AF106" si="59">AF91+AA92</f>
        <v>925.13999999999987</v>
      </c>
      <c r="AG92" s="969">
        <f t="shared" ref="AG92:AG106" si="60">AG91+AB92</f>
        <v>13769.221153846154</v>
      </c>
      <c r="AH92" s="969">
        <f t="shared" ref="AH92:AH106" si="61">AH91+AC92</f>
        <v>-11195.150641025641</v>
      </c>
      <c r="AI92" s="970">
        <f t="shared" ref="AI92:AI106" si="62">AI91+AD92</f>
        <v>-10270.010641025641</v>
      </c>
    </row>
    <row r="93" spans="2:35" x14ac:dyDescent="0.3">
      <c r="B93" s="895">
        <v>3</v>
      </c>
      <c r="C93" s="917">
        <f>'Energy Inputs'!G32</f>
        <v>0.90184049079754602</v>
      </c>
      <c r="D93" s="913">
        <f>C93*'Energy Inputs'!$G$24</f>
        <v>14.700000000000001</v>
      </c>
      <c r="E93" s="197">
        <f>'Energy margins'!$Z$12</f>
        <v>269.5</v>
      </c>
      <c r="F93" s="197">
        <f t="shared" ref="F93:F106" si="63">D93*E93</f>
        <v>3961.65</v>
      </c>
      <c r="G93" s="913">
        <f>'Energy Inputs'!$D$10</f>
        <v>471.64</v>
      </c>
      <c r="H93" s="197">
        <f t="shared" si="52"/>
        <v>4433.29</v>
      </c>
      <c r="I93" s="197"/>
      <c r="J93" s="942">
        <f>IF(ISERROR(IF(MOD(IF(AND(B93&gt;='Energy margins'!$AA$44,B93&lt;='Energy margins'!$AB$44),B93-'Energy margins'!$AA$44,""),'Energy margins'!$AC$44)=0,'Energy margins'!$Z$44,0)),0,IF(MOD(IF(AND(B93&gt;='Energy margins'!$AA$44,B93&lt;='Energy margins'!$AB$44),B93-'Energy margins'!$AA$44,""),'Energy margins'!$AC$44)=0,'Energy margins'!$Z$44,0))</f>
        <v>788.90000000000009</v>
      </c>
      <c r="K93" s="913">
        <f>IF(ISERROR(IF(MOD(IF(AND(B93&gt;='Energy margins'!$AA$45,B93&lt;='Energy margins'!$AB$45),B93-'Energy margins'!$AA$45,""),'Energy margins'!$AC$45)=0,'Energy margins'!$Z$45,0)),0,IF(MOD(IF(AND(B93&gt;='Energy margins'!$AA$45,B93&lt;='Energy margins'!$AB$45),B93-'Energy margins'!$AA$45,""),'Energy margins'!$AC$45)=0,'Energy margins'!$Z$45,0))</f>
        <v>0</v>
      </c>
      <c r="L93" s="913">
        <f>IF(ISERROR(IF(MOD(IF(AND(B93&gt;='Energy margins'!$AA$46,B93&lt;='Energy margins'!$AB$46),B93-'Energy margins'!$AA$46,""),'Energy margins'!$AC$46)=0,'Energy margins'!$Z$46,0)),0,IF(MOD(IF(AND(B93&gt;='Energy margins'!$AA$46,B93&lt;='Energy margins'!$AB$46),B93-'Energy margins'!$AA$46,""),'Energy margins'!$AC$46)=0,'Energy margins'!$Z$46,0))</f>
        <v>0</v>
      </c>
      <c r="M93" s="913">
        <f>IF(ISERROR(IF(MOD(IF(AND(B93&gt;='Energy margins'!$AA$47,B93&lt;='Energy margins'!$AB$47),B93-'Energy margins'!$AA$47,""),'Energy margins'!$AC$47)=0,'Energy margins'!$Z$47,0)),0,IF(MOD(IF(AND(B93&gt;='Energy margins'!$AA$47,B93&lt;='Energy margins'!$AB$47),B93-'Energy margins'!$AA$47,""),'Energy margins'!$AC$47)=0,'Energy margins'!$Z$47,0))</f>
        <v>327</v>
      </c>
      <c r="N93" s="913">
        <f>IF(ISERROR(IF(MOD(IF(AND(B93&gt;='Energy margins'!$AA$50,B93&lt;='Energy margins'!$AB$50),B93-'Energy margins'!$AA$50,""),'Energy margins'!$AC$50)=0,'Energy margins'!$Z$50,0)),0,IF(MOD(IF(AND(B93&gt;='Energy margins'!$AA$50,B93&lt;='Energy margins'!$AB$50),B93-'Energy margins'!$AA$50,""),'Energy margins'!$AC$50)=0,'Energy margins'!$Z$50,0))</f>
        <v>344</v>
      </c>
      <c r="O93" s="913">
        <f>IF(ISERROR(IF(MOD(IF(AND(B93&gt;='Energy margins'!$AA$53,B93&lt;='Energy margins'!$AB$53),B93-'Energy margins'!$AA$53,""),'Energy margins'!$AC$53)=0,'Energy margins'!$Z$53,0)),0,IF(MOD(IF(AND(B93&gt;='Energy margins'!$AA$53,B93&lt;='Energy margins'!$AB$53),B93-'Energy margins'!$AA$53,""),'Energy margins'!$AC$53)=0,'Energy margins'!$Z$53,0))</f>
        <v>357.59999999999997</v>
      </c>
      <c r="P93" s="913">
        <f>IF(ISERROR(IF(MOD(IF(AND(B93&gt;='Energy margins'!$AA$56,B93&lt;='Energy margins'!$AB$56),B93-'Energy margins'!$AA$56,""),'Energy margins'!$AC$56)=0,'Energy margins'!$Z$56,0)),0,IF(MOD(IF(AND(B93&gt;='Energy margins'!$AA$56,B93&lt;='Energy margins'!$AB$56),B93-'Energy margins'!$AA$56,""),'Energy margins'!$AC$56)=0,'Energy margins'!$Z$56,0))</f>
        <v>321.60000000000002</v>
      </c>
      <c r="Q93" s="913">
        <f>IF(ISERROR(IF(MOD(IF(AND(B93&gt;='Energy margins'!$AA$59,B93&lt;='Energy margins'!$AB$59),B93-'Energy margins'!$AA$59,""),'Energy margins'!$AC$59)=0,'Energy margins'!$Z$59,0)),0,IF(MOD(IF(AND(B93&gt;='Energy margins'!$AA$59,B93&lt;='Energy margins'!$AB$59),B93-'Energy margins'!$AA$59,""),'Energy margins'!$AC$59)=0,'Energy margins'!$Z$59,0))</f>
        <v>0</v>
      </c>
      <c r="R93" s="913">
        <f>IF(ISERROR(IF(MOD(IF(AND(B93&gt;='Energy margins'!$AA$60,B93&lt;='Energy margins'!$AB$60),B93-'Energy margins'!$AA$60,""),'Energy margins'!$AC$60)=0,'Energy margins'!$Z$60,0)),0,IF(MOD(IF(AND(B93&gt;='Energy margins'!$AA$60,B93&lt;='Energy margins'!$AB$60),B93-'Energy margins'!$AA$60,""),'Energy margins'!$AC$60)=0,'Energy margins'!$Z$60,0))</f>
        <v>0</v>
      </c>
      <c r="S93" s="913">
        <f>IF(ISERROR(IF(MOD(IF(AND(B93&gt;='Energy margins'!$AA$61,B93&lt;='Energy margins'!$AB$61),B93-'Energy margins'!$AA$61,""),'Energy margins'!$AC$61)=0,'Energy margins'!$Z$61,0)),0,IF(MOD(IF(AND(B93&gt;='Energy margins'!$AA$61,B93&lt;='Energy margins'!$AB$61),B93-'Energy margins'!$AA$61,""),'Energy margins'!$AC$61)=0,'Energy margins'!$Z$61,0))</f>
        <v>857.50000000000011</v>
      </c>
      <c r="T93" s="913">
        <f>IF(ISERROR(IF(MOD(IF(AND(B93&gt;='Energy margins'!$AA$62,B93&lt;='Energy margins'!$AB$62),B93-'Energy margins'!$AA$62,""),'Energy margins'!$AC$62)=0,'Energy margins'!$Z$62,0)),0,IF(MOD(IF(AND(B93&gt;='Energy margins'!$AA$62,B93&lt;='Energy margins'!$AB$62),B93-'Energy margins'!$AA$62,""),'Energy margins'!$AC$62)=0,'Energy margins'!$Z$62,0))</f>
        <v>0</v>
      </c>
      <c r="U93" s="939">
        <f t="shared" si="48"/>
        <v>2996.6</v>
      </c>
      <c r="V93" s="197"/>
      <c r="W93" s="197">
        <f t="shared" si="53"/>
        <v>2996.6</v>
      </c>
      <c r="X93" s="197">
        <f t="shared" si="49"/>
        <v>965.05000000000018</v>
      </c>
      <c r="Y93" s="197">
        <f t="shared" si="50"/>
        <v>1436.69</v>
      </c>
      <c r="Z93" s="968">
        <f t="shared" si="54"/>
        <v>3662.768121301775</v>
      </c>
      <c r="AA93" s="969">
        <f t="shared" si="55"/>
        <v>436.05769230769226</v>
      </c>
      <c r="AB93" s="969">
        <f t="shared" si="56"/>
        <v>2770.5251479289936</v>
      </c>
      <c r="AC93" s="969">
        <f t="shared" si="57"/>
        <v>892.24297337278119</v>
      </c>
      <c r="AD93" s="969">
        <f t="shared" si="58"/>
        <v>1328.3006656804732</v>
      </c>
      <c r="AE93" s="968">
        <f t="shared" ref="AE93:AE106" si="64">AE92+Z93</f>
        <v>6236.8386341222877</v>
      </c>
      <c r="AF93" s="969">
        <f t="shared" si="59"/>
        <v>1361.1976923076923</v>
      </c>
      <c r="AG93" s="969">
        <f t="shared" si="60"/>
        <v>16539.746301775147</v>
      </c>
      <c r="AH93" s="969">
        <f t="shared" si="61"/>
        <v>-10302.90766765286</v>
      </c>
      <c r="AI93" s="970">
        <f t="shared" si="62"/>
        <v>-8941.7099753451675</v>
      </c>
    </row>
    <row r="94" spans="2:35" x14ac:dyDescent="0.3">
      <c r="B94" s="895">
        <v>4</v>
      </c>
      <c r="C94" s="917">
        <f>'Energy Inputs'!G33</f>
        <v>0.96523517382413093</v>
      </c>
      <c r="D94" s="913">
        <f>C94*'Energy Inputs'!$G$24</f>
        <v>15.733333333333334</v>
      </c>
      <c r="E94" s="197">
        <f>'Energy margins'!$Z$12</f>
        <v>269.5</v>
      </c>
      <c r="F94" s="197">
        <f t="shared" si="63"/>
        <v>4240.1333333333332</v>
      </c>
      <c r="G94" s="913">
        <f>'Energy Inputs'!$D$10</f>
        <v>471.64</v>
      </c>
      <c r="H94" s="197">
        <f t="shared" si="52"/>
        <v>4711.7733333333335</v>
      </c>
      <c r="I94" s="197"/>
      <c r="J94" s="942">
        <f>IF(ISERROR(IF(MOD(IF(AND(B94&gt;='Energy margins'!$AA$44,B94&lt;='Energy margins'!$AB$44),B94-'Energy margins'!$AA$44,""),'Energy margins'!$AC$44)=0,'Energy margins'!$Z$44,0)),0,IF(MOD(IF(AND(B94&gt;='Energy margins'!$AA$44,B94&lt;='Energy margins'!$AB$44),B94-'Energy margins'!$AA$44,""),'Energy margins'!$AC$44)=0,'Energy margins'!$Z$44,0))</f>
        <v>0</v>
      </c>
      <c r="K94" s="913">
        <f>IF(ISERROR(IF(MOD(IF(AND(B94&gt;='Energy margins'!$AA$45,B94&lt;='Energy margins'!$AB$45),B94-'Energy margins'!$AA$45,""),'Energy margins'!$AC$45)=0,'Energy margins'!$Z$45,0)),0,IF(MOD(IF(AND(B94&gt;='Energy margins'!$AA$45,B94&lt;='Energy margins'!$AB$45),B94-'Energy margins'!$AA$45,""),'Energy margins'!$AC$45)=0,'Energy margins'!$Z$45,0))</f>
        <v>0</v>
      </c>
      <c r="L94" s="913">
        <f>IF(ISERROR(IF(MOD(IF(AND(B94&gt;='Energy margins'!$AA$46,B94&lt;='Energy margins'!$AB$46),B94-'Energy margins'!$AA$46,""),'Energy margins'!$AC$46)=0,'Energy margins'!$Z$46,0)),0,IF(MOD(IF(AND(B94&gt;='Energy margins'!$AA$46,B94&lt;='Energy margins'!$AB$46),B94-'Energy margins'!$AA$46,""),'Energy margins'!$AC$46)=0,'Energy margins'!$Z$46,0))</f>
        <v>0</v>
      </c>
      <c r="M94" s="913">
        <f>IF(ISERROR(IF(MOD(IF(AND(B94&gt;='Energy margins'!$AA$47,B94&lt;='Energy margins'!$AB$47),B94-'Energy margins'!$AA$47,""),'Energy margins'!$AC$47)=0,'Energy margins'!$Z$47,0)),0,IF(MOD(IF(AND(B94&gt;='Energy margins'!$AA$47,B94&lt;='Energy margins'!$AB$47),B94-'Energy margins'!$AA$47,""),'Energy margins'!$AC$47)=0,'Energy margins'!$Z$47,0))</f>
        <v>327</v>
      </c>
      <c r="N94" s="913">
        <f>IF(ISERROR(IF(MOD(IF(AND(B94&gt;='Energy margins'!$AA$50,B94&lt;='Energy margins'!$AB$50),B94-'Energy margins'!$AA$50,""),'Energy margins'!$AC$50)=0,'Energy margins'!$Z$50,0)),0,IF(MOD(IF(AND(B94&gt;='Energy margins'!$AA$50,B94&lt;='Energy margins'!$AB$50),B94-'Energy margins'!$AA$50,""),'Energy margins'!$AC$50)=0,'Energy margins'!$Z$50,0))</f>
        <v>344</v>
      </c>
      <c r="O94" s="913">
        <f>IF(ISERROR(IF(MOD(IF(AND(B94&gt;='Energy margins'!$AA$53,B94&lt;='Energy margins'!$AB$53),B94-'Energy margins'!$AA$53,""),'Energy margins'!$AC$53)=0,'Energy margins'!$Z$53,0)),0,IF(MOD(IF(AND(B94&gt;='Energy margins'!$AA$53,B94&lt;='Energy margins'!$AB$53),B94-'Energy margins'!$AA$53,""),'Energy margins'!$AC$53)=0,'Energy margins'!$Z$53,0))</f>
        <v>357.59999999999997</v>
      </c>
      <c r="P94" s="913">
        <f>IF(ISERROR(IF(MOD(IF(AND(B94&gt;='Energy margins'!$AA$56,B94&lt;='Energy margins'!$AB$56),B94-'Energy margins'!$AA$56,""),'Energy margins'!$AC$56)=0,'Energy margins'!$Z$56,0)),0,IF(MOD(IF(AND(B94&gt;='Energy margins'!$AA$56,B94&lt;='Energy margins'!$AB$56),B94-'Energy margins'!$AA$56,""),'Energy margins'!$AC$56)=0,'Energy margins'!$Z$56,0))</f>
        <v>321.60000000000002</v>
      </c>
      <c r="Q94" s="913">
        <f>IF(ISERROR(IF(MOD(IF(AND(B94&gt;='Energy margins'!$AA$59,B94&lt;='Energy margins'!$AB$59),B94-'Energy margins'!$AA$59,""),'Energy margins'!$AC$59)=0,'Energy margins'!$Z$59,0)),0,IF(MOD(IF(AND(B94&gt;='Energy margins'!$AA$59,B94&lt;='Energy margins'!$AB$59),B94-'Energy margins'!$AA$59,""),'Energy margins'!$AC$59)=0,'Energy margins'!$Z$59,0))</f>
        <v>0</v>
      </c>
      <c r="R94" s="913">
        <f>IF(ISERROR(IF(MOD(IF(AND(B94&gt;='Energy margins'!$AA$60,B94&lt;='Energy margins'!$AB$60),B94-'Energy margins'!$AA$60,""),'Energy margins'!$AC$60)=0,'Energy margins'!$Z$60,0)),0,IF(MOD(IF(AND(B94&gt;='Energy margins'!$AA$60,B94&lt;='Energy margins'!$AB$60),B94-'Energy margins'!$AA$60,""),'Energy margins'!$AC$60)=0,'Energy margins'!$Z$60,0))</f>
        <v>0</v>
      </c>
      <c r="S94" s="913">
        <f>IF(ISERROR(IF(MOD(IF(AND(B94&gt;='Energy margins'!$AA$61,B94&lt;='Energy margins'!$AB$61),B94-'Energy margins'!$AA$61,""),'Energy margins'!$AC$61)=0,'Energy margins'!$Z$61,0)),0,IF(MOD(IF(AND(B94&gt;='Energy margins'!$AA$61,B94&lt;='Energy margins'!$AB$61),B94-'Energy margins'!$AA$61,""),'Energy margins'!$AC$61)=0,'Energy margins'!$Z$61,0))</f>
        <v>857.50000000000011</v>
      </c>
      <c r="T94" s="913">
        <f>IF(ISERROR(IF(MOD(IF(AND(B94&gt;='Energy margins'!$AA$62,B94&lt;='Energy margins'!$AB$62),B94-'Energy margins'!$AA$62,""),'Energy margins'!$AC$62)=0,'Energy margins'!$Z$62,0)),0,IF(MOD(IF(AND(B94&gt;='Energy margins'!$AA$62,B94&lt;='Energy margins'!$AB$62),B94-'Energy margins'!$AA$62,""),'Energy margins'!$AC$62)=0,'Energy margins'!$Z$62,0))</f>
        <v>0</v>
      </c>
      <c r="U94" s="939">
        <f t="shared" si="48"/>
        <v>2207.6999999999998</v>
      </c>
      <c r="V94" s="197"/>
      <c r="W94" s="197">
        <f t="shared" si="53"/>
        <v>2207.6999999999998</v>
      </c>
      <c r="X94" s="197">
        <f t="shared" si="49"/>
        <v>2032.4333333333334</v>
      </c>
      <c r="Y94" s="197">
        <f t="shared" si="50"/>
        <v>2504.0733333333337</v>
      </c>
      <c r="Z94" s="968">
        <f t="shared" si="54"/>
        <v>3769.4630936125013</v>
      </c>
      <c r="AA94" s="969">
        <f t="shared" si="55"/>
        <v>419.28624260355025</v>
      </c>
      <c r="AB94" s="969">
        <f t="shared" si="56"/>
        <v>1962.6372610377784</v>
      </c>
      <c r="AC94" s="969">
        <f t="shared" si="57"/>
        <v>1806.8258325747231</v>
      </c>
      <c r="AD94" s="969">
        <f t="shared" si="58"/>
        <v>2226.1120751782737</v>
      </c>
      <c r="AE94" s="968">
        <f t="shared" si="64"/>
        <v>10006.30172773479</v>
      </c>
      <c r="AF94" s="969">
        <f t="shared" si="59"/>
        <v>1780.4839349112426</v>
      </c>
      <c r="AG94" s="969">
        <f t="shared" si="60"/>
        <v>18502.383562812924</v>
      </c>
      <c r="AH94" s="969">
        <f t="shared" si="61"/>
        <v>-8496.0818350781374</v>
      </c>
      <c r="AI94" s="970">
        <f t="shared" si="62"/>
        <v>-6715.5979001668939</v>
      </c>
    </row>
    <row r="95" spans="2:35" x14ac:dyDescent="0.3">
      <c r="B95" s="895">
        <v>5</v>
      </c>
      <c r="C95" s="917">
        <f>'Energy Inputs'!G34</f>
        <v>1</v>
      </c>
      <c r="D95" s="913">
        <f>C95*'Energy Inputs'!$G$24</f>
        <v>16.3</v>
      </c>
      <c r="E95" s="197">
        <f>'Energy margins'!$Z$12</f>
        <v>269.5</v>
      </c>
      <c r="F95" s="197">
        <f t="shared" si="63"/>
        <v>4392.8500000000004</v>
      </c>
      <c r="G95" s="913">
        <f>'Energy Inputs'!$D$10</f>
        <v>471.64</v>
      </c>
      <c r="H95" s="197">
        <f t="shared" si="52"/>
        <v>4864.4900000000007</v>
      </c>
      <c r="I95" s="197"/>
      <c r="J95" s="942">
        <f>IF(ISERROR(IF(MOD(IF(AND(B95&gt;='Energy margins'!$AA$44,B95&lt;='Energy margins'!$AB$44),B95-'Energy margins'!$AA$44,""),'Energy margins'!$AC$44)=0,'Energy margins'!$Z$44,0)),0,IF(MOD(IF(AND(B95&gt;='Energy margins'!$AA$44,B95&lt;='Energy margins'!$AB$44),B95-'Energy margins'!$AA$44,""),'Energy margins'!$AC$44)=0,'Energy margins'!$Z$44,0))</f>
        <v>0</v>
      </c>
      <c r="K95" s="913">
        <f>IF(ISERROR(IF(MOD(IF(AND(B95&gt;='Energy margins'!$AA$45,B95&lt;='Energy margins'!$AB$45),B95-'Energy margins'!$AA$45,""),'Energy margins'!$AC$45)=0,'Energy margins'!$Z$45,0)),0,IF(MOD(IF(AND(B95&gt;='Energy margins'!$AA$45,B95&lt;='Energy margins'!$AB$45),B95-'Energy margins'!$AA$45,""),'Energy margins'!$AC$45)=0,'Energy margins'!$Z$45,0))</f>
        <v>0</v>
      </c>
      <c r="L95" s="913">
        <f>IF(ISERROR(IF(MOD(IF(AND(B95&gt;='Energy margins'!$AA$46,B95&lt;='Energy margins'!$AB$46),B95-'Energy margins'!$AA$46,""),'Energy margins'!$AC$46)=0,'Energy margins'!$Z$46,0)),0,IF(MOD(IF(AND(B95&gt;='Energy margins'!$AA$46,B95&lt;='Energy margins'!$AB$46),B95-'Energy margins'!$AA$46,""),'Energy margins'!$AC$46)=0,'Energy margins'!$Z$46,0))</f>
        <v>0</v>
      </c>
      <c r="M95" s="913">
        <f>IF(ISERROR(IF(MOD(IF(AND(B95&gt;='Energy margins'!$AA$47,B95&lt;='Energy margins'!$AB$47),B95-'Energy margins'!$AA$47,""),'Energy margins'!$AC$47)=0,'Energy margins'!$Z$47,0)),0,IF(MOD(IF(AND(B95&gt;='Energy margins'!$AA$47,B95&lt;='Energy margins'!$AB$47),B95-'Energy margins'!$AA$47,""),'Energy margins'!$AC$47)=0,'Energy margins'!$Z$47,0))</f>
        <v>327</v>
      </c>
      <c r="N95" s="913">
        <f>IF(ISERROR(IF(MOD(IF(AND(B95&gt;='Energy margins'!$AA$50,B95&lt;='Energy margins'!$AB$50),B95-'Energy margins'!$AA$50,""),'Energy margins'!$AC$50)=0,'Energy margins'!$Z$50,0)),0,IF(MOD(IF(AND(B95&gt;='Energy margins'!$AA$50,B95&lt;='Energy margins'!$AB$50),B95-'Energy margins'!$AA$50,""),'Energy margins'!$AC$50)=0,'Energy margins'!$Z$50,0))</f>
        <v>344</v>
      </c>
      <c r="O95" s="913">
        <f>IF(ISERROR(IF(MOD(IF(AND(B95&gt;='Energy margins'!$AA$53,B95&lt;='Energy margins'!$AB$53),B95-'Energy margins'!$AA$53,""),'Energy margins'!$AC$53)=0,'Energy margins'!$Z$53,0)),0,IF(MOD(IF(AND(B95&gt;='Energy margins'!$AA$53,B95&lt;='Energy margins'!$AB$53),B95-'Energy margins'!$AA$53,""),'Energy margins'!$AC$53)=0,'Energy margins'!$Z$53,0))</f>
        <v>357.59999999999997</v>
      </c>
      <c r="P95" s="913">
        <f>IF(ISERROR(IF(MOD(IF(AND(B95&gt;='Energy margins'!$AA$56,B95&lt;='Energy margins'!$AB$56),B95-'Energy margins'!$AA$56,""),'Energy margins'!$AC$56)=0,'Energy margins'!$Z$56,0)),0,IF(MOD(IF(AND(B95&gt;='Energy margins'!$AA$56,B95&lt;='Energy margins'!$AB$56),B95-'Energy margins'!$AA$56,""),'Energy margins'!$AC$56)=0,'Energy margins'!$Z$56,0))</f>
        <v>321.60000000000002</v>
      </c>
      <c r="Q95" s="913">
        <f>IF(ISERROR(IF(MOD(IF(AND(B95&gt;='Energy margins'!$AA$59,B95&lt;='Energy margins'!$AB$59),B95-'Energy margins'!$AA$59,""),'Energy margins'!$AC$59)=0,'Energy margins'!$Z$59,0)),0,IF(MOD(IF(AND(B95&gt;='Energy margins'!$AA$59,B95&lt;='Energy margins'!$AB$59),B95-'Energy margins'!$AA$59,""),'Energy margins'!$AC$59)=0,'Energy margins'!$Z$59,0))</f>
        <v>0</v>
      </c>
      <c r="R95" s="913">
        <f>IF(ISERROR(IF(MOD(IF(AND(B95&gt;='Energy margins'!$AA$60,B95&lt;='Energy margins'!$AB$60),B95-'Energy margins'!$AA$60,""),'Energy margins'!$AC$60)=0,'Energy margins'!$Z$60,0)),0,IF(MOD(IF(AND(B95&gt;='Energy margins'!$AA$60,B95&lt;='Energy margins'!$AB$60),B95-'Energy margins'!$AA$60,""),'Energy margins'!$AC$60)=0,'Energy margins'!$Z$60,0))</f>
        <v>0</v>
      </c>
      <c r="S95" s="913">
        <f>IF(ISERROR(IF(MOD(IF(AND(B95&gt;='Energy margins'!$AA$61,B95&lt;='Energy margins'!$AB$61),B95-'Energy margins'!$AA$61,""),'Energy margins'!$AC$61)=0,'Energy margins'!$Z$61,0)),0,IF(MOD(IF(AND(B95&gt;='Energy margins'!$AA$61,B95&lt;='Energy margins'!$AB$61),B95-'Energy margins'!$AA$61,""),'Energy margins'!$AC$61)=0,'Energy margins'!$Z$61,0))</f>
        <v>857.50000000000011</v>
      </c>
      <c r="T95" s="913">
        <f>IF(ISERROR(IF(MOD(IF(AND(B95&gt;='Energy margins'!$AA$62,B95&lt;='Energy margins'!$AB$62),B95-'Energy margins'!$AA$62,""),'Energy margins'!$AC$62)=0,'Energy margins'!$Z$62,0)),0,IF(MOD(IF(AND(B95&gt;='Energy margins'!$AA$62,B95&lt;='Energy margins'!$AB$62),B95-'Energy margins'!$AA$62,""),'Energy margins'!$AC$62)=0,'Energy margins'!$Z$62,0))</f>
        <v>0</v>
      </c>
      <c r="U95" s="939">
        <f t="shared" si="48"/>
        <v>2207.6999999999998</v>
      </c>
      <c r="V95" s="197"/>
      <c r="W95" s="197">
        <f t="shared" si="53"/>
        <v>2207.6999999999998</v>
      </c>
      <c r="X95" s="197">
        <f t="shared" si="49"/>
        <v>2185.1500000000005</v>
      </c>
      <c r="Y95" s="197">
        <f t="shared" si="50"/>
        <v>2656.7900000000009</v>
      </c>
      <c r="Z95" s="968">
        <f t="shared" si="54"/>
        <v>3755.0265905649308</v>
      </c>
      <c r="AA95" s="969">
        <f t="shared" si="55"/>
        <v>403.15984865725983</v>
      </c>
      <c r="AB95" s="969">
        <f t="shared" si="56"/>
        <v>1887.1512125363251</v>
      </c>
      <c r="AC95" s="969">
        <f t="shared" si="57"/>
        <v>1867.8753780286056</v>
      </c>
      <c r="AD95" s="969">
        <f t="shared" si="58"/>
        <v>2271.0352266858658</v>
      </c>
      <c r="AE95" s="968">
        <f t="shared" si="64"/>
        <v>13761.32831829972</v>
      </c>
      <c r="AF95" s="969">
        <f t="shared" si="59"/>
        <v>2183.6437835685024</v>
      </c>
      <c r="AG95" s="969">
        <f t="shared" si="60"/>
        <v>20389.53477534925</v>
      </c>
      <c r="AH95" s="969">
        <f t="shared" si="61"/>
        <v>-6628.2064570495313</v>
      </c>
      <c r="AI95" s="970">
        <f t="shared" si="62"/>
        <v>-4444.5626734810285</v>
      </c>
    </row>
    <row r="96" spans="2:35" x14ac:dyDescent="0.3">
      <c r="B96" s="895">
        <v>6</v>
      </c>
      <c r="C96" s="917">
        <f>'Energy Inputs'!G35</f>
        <v>1</v>
      </c>
      <c r="D96" s="913">
        <f>C96*'Energy Inputs'!$G$24</f>
        <v>16.3</v>
      </c>
      <c r="E96" s="197">
        <f>'Energy margins'!$Z$12</f>
        <v>269.5</v>
      </c>
      <c r="F96" s="197">
        <f t="shared" si="63"/>
        <v>4392.8500000000004</v>
      </c>
      <c r="G96" s="913">
        <f>'Energy Inputs'!$D$10</f>
        <v>471.64</v>
      </c>
      <c r="H96" s="197">
        <f t="shared" si="52"/>
        <v>4864.4900000000007</v>
      </c>
      <c r="I96" s="197"/>
      <c r="J96" s="942">
        <f>IF(ISERROR(IF(MOD(IF(AND(B96&gt;='Energy margins'!$AA$44,B96&lt;='Energy margins'!$AB$44),B96-'Energy margins'!$AA$44,""),'Energy margins'!$AC$44)=0,'Energy margins'!$Z$44,0)),0,IF(MOD(IF(AND(B96&gt;='Energy margins'!$AA$44,B96&lt;='Energy margins'!$AB$44),B96-'Energy margins'!$AA$44,""),'Energy margins'!$AC$44)=0,'Energy margins'!$Z$44,0))</f>
        <v>0</v>
      </c>
      <c r="K96" s="913">
        <f>IF(ISERROR(IF(MOD(IF(AND(B96&gt;='Energy margins'!$AA$45,B96&lt;='Energy margins'!$AB$45),B96-'Energy margins'!$AA$45,""),'Energy margins'!$AC$45)=0,'Energy margins'!$Z$45,0)),0,IF(MOD(IF(AND(B96&gt;='Energy margins'!$AA$45,B96&lt;='Energy margins'!$AB$45),B96-'Energy margins'!$AA$45,""),'Energy margins'!$AC$45)=0,'Energy margins'!$Z$45,0))</f>
        <v>0</v>
      </c>
      <c r="L96" s="913">
        <f>IF(ISERROR(IF(MOD(IF(AND(B96&gt;='Energy margins'!$AA$46,B96&lt;='Energy margins'!$AB$46),B96-'Energy margins'!$AA$46,""),'Energy margins'!$AC$46)=0,'Energy margins'!$Z$46,0)),0,IF(MOD(IF(AND(B96&gt;='Energy margins'!$AA$46,B96&lt;='Energy margins'!$AB$46),B96-'Energy margins'!$AA$46,""),'Energy margins'!$AC$46)=0,'Energy margins'!$Z$46,0))</f>
        <v>0</v>
      </c>
      <c r="M96" s="913">
        <f>IF(ISERROR(IF(MOD(IF(AND(B96&gt;='Energy margins'!$AA$47,B96&lt;='Energy margins'!$AB$47),B96-'Energy margins'!$AA$47,""),'Energy margins'!$AC$47)=0,'Energy margins'!$Z$47,0)),0,IF(MOD(IF(AND(B96&gt;='Energy margins'!$AA$47,B96&lt;='Energy margins'!$AB$47),B96-'Energy margins'!$AA$47,""),'Energy margins'!$AC$47)=0,'Energy margins'!$Z$47,0))</f>
        <v>327</v>
      </c>
      <c r="N96" s="913">
        <f>IF(ISERROR(IF(MOD(IF(AND(B96&gt;='Energy margins'!$AA$50,B96&lt;='Energy margins'!$AB$50),B96-'Energy margins'!$AA$50,""),'Energy margins'!$AC$50)=0,'Energy margins'!$Z$50,0)),0,IF(MOD(IF(AND(B96&gt;='Energy margins'!$AA$50,B96&lt;='Energy margins'!$AB$50),B96-'Energy margins'!$AA$50,""),'Energy margins'!$AC$50)=0,'Energy margins'!$Z$50,0))</f>
        <v>344</v>
      </c>
      <c r="O96" s="913">
        <f>IF(ISERROR(IF(MOD(IF(AND(B96&gt;='Energy margins'!$AA$53,B96&lt;='Energy margins'!$AB$53),B96-'Energy margins'!$AA$53,""),'Energy margins'!$AC$53)=0,'Energy margins'!$Z$53,0)),0,IF(MOD(IF(AND(B96&gt;='Energy margins'!$AA$53,B96&lt;='Energy margins'!$AB$53),B96-'Energy margins'!$AA$53,""),'Energy margins'!$AC$53)=0,'Energy margins'!$Z$53,0))</f>
        <v>357.59999999999997</v>
      </c>
      <c r="P96" s="913">
        <f>IF(ISERROR(IF(MOD(IF(AND(B96&gt;='Energy margins'!$AA$56,B96&lt;='Energy margins'!$AB$56),B96-'Energy margins'!$AA$56,""),'Energy margins'!$AC$56)=0,'Energy margins'!$Z$56,0)),0,IF(MOD(IF(AND(B96&gt;='Energy margins'!$AA$56,B96&lt;='Energy margins'!$AB$56),B96-'Energy margins'!$AA$56,""),'Energy margins'!$AC$56)=0,'Energy margins'!$Z$56,0))</f>
        <v>321.60000000000002</v>
      </c>
      <c r="Q96" s="913">
        <f>IF(ISERROR(IF(MOD(IF(AND(B96&gt;='Energy margins'!$AA$59,B96&lt;='Energy margins'!$AB$59),B96-'Energy margins'!$AA$59,""),'Energy margins'!$AC$59)=0,'Energy margins'!$Z$59,0)),0,IF(MOD(IF(AND(B96&gt;='Energy margins'!$AA$59,B96&lt;='Energy margins'!$AB$59),B96-'Energy margins'!$AA$59,""),'Energy margins'!$AC$59)=0,'Energy margins'!$Z$59,0))</f>
        <v>0</v>
      </c>
      <c r="R96" s="913">
        <f>IF(ISERROR(IF(MOD(IF(AND(B96&gt;='Energy margins'!$AA$60,B96&lt;='Energy margins'!$AB$60),B96-'Energy margins'!$AA$60,""),'Energy margins'!$AC$60)=0,'Energy margins'!$Z$60,0)),0,IF(MOD(IF(AND(B96&gt;='Energy margins'!$AA$60,B96&lt;='Energy margins'!$AB$60),B96-'Energy margins'!$AA$60,""),'Energy margins'!$AC$60)=0,'Energy margins'!$Z$60,0))</f>
        <v>0</v>
      </c>
      <c r="S96" s="913">
        <f>IF(ISERROR(IF(MOD(IF(AND(B96&gt;='Energy margins'!$AA$61,B96&lt;='Energy margins'!$AB$61),B96-'Energy margins'!$AA$61,""),'Energy margins'!$AC$61)=0,'Energy margins'!$Z$61,0)),0,IF(MOD(IF(AND(B96&gt;='Energy margins'!$AA$61,B96&lt;='Energy margins'!$AB$61),B96-'Energy margins'!$AA$61,""),'Energy margins'!$AC$61)=0,'Energy margins'!$Z$61,0))</f>
        <v>857.50000000000011</v>
      </c>
      <c r="T96" s="913">
        <f>IF(ISERROR(IF(MOD(IF(AND(B96&gt;='Energy margins'!$AA$62,B96&lt;='Energy margins'!$AB$62),B96-'Energy margins'!$AA$62,""),'Energy margins'!$AC$62)=0,'Energy margins'!$Z$62,0)),0,IF(MOD(IF(AND(B96&gt;='Energy margins'!$AA$62,B96&lt;='Energy margins'!$AB$62),B96-'Energy margins'!$AA$62,""),'Energy margins'!$AC$62)=0,'Energy margins'!$Z$62,0))</f>
        <v>0</v>
      </c>
      <c r="U96" s="939">
        <f t="shared" si="48"/>
        <v>2207.6999999999998</v>
      </c>
      <c r="V96" s="197"/>
      <c r="W96" s="197">
        <f t="shared" si="53"/>
        <v>2207.6999999999998</v>
      </c>
      <c r="X96" s="197">
        <f t="shared" si="49"/>
        <v>2185.1500000000005</v>
      </c>
      <c r="Y96" s="197">
        <f t="shared" si="50"/>
        <v>2656.7900000000009</v>
      </c>
      <c r="Z96" s="968">
        <f t="shared" si="54"/>
        <v>3610.6024909278176</v>
      </c>
      <c r="AA96" s="969">
        <f t="shared" si="55"/>
        <v>387.65370063198054</v>
      </c>
      <c r="AB96" s="969">
        <f t="shared" si="56"/>
        <v>1814.5684735926202</v>
      </c>
      <c r="AC96" s="969">
        <f t="shared" si="57"/>
        <v>1796.0340173351974</v>
      </c>
      <c r="AD96" s="969">
        <f t="shared" si="58"/>
        <v>2183.6877179671783</v>
      </c>
      <c r="AE96" s="968">
        <f t="shared" si="64"/>
        <v>17371.930809227539</v>
      </c>
      <c r="AF96" s="969">
        <f t="shared" si="59"/>
        <v>2571.2974842004828</v>
      </c>
      <c r="AG96" s="969">
        <f t="shared" si="60"/>
        <v>22204.103248941869</v>
      </c>
      <c r="AH96" s="969">
        <f t="shared" si="61"/>
        <v>-4832.1724397143334</v>
      </c>
      <c r="AI96" s="970">
        <f t="shared" si="62"/>
        <v>-2260.8749555138502</v>
      </c>
    </row>
    <row r="97" spans="2:35" x14ac:dyDescent="0.3">
      <c r="B97" s="895">
        <v>7</v>
      </c>
      <c r="C97" s="917">
        <f>'Energy Inputs'!G36</f>
        <v>1</v>
      </c>
      <c r="D97" s="913">
        <f>C97*'Energy Inputs'!$G$24</f>
        <v>16.3</v>
      </c>
      <c r="E97" s="197">
        <f>'Energy margins'!$Z$12</f>
        <v>269.5</v>
      </c>
      <c r="F97" s="197">
        <f t="shared" si="63"/>
        <v>4392.8500000000004</v>
      </c>
      <c r="G97" s="913">
        <f>'Energy Inputs'!$D$10</f>
        <v>471.64</v>
      </c>
      <c r="H97" s="197">
        <f t="shared" si="52"/>
        <v>4864.4900000000007</v>
      </c>
      <c r="I97" s="197"/>
      <c r="J97" s="942">
        <f>IF(ISERROR(IF(MOD(IF(AND(B97&gt;='Energy margins'!$AA$44,B97&lt;='Energy margins'!$AB$44),B97-'Energy margins'!$AA$44,""),'Energy margins'!$AC$44)=0,'Energy margins'!$Z$44,0)),0,IF(MOD(IF(AND(B97&gt;='Energy margins'!$AA$44,B97&lt;='Energy margins'!$AB$44),B97-'Energy margins'!$AA$44,""),'Energy margins'!$AC$44)=0,'Energy margins'!$Z$44,0))</f>
        <v>0</v>
      </c>
      <c r="K97" s="913">
        <f>IF(ISERROR(IF(MOD(IF(AND(B97&gt;='Energy margins'!$AA$45,B97&lt;='Energy margins'!$AB$45),B97-'Energy margins'!$AA$45,""),'Energy margins'!$AC$45)=0,'Energy margins'!$Z$45,0)),0,IF(MOD(IF(AND(B97&gt;='Energy margins'!$AA$45,B97&lt;='Energy margins'!$AB$45),B97-'Energy margins'!$AA$45,""),'Energy margins'!$AC$45)=0,'Energy margins'!$Z$45,0))</f>
        <v>0</v>
      </c>
      <c r="L97" s="913">
        <f>IF(ISERROR(IF(MOD(IF(AND(B97&gt;='Energy margins'!$AA$46,B97&lt;='Energy margins'!$AB$46),B97-'Energy margins'!$AA$46,""),'Energy margins'!$AC$46)=0,'Energy margins'!$Z$46,0)),0,IF(MOD(IF(AND(B97&gt;='Energy margins'!$AA$46,B97&lt;='Energy margins'!$AB$46),B97-'Energy margins'!$AA$46,""),'Energy margins'!$AC$46)=0,'Energy margins'!$Z$46,0))</f>
        <v>0</v>
      </c>
      <c r="M97" s="913">
        <f>IF(ISERROR(IF(MOD(IF(AND(B97&gt;='Energy margins'!$AA$47,B97&lt;='Energy margins'!$AB$47),B97-'Energy margins'!$AA$47,""),'Energy margins'!$AC$47)=0,'Energy margins'!$Z$47,0)),0,IF(MOD(IF(AND(B97&gt;='Energy margins'!$AA$47,B97&lt;='Energy margins'!$AB$47),B97-'Energy margins'!$AA$47,""),'Energy margins'!$AC$47)=0,'Energy margins'!$Z$47,0))</f>
        <v>327</v>
      </c>
      <c r="N97" s="913">
        <f>IF(ISERROR(IF(MOD(IF(AND(B97&gt;='Energy margins'!$AA$50,B97&lt;='Energy margins'!$AB$50),B97-'Energy margins'!$AA$50,""),'Energy margins'!$AC$50)=0,'Energy margins'!$Z$50,0)),0,IF(MOD(IF(AND(B97&gt;='Energy margins'!$AA$50,B97&lt;='Energy margins'!$AB$50),B97-'Energy margins'!$AA$50,""),'Energy margins'!$AC$50)=0,'Energy margins'!$Z$50,0))</f>
        <v>344</v>
      </c>
      <c r="O97" s="913">
        <f>IF(ISERROR(IF(MOD(IF(AND(B97&gt;='Energy margins'!$AA$53,B97&lt;='Energy margins'!$AB$53),B97-'Energy margins'!$AA$53,""),'Energy margins'!$AC$53)=0,'Energy margins'!$Z$53,0)),0,IF(MOD(IF(AND(B97&gt;='Energy margins'!$AA$53,B97&lt;='Energy margins'!$AB$53),B97-'Energy margins'!$AA$53,""),'Energy margins'!$AC$53)=0,'Energy margins'!$Z$53,0))</f>
        <v>357.59999999999997</v>
      </c>
      <c r="P97" s="913">
        <f>IF(ISERROR(IF(MOD(IF(AND(B97&gt;='Energy margins'!$AA$56,B97&lt;='Energy margins'!$AB$56),B97-'Energy margins'!$AA$56,""),'Energy margins'!$AC$56)=0,'Energy margins'!$Z$56,0)),0,IF(MOD(IF(AND(B97&gt;='Energy margins'!$AA$56,B97&lt;='Energy margins'!$AB$56),B97-'Energy margins'!$AA$56,""),'Energy margins'!$AC$56)=0,'Energy margins'!$Z$56,0))</f>
        <v>321.60000000000002</v>
      </c>
      <c r="Q97" s="913">
        <f>IF(ISERROR(IF(MOD(IF(AND(B97&gt;='Energy margins'!$AA$59,B97&lt;='Energy margins'!$AB$59),B97-'Energy margins'!$AA$59,""),'Energy margins'!$AC$59)=0,'Energy margins'!$Z$59,0)),0,IF(MOD(IF(AND(B97&gt;='Energy margins'!$AA$59,B97&lt;='Energy margins'!$AB$59),B97-'Energy margins'!$AA$59,""),'Energy margins'!$AC$59)=0,'Energy margins'!$Z$59,0))</f>
        <v>0</v>
      </c>
      <c r="R97" s="913">
        <f>IF(ISERROR(IF(MOD(IF(AND(B97&gt;='Energy margins'!$AA$60,B97&lt;='Energy margins'!$AB$60),B97-'Energy margins'!$AA$60,""),'Energy margins'!$AC$60)=0,'Energy margins'!$Z$60,0)),0,IF(MOD(IF(AND(B97&gt;='Energy margins'!$AA$60,B97&lt;='Energy margins'!$AB$60),B97-'Energy margins'!$AA$60,""),'Energy margins'!$AC$60)=0,'Energy margins'!$Z$60,0))</f>
        <v>0</v>
      </c>
      <c r="S97" s="913">
        <f>IF(ISERROR(IF(MOD(IF(AND(B97&gt;='Energy margins'!$AA$61,B97&lt;='Energy margins'!$AB$61),B97-'Energy margins'!$AA$61,""),'Energy margins'!$AC$61)=0,'Energy margins'!$Z$61,0)),0,IF(MOD(IF(AND(B97&gt;='Energy margins'!$AA$61,B97&lt;='Energy margins'!$AB$61),B97-'Energy margins'!$AA$61,""),'Energy margins'!$AC$61)=0,'Energy margins'!$Z$61,0))</f>
        <v>857.50000000000011</v>
      </c>
      <c r="T97" s="913">
        <f>IF(ISERROR(IF(MOD(IF(AND(B97&gt;='Energy margins'!$AA$62,B97&lt;='Energy margins'!$AB$62),B97-'Energy margins'!$AA$62,""),'Energy margins'!$AC$62)=0,'Energy margins'!$Z$62,0)),0,IF(MOD(IF(AND(B97&gt;='Energy margins'!$AA$62,B97&lt;='Energy margins'!$AB$62),B97-'Energy margins'!$AA$62,""),'Energy margins'!$AC$62)=0,'Energy margins'!$Z$62,0))</f>
        <v>0</v>
      </c>
      <c r="U97" s="939">
        <f t="shared" si="48"/>
        <v>2207.6999999999998</v>
      </c>
      <c r="V97" s="197"/>
      <c r="W97" s="197">
        <f t="shared" si="53"/>
        <v>2207.6999999999998</v>
      </c>
      <c r="X97" s="197">
        <f t="shared" si="49"/>
        <v>2185.1500000000005</v>
      </c>
      <c r="Y97" s="197">
        <f t="shared" si="50"/>
        <v>2656.7900000000009</v>
      </c>
      <c r="Z97" s="968">
        <f t="shared" si="54"/>
        <v>3471.7331643536709</v>
      </c>
      <c r="AA97" s="969">
        <f t="shared" si="55"/>
        <v>372.74394291536589</v>
      </c>
      <c r="AB97" s="969">
        <f t="shared" si="56"/>
        <v>1744.7773784544424</v>
      </c>
      <c r="AC97" s="969">
        <f t="shared" si="57"/>
        <v>1726.9557858992284</v>
      </c>
      <c r="AD97" s="969">
        <f t="shared" si="58"/>
        <v>2099.6997288145944</v>
      </c>
      <c r="AE97" s="968">
        <f t="shared" si="64"/>
        <v>20843.66397358121</v>
      </c>
      <c r="AF97" s="969">
        <f t="shared" si="59"/>
        <v>2944.0414271158488</v>
      </c>
      <c r="AG97" s="969">
        <f t="shared" si="60"/>
        <v>23948.880627396313</v>
      </c>
      <c r="AH97" s="969">
        <f t="shared" si="61"/>
        <v>-3105.216653815105</v>
      </c>
      <c r="AI97" s="970">
        <f t="shared" si="62"/>
        <v>-161.17522669925575</v>
      </c>
    </row>
    <row r="98" spans="2:35" x14ac:dyDescent="0.3">
      <c r="B98" s="895">
        <v>8</v>
      </c>
      <c r="C98" s="917">
        <f>'Energy Inputs'!G37</f>
        <v>1</v>
      </c>
      <c r="D98" s="913">
        <f>C98*'Energy Inputs'!$G$24</f>
        <v>16.3</v>
      </c>
      <c r="E98" s="197">
        <f>'Energy margins'!$Z$12</f>
        <v>269.5</v>
      </c>
      <c r="F98" s="197">
        <f t="shared" si="63"/>
        <v>4392.8500000000004</v>
      </c>
      <c r="G98" s="913">
        <f>'Energy Inputs'!$D$10</f>
        <v>471.64</v>
      </c>
      <c r="H98" s="197">
        <f t="shared" si="52"/>
        <v>4864.4900000000007</v>
      </c>
      <c r="I98" s="197"/>
      <c r="J98" s="942">
        <f>IF(ISERROR(IF(MOD(IF(AND(B98&gt;='Energy margins'!$AA$44,B98&lt;='Energy margins'!$AB$44),B98-'Energy margins'!$AA$44,""),'Energy margins'!$AC$44)=0,'Energy margins'!$Z$44,0)),0,IF(MOD(IF(AND(B98&gt;='Energy margins'!$AA$44,B98&lt;='Energy margins'!$AB$44),B98-'Energy margins'!$AA$44,""),'Energy margins'!$AC$44)=0,'Energy margins'!$Z$44,0))</f>
        <v>0</v>
      </c>
      <c r="K98" s="913">
        <f>IF(ISERROR(IF(MOD(IF(AND(B98&gt;='Energy margins'!$AA$45,B98&lt;='Energy margins'!$AB$45),B98-'Energy margins'!$AA$45,""),'Energy margins'!$AC$45)=0,'Energy margins'!$Z$45,0)),0,IF(MOD(IF(AND(B98&gt;='Energy margins'!$AA$45,B98&lt;='Energy margins'!$AB$45),B98-'Energy margins'!$AA$45,""),'Energy margins'!$AC$45)=0,'Energy margins'!$Z$45,0))</f>
        <v>0</v>
      </c>
      <c r="L98" s="913">
        <f>IF(ISERROR(IF(MOD(IF(AND(B98&gt;='Energy margins'!$AA$46,B98&lt;='Energy margins'!$AB$46),B98-'Energy margins'!$AA$46,""),'Energy margins'!$AC$46)=0,'Energy margins'!$Z$46,0)),0,IF(MOD(IF(AND(B98&gt;='Energy margins'!$AA$46,B98&lt;='Energy margins'!$AB$46),B98-'Energy margins'!$AA$46,""),'Energy margins'!$AC$46)=0,'Energy margins'!$Z$46,0))</f>
        <v>0</v>
      </c>
      <c r="M98" s="913">
        <f>IF(ISERROR(IF(MOD(IF(AND(B98&gt;='Energy margins'!$AA$47,B98&lt;='Energy margins'!$AB$47),B98-'Energy margins'!$AA$47,""),'Energy margins'!$AC$47)=0,'Energy margins'!$Z$47,0)),0,IF(MOD(IF(AND(B98&gt;='Energy margins'!$AA$47,B98&lt;='Energy margins'!$AB$47),B98-'Energy margins'!$AA$47,""),'Energy margins'!$AC$47)=0,'Energy margins'!$Z$47,0))</f>
        <v>327</v>
      </c>
      <c r="N98" s="913">
        <f>IF(ISERROR(IF(MOD(IF(AND(B98&gt;='Energy margins'!$AA$50,B98&lt;='Energy margins'!$AB$50),B98-'Energy margins'!$AA$50,""),'Energy margins'!$AC$50)=0,'Energy margins'!$Z$50,0)),0,IF(MOD(IF(AND(B98&gt;='Energy margins'!$AA$50,B98&lt;='Energy margins'!$AB$50),B98-'Energy margins'!$AA$50,""),'Energy margins'!$AC$50)=0,'Energy margins'!$Z$50,0))</f>
        <v>344</v>
      </c>
      <c r="O98" s="913">
        <f>IF(ISERROR(IF(MOD(IF(AND(B98&gt;='Energy margins'!$AA$53,B98&lt;='Energy margins'!$AB$53),B98-'Energy margins'!$AA$53,""),'Energy margins'!$AC$53)=0,'Energy margins'!$Z$53,0)),0,IF(MOD(IF(AND(B98&gt;='Energy margins'!$AA$53,B98&lt;='Energy margins'!$AB$53),B98-'Energy margins'!$AA$53,""),'Energy margins'!$AC$53)=0,'Energy margins'!$Z$53,0))</f>
        <v>357.59999999999997</v>
      </c>
      <c r="P98" s="913">
        <f>IF(ISERROR(IF(MOD(IF(AND(B98&gt;='Energy margins'!$AA$56,B98&lt;='Energy margins'!$AB$56),B98-'Energy margins'!$AA$56,""),'Energy margins'!$AC$56)=0,'Energy margins'!$Z$56,0)),0,IF(MOD(IF(AND(B98&gt;='Energy margins'!$AA$56,B98&lt;='Energy margins'!$AB$56),B98-'Energy margins'!$AA$56,""),'Energy margins'!$AC$56)=0,'Energy margins'!$Z$56,0))</f>
        <v>321.60000000000002</v>
      </c>
      <c r="Q98" s="913">
        <f>IF(ISERROR(IF(MOD(IF(AND(B98&gt;='Energy margins'!$AA$59,B98&lt;='Energy margins'!$AB$59),B98-'Energy margins'!$AA$59,""),'Energy margins'!$AC$59)=0,'Energy margins'!$Z$59,0)),0,IF(MOD(IF(AND(B98&gt;='Energy margins'!$AA$59,B98&lt;='Energy margins'!$AB$59),B98-'Energy margins'!$AA$59,""),'Energy margins'!$AC$59)=0,'Energy margins'!$Z$59,0))</f>
        <v>0</v>
      </c>
      <c r="R98" s="913">
        <f>IF(ISERROR(IF(MOD(IF(AND(B98&gt;='Energy margins'!$AA$60,B98&lt;='Energy margins'!$AB$60),B98-'Energy margins'!$AA$60,""),'Energy margins'!$AC$60)=0,'Energy margins'!$Z$60,0)),0,IF(MOD(IF(AND(B98&gt;='Energy margins'!$AA$60,B98&lt;='Energy margins'!$AB$60),B98-'Energy margins'!$AA$60,""),'Energy margins'!$AC$60)=0,'Energy margins'!$Z$60,0))</f>
        <v>0</v>
      </c>
      <c r="S98" s="913">
        <f>IF(ISERROR(IF(MOD(IF(AND(B98&gt;='Energy margins'!$AA$61,B98&lt;='Energy margins'!$AB$61),B98-'Energy margins'!$AA$61,""),'Energy margins'!$AC$61)=0,'Energy margins'!$Z$61,0)),0,IF(MOD(IF(AND(B98&gt;='Energy margins'!$AA$61,B98&lt;='Energy margins'!$AB$61),B98-'Energy margins'!$AA$61,""),'Energy margins'!$AC$61)=0,'Energy margins'!$Z$61,0))</f>
        <v>857.50000000000011</v>
      </c>
      <c r="T98" s="913">
        <f>IF(ISERROR(IF(MOD(IF(AND(B98&gt;='Energy margins'!$AA$62,B98&lt;='Energy margins'!$AB$62),B98-'Energy margins'!$AA$62,""),'Energy margins'!$AC$62)=0,'Energy margins'!$Z$62,0)),0,IF(MOD(IF(AND(B98&gt;='Energy margins'!$AA$62,B98&lt;='Energy margins'!$AB$62),B98-'Energy margins'!$AA$62,""),'Energy margins'!$AC$62)=0,'Energy margins'!$Z$62,0))</f>
        <v>0</v>
      </c>
      <c r="U98" s="939">
        <f t="shared" si="48"/>
        <v>2207.6999999999998</v>
      </c>
      <c r="V98" s="197"/>
      <c r="W98" s="197">
        <f t="shared" si="53"/>
        <v>2207.6999999999998</v>
      </c>
      <c r="X98" s="197">
        <f t="shared" si="49"/>
        <v>2185.1500000000005</v>
      </c>
      <c r="Y98" s="197">
        <f t="shared" si="50"/>
        <v>2656.7900000000009</v>
      </c>
      <c r="Z98" s="968">
        <f t="shared" si="54"/>
        <v>3338.2049657246839</v>
      </c>
      <c r="AA98" s="969">
        <f t="shared" si="55"/>
        <v>358.40763741862111</v>
      </c>
      <c r="AB98" s="969">
        <f t="shared" si="56"/>
        <v>1677.670556206195</v>
      </c>
      <c r="AC98" s="969">
        <f t="shared" si="57"/>
        <v>1660.5344095184889</v>
      </c>
      <c r="AD98" s="969">
        <f t="shared" si="58"/>
        <v>2018.9420469371103</v>
      </c>
      <c r="AE98" s="968">
        <f t="shared" si="64"/>
        <v>24181.868939305892</v>
      </c>
      <c r="AF98" s="969">
        <f t="shared" si="59"/>
        <v>3302.4490645344699</v>
      </c>
      <c r="AG98" s="969">
        <f t="shared" si="60"/>
        <v>25626.551183602507</v>
      </c>
      <c r="AH98" s="969">
        <f t="shared" si="61"/>
        <v>-1444.6822442966161</v>
      </c>
      <c r="AI98" s="970">
        <f t="shared" si="62"/>
        <v>1857.7668202378545</v>
      </c>
    </row>
    <row r="99" spans="2:35" x14ac:dyDescent="0.3">
      <c r="B99" s="895">
        <v>9</v>
      </c>
      <c r="C99" s="917">
        <f>'Energy Inputs'!G38</f>
        <v>1</v>
      </c>
      <c r="D99" s="913">
        <f>C99*'Energy Inputs'!$G$24</f>
        <v>16.3</v>
      </c>
      <c r="E99" s="197">
        <f>'Energy margins'!$Z$12</f>
        <v>269.5</v>
      </c>
      <c r="F99" s="197">
        <f t="shared" si="63"/>
        <v>4392.8500000000004</v>
      </c>
      <c r="G99" s="913">
        <f>'Energy Inputs'!$D$10</f>
        <v>471.64</v>
      </c>
      <c r="H99" s="197">
        <f t="shared" si="52"/>
        <v>4864.4900000000007</v>
      </c>
      <c r="I99" s="197"/>
      <c r="J99" s="942">
        <f>IF(ISERROR(IF(MOD(IF(AND(B99&gt;='Energy margins'!$AA$44,B99&lt;='Energy margins'!$AB$44),B99-'Energy margins'!$AA$44,""),'Energy margins'!$AC$44)=0,'Energy margins'!$Z$44,0)),0,IF(MOD(IF(AND(B99&gt;='Energy margins'!$AA$44,B99&lt;='Energy margins'!$AB$44),B99-'Energy margins'!$AA$44,""),'Energy margins'!$AC$44)=0,'Energy margins'!$Z$44,0))</f>
        <v>0</v>
      </c>
      <c r="K99" s="913">
        <f>IF(ISERROR(IF(MOD(IF(AND(B99&gt;='Energy margins'!$AA$45,B99&lt;='Energy margins'!$AB$45),B99-'Energy margins'!$AA$45,""),'Energy margins'!$AC$45)=0,'Energy margins'!$Z$45,0)),0,IF(MOD(IF(AND(B99&gt;='Energy margins'!$AA$45,B99&lt;='Energy margins'!$AB$45),B99-'Energy margins'!$AA$45,""),'Energy margins'!$AC$45)=0,'Energy margins'!$Z$45,0))</f>
        <v>0</v>
      </c>
      <c r="L99" s="913">
        <f>IF(ISERROR(IF(MOD(IF(AND(B99&gt;='Energy margins'!$AA$46,B99&lt;='Energy margins'!$AB$46),B99-'Energy margins'!$AA$46,""),'Energy margins'!$AC$46)=0,'Energy margins'!$Z$46,0)),0,IF(MOD(IF(AND(B99&gt;='Energy margins'!$AA$46,B99&lt;='Energy margins'!$AB$46),B99-'Energy margins'!$AA$46,""),'Energy margins'!$AC$46)=0,'Energy margins'!$Z$46,0))</f>
        <v>0</v>
      </c>
      <c r="M99" s="913">
        <f>IF(ISERROR(IF(MOD(IF(AND(B99&gt;='Energy margins'!$AA$47,B99&lt;='Energy margins'!$AB$47),B99-'Energy margins'!$AA$47,""),'Energy margins'!$AC$47)=0,'Energy margins'!$Z$47,0)),0,IF(MOD(IF(AND(B99&gt;='Energy margins'!$AA$47,B99&lt;='Energy margins'!$AB$47),B99-'Energy margins'!$AA$47,""),'Energy margins'!$AC$47)=0,'Energy margins'!$Z$47,0))</f>
        <v>327</v>
      </c>
      <c r="N99" s="913">
        <f>IF(ISERROR(IF(MOD(IF(AND(B99&gt;='Energy margins'!$AA$50,B99&lt;='Energy margins'!$AB$50),B99-'Energy margins'!$AA$50,""),'Energy margins'!$AC$50)=0,'Energy margins'!$Z$50,0)),0,IF(MOD(IF(AND(B99&gt;='Energy margins'!$AA$50,B99&lt;='Energy margins'!$AB$50),B99-'Energy margins'!$AA$50,""),'Energy margins'!$AC$50)=0,'Energy margins'!$Z$50,0))</f>
        <v>344</v>
      </c>
      <c r="O99" s="913">
        <f>IF(ISERROR(IF(MOD(IF(AND(B99&gt;='Energy margins'!$AA$53,B99&lt;='Energy margins'!$AB$53),B99-'Energy margins'!$AA$53,""),'Energy margins'!$AC$53)=0,'Energy margins'!$Z$53,0)),0,IF(MOD(IF(AND(B99&gt;='Energy margins'!$AA$53,B99&lt;='Energy margins'!$AB$53),B99-'Energy margins'!$AA$53,""),'Energy margins'!$AC$53)=0,'Energy margins'!$Z$53,0))</f>
        <v>357.59999999999997</v>
      </c>
      <c r="P99" s="913">
        <f>IF(ISERROR(IF(MOD(IF(AND(B99&gt;='Energy margins'!$AA$56,B99&lt;='Energy margins'!$AB$56),B99-'Energy margins'!$AA$56,""),'Energy margins'!$AC$56)=0,'Energy margins'!$Z$56,0)),0,IF(MOD(IF(AND(B99&gt;='Energy margins'!$AA$56,B99&lt;='Energy margins'!$AB$56),B99-'Energy margins'!$AA$56,""),'Energy margins'!$AC$56)=0,'Energy margins'!$Z$56,0))</f>
        <v>321.60000000000002</v>
      </c>
      <c r="Q99" s="913">
        <f>IF(ISERROR(IF(MOD(IF(AND(B99&gt;='Energy margins'!$AA$59,B99&lt;='Energy margins'!$AB$59),B99-'Energy margins'!$AA$59,""),'Energy margins'!$AC$59)=0,'Energy margins'!$Z$59,0)),0,IF(MOD(IF(AND(B99&gt;='Energy margins'!$AA$59,B99&lt;='Energy margins'!$AB$59),B99-'Energy margins'!$AA$59,""),'Energy margins'!$AC$59)=0,'Energy margins'!$Z$59,0))</f>
        <v>0</v>
      </c>
      <c r="R99" s="913">
        <f>IF(ISERROR(IF(MOD(IF(AND(B99&gt;='Energy margins'!$AA$60,B99&lt;='Energy margins'!$AB$60),B99-'Energy margins'!$AA$60,""),'Energy margins'!$AC$60)=0,'Energy margins'!$Z$60,0)),0,IF(MOD(IF(AND(B99&gt;='Energy margins'!$AA$60,B99&lt;='Energy margins'!$AB$60),B99-'Energy margins'!$AA$60,""),'Energy margins'!$AC$60)=0,'Energy margins'!$Z$60,0))</f>
        <v>0</v>
      </c>
      <c r="S99" s="913">
        <f>IF(ISERROR(IF(MOD(IF(AND(B99&gt;='Energy margins'!$AA$61,B99&lt;='Energy margins'!$AB$61),B99-'Energy margins'!$AA$61,""),'Energy margins'!$AC$61)=0,'Energy margins'!$Z$61,0)),0,IF(MOD(IF(AND(B99&gt;='Energy margins'!$AA$61,B99&lt;='Energy margins'!$AB$61),B99-'Energy margins'!$AA$61,""),'Energy margins'!$AC$61)=0,'Energy margins'!$Z$61,0))</f>
        <v>857.50000000000011</v>
      </c>
      <c r="T99" s="913">
        <f>IF(ISERROR(IF(MOD(IF(AND(B99&gt;='Energy margins'!$AA$62,B99&lt;='Energy margins'!$AB$62),B99-'Energy margins'!$AA$62,""),'Energy margins'!$AC$62)=0,'Energy margins'!$Z$62,0)),0,IF(MOD(IF(AND(B99&gt;='Energy margins'!$AA$62,B99&lt;='Energy margins'!$AB$62),B99-'Energy margins'!$AA$62,""),'Energy margins'!$AC$62)=0,'Energy margins'!$Z$62,0))</f>
        <v>0</v>
      </c>
      <c r="U99" s="939">
        <f t="shared" si="48"/>
        <v>2207.6999999999998</v>
      </c>
      <c r="V99" s="197"/>
      <c r="W99" s="197">
        <f t="shared" si="53"/>
        <v>2207.6999999999998</v>
      </c>
      <c r="X99" s="197">
        <f t="shared" si="49"/>
        <v>2185.1500000000005</v>
      </c>
      <c r="Y99" s="197">
        <f t="shared" si="50"/>
        <v>2656.7900000000009</v>
      </c>
      <c r="Z99" s="968">
        <f t="shared" si="54"/>
        <v>3209.8124670429647</v>
      </c>
      <c r="AA99" s="969">
        <f t="shared" si="55"/>
        <v>344.6227282871356</v>
      </c>
      <c r="AB99" s="969">
        <f t="shared" si="56"/>
        <v>1613.1447655828795</v>
      </c>
      <c r="AC99" s="969">
        <f t="shared" si="57"/>
        <v>1596.6677014600853</v>
      </c>
      <c r="AD99" s="969">
        <f t="shared" si="58"/>
        <v>1941.2904297472212</v>
      </c>
      <c r="AE99" s="968">
        <f t="shared" si="64"/>
        <v>27391.681406348856</v>
      </c>
      <c r="AF99" s="969">
        <f t="shared" si="59"/>
        <v>3647.0717928216054</v>
      </c>
      <c r="AG99" s="969">
        <f t="shared" si="60"/>
        <v>27239.695949185385</v>
      </c>
      <c r="AH99" s="969">
        <f t="shared" si="61"/>
        <v>151.98545716346916</v>
      </c>
      <c r="AI99" s="970">
        <f t="shared" si="62"/>
        <v>3799.0572499850759</v>
      </c>
    </row>
    <row r="100" spans="2:35" x14ac:dyDescent="0.3">
      <c r="B100" s="895">
        <v>10</v>
      </c>
      <c r="C100" s="917">
        <f>'Energy Inputs'!G39</f>
        <v>1</v>
      </c>
      <c r="D100" s="913">
        <f>C100*'Energy Inputs'!$G$24</f>
        <v>16.3</v>
      </c>
      <c r="E100" s="197">
        <f>'Energy margins'!$Z$12</f>
        <v>269.5</v>
      </c>
      <c r="F100" s="197">
        <f t="shared" si="63"/>
        <v>4392.8500000000004</v>
      </c>
      <c r="G100" s="913">
        <f>'Energy Inputs'!$D$10</f>
        <v>471.64</v>
      </c>
      <c r="H100" s="197">
        <f t="shared" si="52"/>
        <v>4864.4900000000007</v>
      </c>
      <c r="I100" s="197"/>
      <c r="J100" s="942">
        <f>IF(ISERROR(IF(MOD(IF(AND(B100&gt;='Energy margins'!$AA$44,B100&lt;='Energy margins'!$AB$44),B100-'Energy margins'!$AA$44,""),'Energy margins'!$AC$44)=0,'Energy margins'!$Z$44,0)),0,IF(MOD(IF(AND(B100&gt;='Energy margins'!$AA$44,B100&lt;='Energy margins'!$AB$44),B100-'Energy margins'!$AA$44,""),'Energy margins'!$AC$44)=0,'Energy margins'!$Z$44,0))</f>
        <v>0</v>
      </c>
      <c r="K100" s="913">
        <f>IF(ISERROR(IF(MOD(IF(AND(B100&gt;='Energy margins'!$AA$45,B100&lt;='Energy margins'!$AB$45),B100-'Energy margins'!$AA$45,""),'Energy margins'!$AC$45)=0,'Energy margins'!$Z$45,0)),0,IF(MOD(IF(AND(B100&gt;='Energy margins'!$AA$45,B100&lt;='Energy margins'!$AB$45),B100-'Energy margins'!$AA$45,""),'Energy margins'!$AC$45)=0,'Energy margins'!$Z$45,0))</f>
        <v>0</v>
      </c>
      <c r="L100" s="913">
        <f>IF(ISERROR(IF(MOD(IF(AND(B100&gt;='Energy margins'!$AA$46,B100&lt;='Energy margins'!$AB$46),B100-'Energy margins'!$AA$46,""),'Energy margins'!$AC$46)=0,'Energy margins'!$Z$46,0)),0,IF(MOD(IF(AND(B100&gt;='Energy margins'!$AA$46,B100&lt;='Energy margins'!$AB$46),B100-'Energy margins'!$AA$46,""),'Energy margins'!$AC$46)=0,'Energy margins'!$Z$46,0))</f>
        <v>0</v>
      </c>
      <c r="M100" s="913">
        <f>IF(ISERROR(IF(MOD(IF(AND(B100&gt;='Energy margins'!$AA$47,B100&lt;='Energy margins'!$AB$47),B100-'Energy margins'!$AA$47,""),'Energy margins'!$AC$47)=0,'Energy margins'!$Z$47,0)),0,IF(MOD(IF(AND(B100&gt;='Energy margins'!$AA$47,B100&lt;='Energy margins'!$AB$47),B100-'Energy margins'!$AA$47,""),'Energy margins'!$AC$47)=0,'Energy margins'!$Z$47,0))</f>
        <v>327</v>
      </c>
      <c r="N100" s="913">
        <f>IF(ISERROR(IF(MOD(IF(AND(B100&gt;='Energy margins'!$AA$50,B100&lt;='Energy margins'!$AB$50),B100-'Energy margins'!$AA$50,""),'Energy margins'!$AC$50)=0,'Energy margins'!$Z$50,0)),0,IF(MOD(IF(AND(B100&gt;='Energy margins'!$AA$50,B100&lt;='Energy margins'!$AB$50),B100-'Energy margins'!$AA$50,""),'Energy margins'!$AC$50)=0,'Energy margins'!$Z$50,0))</f>
        <v>344</v>
      </c>
      <c r="O100" s="913">
        <f>IF(ISERROR(IF(MOD(IF(AND(B100&gt;='Energy margins'!$AA$53,B100&lt;='Energy margins'!$AB$53),B100-'Energy margins'!$AA$53,""),'Energy margins'!$AC$53)=0,'Energy margins'!$Z$53,0)),0,IF(MOD(IF(AND(B100&gt;='Energy margins'!$AA$53,B100&lt;='Energy margins'!$AB$53),B100-'Energy margins'!$AA$53,""),'Energy margins'!$AC$53)=0,'Energy margins'!$Z$53,0))</f>
        <v>357.59999999999997</v>
      </c>
      <c r="P100" s="913">
        <f>IF(ISERROR(IF(MOD(IF(AND(B100&gt;='Energy margins'!$AA$56,B100&lt;='Energy margins'!$AB$56),B100-'Energy margins'!$AA$56,""),'Energy margins'!$AC$56)=0,'Energy margins'!$Z$56,0)),0,IF(MOD(IF(AND(B100&gt;='Energy margins'!$AA$56,B100&lt;='Energy margins'!$AB$56),B100-'Energy margins'!$AA$56,""),'Energy margins'!$AC$56)=0,'Energy margins'!$Z$56,0))</f>
        <v>321.60000000000002</v>
      </c>
      <c r="Q100" s="913">
        <f>IF(ISERROR(IF(MOD(IF(AND(B100&gt;='Energy margins'!$AA$59,B100&lt;='Energy margins'!$AB$59),B100-'Energy margins'!$AA$59,""),'Energy margins'!$AC$59)=0,'Energy margins'!$Z$59,0)),0,IF(MOD(IF(AND(B100&gt;='Energy margins'!$AA$59,B100&lt;='Energy margins'!$AB$59),B100-'Energy margins'!$AA$59,""),'Energy margins'!$AC$59)=0,'Energy margins'!$Z$59,0))</f>
        <v>0</v>
      </c>
      <c r="R100" s="913">
        <f>IF(ISERROR(IF(MOD(IF(AND(B100&gt;='Energy margins'!$AA$60,B100&lt;='Energy margins'!$AB$60),B100-'Energy margins'!$AA$60,""),'Energy margins'!$AC$60)=0,'Energy margins'!$Z$60,0)),0,IF(MOD(IF(AND(B100&gt;='Energy margins'!$AA$60,B100&lt;='Energy margins'!$AB$60),B100-'Energy margins'!$AA$60,""),'Energy margins'!$AC$60)=0,'Energy margins'!$Z$60,0))</f>
        <v>0</v>
      </c>
      <c r="S100" s="913">
        <f>IF(ISERROR(IF(MOD(IF(AND(B100&gt;='Energy margins'!$AA$61,B100&lt;='Energy margins'!$AB$61),B100-'Energy margins'!$AA$61,""),'Energy margins'!$AC$61)=0,'Energy margins'!$Z$61,0)),0,IF(MOD(IF(AND(B100&gt;='Energy margins'!$AA$61,B100&lt;='Energy margins'!$AB$61),B100-'Energy margins'!$AA$61,""),'Energy margins'!$AC$61)=0,'Energy margins'!$Z$61,0))</f>
        <v>857.50000000000011</v>
      </c>
      <c r="T100" s="913">
        <f>IF(ISERROR(IF(MOD(IF(AND(B100&gt;='Energy margins'!$AA$62,B100&lt;='Energy margins'!$AB$62),B100-'Energy margins'!$AA$62,""),'Energy margins'!$AC$62)=0,'Energy margins'!$Z$62,0)),0,IF(MOD(IF(AND(B100&gt;='Energy margins'!$AA$62,B100&lt;='Energy margins'!$AB$62),B100-'Energy margins'!$AA$62,""),'Energy margins'!$AC$62)=0,'Energy margins'!$Z$62,0))</f>
        <v>0</v>
      </c>
      <c r="U100" s="939">
        <f t="shared" si="48"/>
        <v>2207.6999999999998</v>
      </c>
      <c r="V100" s="197"/>
      <c r="W100" s="197">
        <f t="shared" si="53"/>
        <v>2207.6999999999998</v>
      </c>
      <c r="X100" s="197">
        <f t="shared" si="49"/>
        <v>2185.1500000000005</v>
      </c>
      <c r="Y100" s="197">
        <f t="shared" si="50"/>
        <v>2656.7900000000009</v>
      </c>
      <c r="Z100" s="968">
        <f t="shared" si="54"/>
        <v>3086.3581413874658</v>
      </c>
      <c r="AA100" s="969">
        <f t="shared" si="55"/>
        <v>331.36800796839958</v>
      </c>
      <c r="AB100" s="969">
        <f t="shared" si="56"/>
        <v>1551.100736137384</v>
      </c>
      <c r="AC100" s="969">
        <f t="shared" si="57"/>
        <v>1535.2574052500818</v>
      </c>
      <c r="AD100" s="969">
        <f t="shared" si="58"/>
        <v>1866.6254132184818</v>
      </c>
      <c r="AE100" s="968">
        <f t="shared" si="64"/>
        <v>30478.039547736324</v>
      </c>
      <c r="AF100" s="969">
        <f t="shared" si="59"/>
        <v>3978.4398007900049</v>
      </c>
      <c r="AG100" s="969">
        <f t="shared" si="60"/>
        <v>28790.79668532277</v>
      </c>
      <c r="AH100" s="969">
        <f t="shared" si="61"/>
        <v>1687.2428624135509</v>
      </c>
      <c r="AI100" s="970">
        <f t="shared" si="62"/>
        <v>5665.6826632035572</v>
      </c>
    </row>
    <row r="101" spans="2:35" x14ac:dyDescent="0.3">
      <c r="B101" s="895">
        <v>11</v>
      </c>
      <c r="C101" s="917">
        <f>'Energy Inputs'!G40</f>
        <v>1</v>
      </c>
      <c r="D101" s="913">
        <f>C101*'Energy Inputs'!$G$24</f>
        <v>16.3</v>
      </c>
      <c r="E101" s="197">
        <f>'Energy margins'!$Z$12</f>
        <v>269.5</v>
      </c>
      <c r="F101" s="197">
        <f t="shared" si="63"/>
        <v>4392.8500000000004</v>
      </c>
      <c r="G101" s="913">
        <f>'Energy Inputs'!$D$10</f>
        <v>471.64</v>
      </c>
      <c r="H101" s="197">
        <f t="shared" si="52"/>
        <v>4864.4900000000007</v>
      </c>
      <c r="I101" s="197"/>
      <c r="J101" s="942">
        <f>IF(ISERROR(IF(MOD(IF(AND(B101&gt;='Energy margins'!$AA$44,B101&lt;='Energy margins'!$AB$44),B101-'Energy margins'!$AA$44,""),'Energy margins'!$AC$44)=0,'Energy margins'!$Z$44,0)),0,IF(MOD(IF(AND(B101&gt;='Energy margins'!$AA$44,B101&lt;='Energy margins'!$AB$44),B101-'Energy margins'!$AA$44,""),'Energy margins'!$AC$44)=0,'Energy margins'!$Z$44,0))</f>
        <v>0</v>
      </c>
      <c r="K101" s="913">
        <f>IF(ISERROR(IF(MOD(IF(AND(B101&gt;='Energy margins'!$AA$45,B101&lt;='Energy margins'!$AB$45),B101-'Energy margins'!$AA$45,""),'Energy margins'!$AC$45)=0,'Energy margins'!$Z$45,0)),0,IF(MOD(IF(AND(B101&gt;='Energy margins'!$AA$45,B101&lt;='Energy margins'!$AB$45),B101-'Energy margins'!$AA$45,""),'Energy margins'!$AC$45)=0,'Energy margins'!$Z$45,0))</f>
        <v>0</v>
      </c>
      <c r="L101" s="913">
        <f>IF(ISERROR(IF(MOD(IF(AND(B101&gt;='Energy margins'!$AA$46,B101&lt;='Energy margins'!$AB$46),B101-'Energy margins'!$AA$46,""),'Energy margins'!$AC$46)=0,'Energy margins'!$Z$46,0)),0,IF(MOD(IF(AND(B101&gt;='Energy margins'!$AA$46,B101&lt;='Energy margins'!$AB$46),B101-'Energy margins'!$AA$46,""),'Energy margins'!$AC$46)=0,'Energy margins'!$Z$46,0))</f>
        <v>0</v>
      </c>
      <c r="M101" s="913">
        <f>IF(ISERROR(IF(MOD(IF(AND(B101&gt;='Energy margins'!$AA$47,B101&lt;='Energy margins'!$AB$47),B101-'Energy margins'!$AA$47,""),'Energy margins'!$AC$47)=0,'Energy margins'!$Z$47,0)),0,IF(MOD(IF(AND(B101&gt;='Energy margins'!$AA$47,B101&lt;='Energy margins'!$AB$47),B101-'Energy margins'!$AA$47,""),'Energy margins'!$AC$47)=0,'Energy margins'!$Z$47,0))</f>
        <v>327</v>
      </c>
      <c r="N101" s="913">
        <f>IF(ISERROR(IF(MOD(IF(AND(B101&gt;='Energy margins'!$AA$50,B101&lt;='Energy margins'!$AB$50),B101-'Energy margins'!$AA$50,""),'Energy margins'!$AC$50)=0,'Energy margins'!$Z$50,0)),0,IF(MOD(IF(AND(B101&gt;='Energy margins'!$AA$50,B101&lt;='Energy margins'!$AB$50),B101-'Energy margins'!$AA$50,""),'Energy margins'!$AC$50)=0,'Energy margins'!$Z$50,0))</f>
        <v>344</v>
      </c>
      <c r="O101" s="913">
        <f>IF(ISERROR(IF(MOD(IF(AND(B101&gt;='Energy margins'!$AA$53,B101&lt;='Energy margins'!$AB$53),B101-'Energy margins'!$AA$53,""),'Energy margins'!$AC$53)=0,'Energy margins'!$Z$53,0)),0,IF(MOD(IF(AND(B101&gt;='Energy margins'!$AA$53,B101&lt;='Energy margins'!$AB$53),B101-'Energy margins'!$AA$53,""),'Energy margins'!$AC$53)=0,'Energy margins'!$Z$53,0))</f>
        <v>357.59999999999997</v>
      </c>
      <c r="P101" s="913">
        <f>IF(ISERROR(IF(MOD(IF(AND(B101&gt;='Energy margins'!$AA$56,B101&lt;='Energy margins'!$AB$56),B101-'Energy margins'!$AA$56,""),'Energy margins'!$AC$56)=0,'Energy margins'!$Z$56,0)),0,IF(MOD(IF(AND(B101&gt;='Energy margins'!$AA$56,B101&lt;='Energy margins'!$AB$56),B101-'Energy margins'!$AA$56,""),'Energy margins'!$AC$56)=0,'Energy margins'!$Z$56,0))</f>
        <v>321.60000000000002</v>
      </c>
      <c r="Q101" s="913">
        <f>IF(ISERROR(IF(MOD(IF(AND(B101&gt;='Energy margins'!$AA$59,B101&lt;='Energy margins'!$AB$59),B101-'Energy margins'!$AA$59,""),'Energy margins'!$AC$59)=0,'Energy margins'!$Z$59,0)),0,IF(MOD(IF(AND(B101&gt;='Energy margins'!$AA$59,B101&lt;='Energy margins'!$AB$59),B101-'Energy margins'!$AA$59,""),'Energy margins'!$AC$59)=0,'Energy margins'!$Z$59,0))</f>
        <v>0</v>
      </c>
      <c r="R101" s="913">
        <f>IF(ISERROR(IF(MOD(IF(AND(B101&gt;='Energy margins'!$AA$60,B101&lt;='Energy margins'!$AB$60),B101-'Energy margins'!$AA$60,""),'Energy margins'!$AC$60)=0,'Energy margins'!$Z$60,0)),0,IF(MOD(IF(AND(B101&gt;='Energy margins'!$AA$60,B101&lt;='Energy margins'!$AB$60),B101-'Energy margins'!$AA$60,""),'Energy margins'!$AC$60)=0,'Energy margins'!$Z$60,0))</f>
        <v>0</v>
      </c>
      <c r="S101" s="913">
        <f>IF(ISERROR(IF(MOD(IF(AND(B101&gt;='Energy margins'!$AA$61,B101&lt;='Energy margins'!$AB$61),B101-'Energy margins'!$AA$61,""),'Energy margins'!$AC$61)=0,'Energy margins'!$Z$61,0)),0,IF(MOD(IF(AND(B101&gt;='Energy margins'!$AA$61,B101&lt;='Energy margins'!$AB$61),B101-'Energy margins'!$AA$61,""),'Energy margins'!$AC$61)=0,'Energy margins'!$Z$61,0))</f>
        <v>857.50000000000011</v>
      </c>
      <c r="T101" s="913">
        <f>IF(ISERROR(IF(MOD(IF(AND(B101&gt;='Energy margins'!$AA$62,B101&lt;='Energy margins'!$AB$62),B101-'Energy margins'!$AA$62,""),'Energy margins'!$AC$62)=0,'Energy margins'!$Z$62,0)),0,IF(MOD(IF(AND(B101&gt;='Energy margins'!$AA$62,B101&lt;='Energy margins'!$AB$62),B101-'Energy margins'!$AA$62,""),'Energy margins'!$AC$62)=0,'Energy margins'!$Z$62,0))</f>
        <v>0</v>
      </c>
      <c r="U101" s="939">
        <f t="shared" si="48"/>
        <v>2207.6999999999998</v>
      </c>
      <c r="V101" s="197"/>
      <c r="W101" s="197">
        <f t="shared" si="53"/>
        <v>2207.6999999999998</v>
      </c>
      <c r="X101" s="197">
        <f t="shared" si="49"/>
        <v>2185.1500000000005</v>
      </c>
      <c r="Y101" s="197">
        <f t="shared" si="50"/>
        <v>2656.7900000000009</v>
      </c>
      <c r="Z101" s="968">
        <f t="shared" si="54"/>
        <v>2967.6520590264095</v>
      </c>
      <c r="AA101" s="969">
        <f t="shared" si="55"/>
        <v>318.62308458499962</v>
      </c>
      <c r="AB101" s="969">
        <f t="shared" si="56"/>
        <v>1491.4430155167154</v>
      </c>
      <c r="AC101" s="969">
        <f t="shared" si="57"/>
        <v>1476.2090435096941</v>
      </c>
      <c r="AD101" s="969">
        <f t="shared" si="58"/>
        <v>1794.8321280946939</v>
      </c>
      <c r="AE101" s="968">
        <f t="shared" si="64"/>
        <v>33445.691606762732</v>
      </c>
      <c r="AF101" s="969">
        <f t="shared" si="59"/>
        <v>4297.062885375005</v>
      </c>
      <c r="AG101" s="969">
        <f t="shared" si="60"/>
        <v>30282.239700839484</v>
      </c>
      <c r="AH101" s="969">
        <f t="shared" si="61"/>
        <v>3163.4519059232452</v>
      </c>
      <c r="AI101" s="970">
        <f t="shared" si="62"/>
        <v>7460.5147912982511</v>
      </c>
    </row>
    <row r="102" spans="2:35" x14ac:dyDescent="0.3">
      <c r="B102" s="895">
        <v>12</v>
      </c>
      <c r="C102" s="917">
        <f>'Energy Inputs'!G41</f>
        <v>1</v>
      </c>
      <c r="D102" s="913">
        <f>C102*'Energy Inputs'!$G$24</f>
        <v>16.3</v>
      </c>
      <c r="E102" s="197">
        <f>'Energy margins'!$Z$12</f>
        <v>269.5</v>
      </c>
      <c r="F102" s="197">
        <f t="shared" si="63"/>
        <v>4392.8500000000004</v>
      </c>
      <c r="G102" s="913">
        <f>'Energy Inputs'!$D$10</f>
        <v>471.64</v>
      </c>
      <c r="H102" s="197">
        <f t="shared" si="52"/>
        <v>4864.4900000000007</v>
      </c>
      <c r="I102" s="197"/>
      <c r="J102" s="942">
        <f>IF(ISERROR(IF(MOD(IF(AND(B102&gt;='Energy margins'!$AA$44,B102&lt;='Energy margins'!$AB$44),B102-'Energy margins'!$AA$44,""),'Energy margins'!$AC$44)=0,'Energy margins'!$Z$44,0)),0,IF(MOD(IF(AND(B102&gt;='Energy margins'!$AA$44,B102&lt;='Energy margins'!$AB$44),B102-'Energy margins'!$AA$44,""),'Energy margins'!$AC$44)=0,'Energy margins'!$Z$44,0))</f>
        <v>0</v>
      </c>
      <c r="K102" s="913">
        <f>IF(ISERROR(IF(MOD(IF(AND(B102&gt;='Energy margins'!$AA$45,B102&lt;='Energy margins'!$AB$45),B102-'Energy margins'!$AA$45,""),'Energy margins'!$AC$45)=0,'Energy margins'!$Z$45,0)),0,IF(MOD(IF(AND(B102&gt;='Energy margins'!$AA$45,B102&lt;='Energy margins'!$AB$45),B102-'Energy margins'!$AA$45,""),'Energy margins'!$AC$45)=0,'Energy margins'!$Z$45,0))</f>
        <v>0</v>
      </c>
      <c r="L102" s="913">
        <f>IF(ISERROR(IF(MOD(IF(AND(B102&gt;='Energy margins'!$AA$46,B102&lt;='Energy margins'!$AB$46),B102-'Energy margins'!$AA$46,""),'Energy margins'!$AC$46)=0,'Energy margins'!$Z$46,0)),0,IF(MOD(IF(AND(B102&gt;='Energy margins'!$AA$46,B102&lt;='Energy margins'!$AB$46),B102-'Energy margins'!$AA$46,""),'Energy margins'!$AC$46)=0,'Energy margins'!$Z$46,0))</f>
        <v>0</v>
      </c>
      <c r="M102" s="913">
        <f>IF(ISERROR(IF(MOD(IF(AND(B102&gt;='Energy margins'!$AA$47,B102&lt;='Energy margins'!$AB$47),B102-'Energy margins'!$AA$47,""),'Energy margins'!$AC$47)=0,'Energy margins'!$Z$47,0)),0,IF(MOD(IF(AND(B102&gt;='Energy margins'!$AA$47,B102&lt;='Energy margins'!$AB$47),B102-'Energy margins'!$AA$47,""),'Energy margins'!$AC$47)=0,'Energy margins'!$Z$47,0))</f>
        <v>327</v>
      </c>
      <c r="N102" s="913">
        <f>IF(ISERROR(IF(MOD(IF(AND(B102&gt;='Energy margins'!$AA$50,B102&lt;='Energy margins'!$AB$50),B102-'Energy margins'!$AA$50,""),'Energy margins'!$AC$50)=0,'Energy margins'!$Z$50,0)),0,IF(MOD(IF(AND(B102&gt;='Energy margins'!$AA$50,B102&lt;='Energy margins'!$AB$50),B102-'Energy margins'!$AA$50,""),'Energy margins'!$AC$50)=0,'Energy margins'!$Z$50,0))</f>
        <v>344</v>
      </c>
      <c r="O102" s="913">
        <f>IF(ISERROR(IF(MOD(IF(AND(B102&gt;='Energy margins'!$AA$53,B102&lt;='Energy margins'!$AB$53),B102-'Energy margins'!$AA$53,""),'Energy margins'!$AC$53)=0,'Energy margins'!$Z$53,0)),0,IF(MOD(IF(AND(B102&gt;='Energy margins'!$AA$53,B102&lt;='Energy margins'!$AB$53),B102-'Energy margins'!$AA$53,""),'Energy margins'!$AC$53)=0,'Energy margins'!$Z$53,0))</f>
        <v>357.59999999999997</v>
      </c>
      <c r="P102" s="913">
        <f>IF(ISERROR(IF(MOD(IF(AND(B102&gt;='Energy margins'!$AA$56,B102&lt;='Energy margins'!$AB$56),B102-'Energy margins'!$AA$56,""),'Energy margins'!$AC$56)=0,'Energy margins'!$Z$56,0)),0,IF(MOD(IF(AND(B102&gt;='Energy margins'!$AA$56,B102&lt;='Energy margins'!$AB$56),B102-'Energy margins'!$AA$56,""),'Energy margins'!$AC$56)=0,'Energy margins'!$Z$56,0))</f>
        <v>321.60000000000002</v>
      </c>
      <c r="Q102" s="913">
        <f>IF(ISERROR(IF(MOD(IF(AND(B102&gt;='Energy margins'!$AA$59,B102&lt;='Energy margins'!$AB$59),B102-'Energy margins'!$AA$59,""),'Energy margins'!$AC$59)=0,'Energy margins'!$Z$59,0)),0,IF(MOD(IF(AND(B102&gt;='Energy margins'!$AA$59,B102&lt;='Energy margins'!$AB$59),B102-'Energy margins'!$AA$59,""),'Energy margins'!$AC$59)=0,'Energy margins'!$Z$59,0))</f>
        <v>0</v>
      </c>
      <c r="R102" s="913">
        <f>IF(ISERROR(IF(MOD(IF(AND(B102&gt;='Energy margins'!$AA$60,B102&lt;='Energy margins'!$AB$60),B102-'Energy margins'!$AA$60,""),'Energy margins'!$AC$60)=0,'Energy margins'!$Z$60,0)),0,IF(MOD(IF(AND(B102&gt;='Energy margins'!$AA$60,B102&lt;='Energy margins'!$AB$60),B102-'Energy margins'!$AA$60,""),'Energy margins'!$AC$60)=0,'Energy margins'!$Z$60,0))</f>
        <v>0</v>
      </c>
      <c r="S102" s="913">
        <f>IF(ISERROR(IF(MOD(IF(AND(B102&gt;='Energy margins'!$AA$61,B102&lt;='Energy margins'!$AB$61),B102-'Energy margins'!$AA$61,""),'Energy margins'!$AC$61)=0,'Energy margins'!$Z$61,0)),0,IF(MOD(IF(AND(B102&gt;='Energy margins'!$AA$61,B102&lt;='Energy margins'!$AB$61),B102-'Energy margins'!$AA$61,""),'Energy margins'!$AC$61)=0,'Energy margins'!$Z$61,0))</f>
        <v>857.50000000000011</v>
      </c>
      <c r="T102" s="913">
        <f>IF(ISERROR(IF(MOD(IF(AND(B102&gt;='Energy margins'!$AA$62,B102&lt;='Energy margins'!$AB$62),B102-'Energy margins'!$AA$62,""),'Energy margins'!$AC$62)=0,'Energy margins'!$Z$62,0)),0,IF(MOD(IF(AND(B102&gt;='Energy margins'!$AA$62,B102&lt;='Energy margins'!$AB$62),B102-'Energy margins'!$AA$62,""),'Energy margins'!$AC$62)=0,'Energy margins'!$Z$62,0))</f>
        <v>0</v>
      </c>
      <c r="U102" s="939">
        <f t="shared" si="48"/>
        <v>2207.6999999999998</v>
      </c>
      <c r="V102" s="197"/>
      <c r="W102" s="197">
        <f t="shared" si="53"/>
        <v>2207.6999999999998</v>
      </c>
      <c r="X102" s="197">
        <f t="shared" si="49"/>
        <v>2185.1500000000005</v>
      </c>
      <c r="Y102" s="197">
        <f t="shared" si="50"/>
        <v>2656.7900000000009</v>
      </c>
      <c r="Z102" s="968">
        <f t="shared" si="54"/>
        <v>2853.5115952177016</v>
      </c>
      <c r="AA102" s="969">
        <f t="shared" si="55"/>
        <v>306.36835056249964</v>
      </c>
      <c r="AB102" s="969">
        <f t="shared" si="56"/>
        <v>1434.0798226122265</v>
      </c>
      <c r="AC102" s="969">
        <f t="shared" si="57"/>
        <v>1419.4317726054751</v>
      </c>
      <c r="AD102" s="969">
        <f t="shared" si="58"/>
        <v>1725.800123167975</v>
      </c>
      <c r="AE102" s="968">
        <f t="shared" si="64"/>
        <v>36299.203201980432</v>
      </c>
      <c r="AF102" s="969">
        <f t="shared" si="59"/>
        <v>4603.4312359375044</v>
      </c>
      <c r="AG102" s="969">
        <f t="shared" si="60"/>
        <v>31716.319523451712</v>
      </c>
      <c r="AH102" s="969">
        <f t="shared" si="61"/>
        <v>4582.8836785287203</v>
      </c>
      <c r="AI102" s="970">
        <f t="shared" si="62"/>
        <v>9186.3149144662257</v>
      </c>
    </row>
    <row r="103" spans="2:35" x14ac:dyDescent="0.3">
      <c r="B103" s="895">
        <v>13</v>
      </c>
      <c r="C103" s="917">
        <f>'Energy Inputs'!G42</f>
        <v>1</v>
      </c>
      <c r="D103" s="913">
        <f>C103*'Energy Inputs'!$G$24</f>
        <v>16.3</v>
      </c>
      <c r="E103" s="197">
        <f>'Energy margins'!$Z$12</f>
        <v>269.5</v>
      </c>
      <c r="F103" s="197">
        <f t="shared" si="63"/>
        <v>4392.8500000000004</v>
      </c>
      <c r="G103" s="913">
        <f>'Energy Inputs'!$D$10</f>
        <v>471.64</v>
      </c>
      <c r="H103" s="197">
        <f t="shared" si="52"/>
        <v>4864.4900000000007</v>
      </c>
      <c r="I103" s="197"/>
      <c r="J103" s="942">
        <f>IF(ISERROR(IF(MOD(IF(AND(B103&gt;='Energy margins'!$AA$44,B103&lt;='Energy margins'!$AB$44),B103-'Energy margins'!$AA$44,""),'Energy margins'!$AC$44)=0,'Energy margins'!$Z$44,0)),0,IF(MOD(IF(AND(B103&gt;='Energy margins'!$AA$44,B103&lt;='Energy margins'!$AB$44),B103-'Energy margins'!$AA$44,""),'Energy margins'!$AC$44)=0,'Energy margins'!$Z$44,0))</f>
        <v>0</v>
      </c>
      <c r="K103" s="913">
        <f>IF(ISERROR(IF(MOD(IF(AND(B103&gt;='Energy margins'!$AA$45,B103&lt;='Energy margins'!$AB$45),B103-'Energy margins'!$AA$45,""),'Energy margins'!$AC$45)=0,'Energy margins'!$Z$45,0)),0,IF(MOD(IF(AND(B103&gt;='Energy margins'!$AA$45,B103&lt;='Energy margins'!$AB$45),B103-'Energy margins'!$AA$45,""),'Energy margins'!$AC$45)=0,'Energy margins'!$Z$45,0))</f>
        <v>0</v>
      </c>
      <c r="L103" s="913">
        <f>IF(ISERROR(IF(MOD(IF(AND(B103&gt;='Energy margins'!$AA$46,B103&lt;='Energy margins'!$AB$46),B103-'Energy margins'!$AA$46,""),'Energy margins'!$AC$46)=0,'Energy margins'!$Z$46,0)),0,IF(MOD(IF(AND(B103&gt;='Energy margins'!$AA$46,B103&lt;='Energy margins'!$AB$46),B103-'Energy margins'!$AA$46,""),'Energy margins'!$AC$46)=0,'Energy margins'!$Z$46,0))</f>
        <v>0</v>
      </c>
      <c r="M103" s="913">
        <f>IF(ISERROR(IF(MOD(IF(AND(B103&gt;='Energy margins'!$AA$47,B103&lt;='Energy margins'!$AB$47),B103-'Energy margins'!$AA$47,""),'Energy margins'!$AC$47)=0,'Energy margins'!$Z$47,0)),0,IF(MOD(IF(AND(B103&gt;='Energy margins'!$AA$47,B103&lt;='Energy margins'!$AB$47),B103-'Energy margins'!$AA$47,""),'Energy margins'!$AC$47)=0,'Energy margins'!$Z$47,0))</f>
        <v>327</v>
      </c>
      <c r="N103" s="913">
        <f>IF(ISERROR(IF(MOD(IF(AND(B103&gt;='Energy margins'!$AA$50,B103&lt;='Energy margins'!$AB$50),B103-'Energy margins'!$AA$50,""),'Energy margins'!$AC$50)=0,'Energy margins'!$Z$50,0)),0,IF(MOD(IF(AND(B103&gt;='Energy margins'!$AA$50,B103&lt;='Energy margins'!$AB$50),B103-'Energy margins'!$AA$50,""),'Energy margins'!$AC$50)=0,'Energy margins'!$Z$50,0))</f>
        <v>344</v>
      </c>
      <c r="O103" s="913">
        <f>IF(ISERROR(IF(MOD(IF(AND(B103&gt;='Energy margins'!$AA$53,B103&lt;='Energy margins'!$AB$53),B103-'Energy margins'!$AA$53,""),'Energy margins'!$AC$53)=0,'Energy margins'!$Z$53,0)),0,IF(MOD(IF(AND(B103&gt;='Energy margins'!$AA$53,B103&lt;='Energy margins'!$AB$53),B103-'Energy margins'!$AA$53,""),'Energy margins'!$AC$53)=0,'Energy margins'!$Z$53,0))</f>
        <v>357.59999999999997</v>
      </c>
      <c r="P103" s="913">
        <f>IF(ISERROR(IF(MOD(IF(AND(B103&gt;='Energy margins'!$AA$56,B103&lt;='Energy margins'!$AB$56),B103-'Energy margins'!$AA$56,""),'Energy margins'!$AC$56)=0,'Energy margins'!$Z$56,0)),0,IF(MOD(IF(AND(B103&gt;='Energy margins'!$AA$56,B103&lt;='Energy margins'!$AB$56),B103-'Energy margins'!$AA$56,""),'Energy margins'!$AC$56)=0,'Energy margins'!$Z$56,0))</f>
        <v>321.60000000000002</v>
      </c>
      <c r="Q103" s="913">
        <f>IF(ISERROR(IF(MOD(IF(AND(B103&gt;='Energy margins'!$AA$59,B103&lt;='Energy margins'!$AB$59),B103-'Energy margins'!$AA$59,""),'Energy margins'!$AC$59)=0,'Energy margins'!$Z$59,0)),0,IF(MOD(IF(AND(B103&gt;='Energy margins'!$AA$59,B103&lt;='Energy margins'!$AB$59),B103-'Energy margins'!$AA$59,""),'Energy margins'!$AC$59)=0,'Energy margins'!$Z$59,0))</f>
        <v>0</v>
      </c>
      <c r="R103" s="913">
        <f>IF(ISERROR(IF(MOD(IF(AND(B103&gt;='Energy margins'!$AA$60,B103&lt;='Energy margins'!$AB$60),B103-'Energy margins'!$AA$60,""),'Energy margins'!$AC$60)=0,'Energy margins'!$Z$60,0)),0,IF(MOD(IF(AND(B103&gt;='Energy margins'!$AA$60,B103&lt;='Energy margins'!$AB$60),B103-'Energy margins'!$AA$60,""),'Energy margins'!$AC$60)=0,'Energy margins'!$Z$60,0))</f>
        <v>0</v>
      </c>
      <c r="S103" s="913">
        <f>IF(ISERROR(IF(MOD(IF(AND(B103&gt;='Energy margins'!$AA$61,B103&lt;='Energy margins'!$AB$61),B103-'Energy margins'!$AA$61,""),'Energy margins'!$AC$61)=0,'Energy margins'!$Z$61,0)),0,IF(MOD(IF(AND(B103&gt;='Energy margins'!$AA$61,B103&lt;='Energy margins'!$AB$61),B103-'Energy margins'!$AA$61,""),'Energy margins'!$AC$61)=0,'Energy margins'!$Z$61,0))</f>
        <v>857.50000000000011</v>
      </c>
      <c r="T103" s="913">
        <f>IF(ISERROR(IF(MOD(IF(AND(B103&gt;='Energy margins'!$AA$62,B103&lt;='Energy margins'!$AB$62),B103-'Energy margins'!$AA$62,""),'Energy margins'!$AC$62)=0,'Energy margins'!$Z$62,0)),0,IF(MOD(IF(AND(B103&gt;='Energy margins'!$AA$62,B103&lt;='Energy margins'!$AB$62),B103-'Energy margins'!$AA$62,""),'Energy margins'!$AC$62)=0,'Energy margins'!$Z$62,0))</f>
        <v>0</v>
      </c>
      <c r="U103" s="939">
        <f t="shared" si="48"/>
        <v>2207.6999999999998</v>
      </c>
      <c r="V103" s="197"/>
      <c r="W103" s="197">
        <f t="shared" si="53"/>
        <v>2207.6999999999998</v>
      </c>
      <c r="X103" s="197">
        <f t="shared" si="49"/>
        <v>2185.1500000000005</v>
      </c>
      <c r="Y103" s="197">
        <f t="shared" si="50"/>
        <v>2656.7900000000009</v>
      </c>
      <c r="Z103" s="968">
        <f t="shared" si="54"/>
        <v>2743.7611492477895</v>
      </c>
      <c r="AA103" s="969">
        <f t="shared" si="55"/>
        <v>294.58495246394193</v>
      </c>
      <c r="AB103" s="969">
        <f t="shared" si="56"/>
        <v>1378.9229063579096</v>
      </c>
      <c r="AC103" s="969">
        <f t="shared" si="57"/>
        <v>1364.8382428898797</v>
      </c>
      <c r="AD103" s="969">
        <f t="shared" si="58"/>
        <v>1659.4231953538217</v>
      </c>
      <c r="AE103" s="968">
        <f t="shared" si="64"/>
        <v>39042.96435122822</v>
      </c>
      <c r="AF103" s="969">
        <f t="shared" si="59"/>
        <v>4898.016188401446</v>
      </c>
      <c r="AG103" s="969">
        <f t="shared" si="60"/>
        <v>33095.242429809623</v>
      </c>
      <c r="AH103" s="969">
        <f t="shared" si="61"/>
        <v>5947.7219214185998</v>
      </c>
      <c r="AI103" s="970">
        <f t="shared" si="62"/>
        <v>10845.738109820048</v>
      </c>
    </row>
    <row r="104" spans="2:35" x14ac:dyDescent="0.3">
      <c r="B104" s="895">
        <v>14</v>
      </c>
      <c r="C104" s="917">
        <f>'Energy Inputs'!G43</f>
        <v>1</v>
      </c>
      <c r="D104" s="913">
        <f>C104*'Energy Inputs'!$G$24</f>
        <v>16.3</v>
      </c>
      <c r="E104" s="197">
        <f>'Energy margins'!$Z$12</f>
        <v>269.5</v>
      </c>
      <c r="F104" s="197">
        <f t="shared" si="63"/>
        <v>4392.8500000000004</v>
      </c>
      <c r="G104" s="913">
        <f>'Energy Inputs'!$D$10</f>
        <v>471.64</v>
      </c>
      <c r="H104" s="197">
        <f t="shared" si="52"/>
        <v>4864.4900000000007</v>
      </c>
      <c r="I104" s="197"/>
      <c r="J104" s="942">
        <f>IF(ISERROR(IF(MOD(IF(AND(B104&gt;='Energy margins'!$AA$44,B104&lt;='Energy margins'!$AB$44),B104-'Energy margins'!$AA$44,""),'Energy margins'!$AC$44)=0,'Energy margins'!$Z$44,0)),0,IF(MOD(IF(AND(B104&gt;='Energy margins'!$AA$44,B104&lt;='Energy margins'!$AB$44),B104-'Energy margins'!$AA$44,""),'Energy margins'!$AC$44)=0,'Energy margins'!$Z$44,0))</f>
        <v>0</v>
      </c>
      <c r="K104" s="913">
        <f>IF(ISERROR(IF(MOD(IF(AND(B104&gt;='Energy margins'!$AA$45,B104&lt;='Energy margins'!$AB$45),B104-'Energy margins'!$AA$45,""),'Energy margins'!$AC$45)=0,'Energy margins'!$Z$45,0)),0,IF(MOD(IF(AND(B104&gt;='Energy margins'!$AA$45,B104&lt;='Energy margins'!$AB$45),B104-'Energy margins'!$AA$45,""),'Energy margins'!$AC$45)=0,'Energy margins'!$Z$45,0))</f>
        <v>0</v>
      </c>
      <c r="L104" s="913">
        <f>IF(ISERROR(IF(MOD(IF(AND(B104&gt;='Energy margins'!$AA$46,B104&lt;='Energy margins'!$AB$46),B104-'Energy margins'!$AA$46,""),'Energy margins'!$AC$46)=0,'Energy margins'!$Z$46,0)),0,IF(MOD(IF(AND(B104&gt;='Energy margins'!$AA$46,B104&lt;='Energy margins'!$AB$46),B104-'Energy margins'!$AA$46,""),'Energy margins'!$AC$46)=0,'Energy margins'!$Z$46,0))</f>
        <v>0</v>
      </c>
      <c r="M104" s="913">
        <f>IF(ISERROR(IF(MOD(IF(AND(B104&gt;='Energy margins'!$AA$47,B104&lt;='Energy margins'!$AB$47),B104-'Energy margins'!$AA$47,""),'Energy margins'!$AC$47)=0,'Energy margins'!$Z$47,0)),0,IF(MOD(IF(AND(B104&gt;='Energy margins'!$AA$47,B104&lt;='Energy margins'!$AB$47),B104-'Energy margins'!$AA$47,""),'Energy margins'!$AC$47)=0,'Energy margins'!$Z$47,0))</f>
        <v>327</v>
      </c>
      <c r="N104" s="913">
        <f>IF(ISERROR(IF(MOD(IF(AND(B104&gt;='Energy margins'!$AA$50,B104&lt;='Energy margins'!$AB$50),B104-'Energy margins'!$AA$50,""),'Energy margins'!$AC$50)=0,'Energy margins'!$Z$50,0)),0,IF(MOD(IF(AND(B104&gt;='Energy margins'!$AA$50,B104&lt;='Energy margins'!$AB$50),B104-'Energy margins'!$AA$50,""),'Energy margins'!$AC$50)=0,'Energy margins'!$Z$50,0))</f>
        <v>344</v>
      </c>
      <c r="O104" s="913">
        <f>IF(ISERROR(IF(MOD(IF(AND(B104&gt;='Energy margins'!$AA$53,B104&lt;='Energy margins'!$AB$53),B104-'Energy margins'!$AA$53,""),'Energy margins'!$AC$53)=0,'Energy margins'!$Z$53,0)),0,IF(MOD(IF(AND(B104&gt;='Energy margins'!$AA$53,B104&lt;='Energy margins'!$AB$53),B104-'Energy margins'!$AA$53,""),'Energy margins'!$AC$53)=0,'Energy margins'!$Z$53,0))</f>
        <v>357.59999999999997</v>
      </c>
      <c r="P104" s="913">
        <f>IF(ISERROR(IF(MOD(IF(AND(B104&gt;='Energy margins'!$AA$56,B104&lt;='Energy margins'!$AB$56),B104-'Energy margins'!$AA$56,""),'Energy margins'!$AC$56)=0,'Energy margins'!$Z$56,0)),0,IF(MOD(IF(AND(B104&gt;='Energy margins'!$AA$56,B104&lt;='Energy margins'!$AB$56),B104-'Energy margins'!$AA$56,""),'Energy margins'!$AC$56)=0,'Energy margins'!$Z$56,0))</f>
        <v>321.60000000000002</v>
      </c>
      <c r="Q104" s="913">
        <f>IF(ISERROR(IF(MOD(IF(AND(B104&gt;='Energy margins'!$AA$59,B104&lt;='Energy margins'!$AB$59),B104-'Energy margins'!$AA$59,""),'Energy margins'!$AC$59)=0,'Energy margins'!$Z$59,0)),0,IF(MOD(IF(AND(B104&gt;='Energy margins'!$AA$59,B104&lt;='Energy margins'!$AB$59),B104-'Energy margins'!$AA$59,""),'Energy margins'!$AC$59)=0,'Energy margins'!$Z$59,0))</f>
        <v>0</v>
      </c>
      <c r="R104" s="913">
        <f>IF(ISERROR(IF(MOD(IF(AND(B104&gt;='Energy margins'!$AA$60,B104&lt;='Energy margins'!$AB$60),B104-'Energy margins'!$AA$60,""),'Energy margins'!$AC$60)=0,'Energy margins'!$Z$60,0)),0,IF(MOD(IF(AND(B104&gt;='Energy margins'!$AA$60,B104&lt;='Energy margins'!$AB$60),B104-'Energy margins'!$AA$60,""),'Energy margins'!$AC$60)=0,'Energy margins'!$Z$60,0))</f>
        <v>0</v>
      </c>
      <c r="S104" s="913">
        <f>IF(ISERROR(IF(MOD(IF(AND(B104&gt;='Energy margins'!$AA$61,B104&lt;='Energy margins'!$AB$61),B104-'Energy margins'!$AA$61,""),'Energy margins'!$AC$61)=0,'Energy margins'!$Z$61,0)),0,IF(MOD(IF(AND(B104&gt;='Energy margins'!$AA$61,B104&lt;='Energy margins'!$AB$61),B104-'Energy margins'!$AA$61,""),'Energy margins'!$AC$61)=0,'Energy margins'!$Z$61,0))</f>
        <v>857.50000000000011</v>
      </c>
      <c r="T104" s="913">
        <f>IF(ISERROR(IF(MOD(IF(AND(B104&gt;='Energy margins'!$AA$62,B104&lt;='Energy margins'!$AB$62),B104-'Energy margins'!$AA$62,""),'Energy margins'!$AC$62)=0,'Energy margins'!$Z$62,0)),0,IF(MOD(IF(AND(B104&gt;='Energy margins'!$AA$62,B104&lt;='Energy margins'!$AB$62),B104-'Energy margins'!$AA$62,""),'Energy margins'!$AC$62)=0,'Energy margins'!$Z$62,0))</f>
        <v>0</v>
      </c>
      <c r="U104" s="939">
        <f t="shared" si="48"/>
        <v>2207.6999999999998</v>
      </c>
      <c r="V104" s="197"/>
      <c r="W104" s="197">
        <f t="shared" si="53"/>
        <v>2207.6999999999998</v>
      </c>
      <c r="X104" s="197">
        <f t="shared" si="49"/>
        <v>2185.1500000000005</v>
      </c>
      <c r="Y104" s="197">
        <f t="shared" si="50"/>
        <v>2656.7900000000009</v>
      </c>
      <c r="Z104" s="968">
        <f t="shared" si="54"/>
        <v>2638.2318742767206</v>
      </c>
      <c r="AA104" s="969">
        <f t="shared" si="55"/>
        <v>283.25476198455954</v>
      </c>
      <c r="AB104" s="969">
        <f t="shared" si="56"/>
        <v>1325.8874099595284</v>
      </c>
      <c r="AC104" s="969">
        <f t="shared" si="57"/>
        <v>1312.344464317192</v>
      </c>
      <c r="AD104" s="969">
        <f t="shared" si="58"/>
        <v>1595.5992263017517</v>
      </c>
      <c r="AE104" s="968">
        <f t="shared" si="64"/>
        <v>41681.196225504944</v>
      </c>
      <c r="AF104" s="969">
        <f t="shared" si="59"/>
        <v>5181.270950386006</v>
      </c>
      <c r="AG104" s="969">
        <f t="shared" si="60"/>
        <v>34421.12983976915</v>
      </c>
      <c r="AH104" s="969">
        <f t="shared" si="61"/>
        <v>7260.0663857357922</v>
      </c>
      <c r="AI104" s="970">
        <f t="shared" si="62"/>
        <v>12441.3373361218</v>
      </c>
    </row>
    <row r="105" spans="2:35" x14ac:dyDescent="0.3">
      <c r="B105" s="895">
        <v>15</v>
      </c>
      <c r="C105" s="917">
        <f>'Energy Inputs'!G44</f>
        <v>1</v>
      </c>
      <c r="D105" s="913">
        <f>C105*'Energy Inputs'!$G$24</f>
        <v>16.3</v>
      </c>
      <c r="E105" s="197">
        <f>'Energy margins'!$Z$12</f>
        <v>269.5</v>
      </c>
      <c r="F105" s="197">
        <f t="shared" si="63"/>
        <v>4392.8500000000004</v>
      </c>
      <c r="G105" s="913">
        <f>'Energy Inputs'!$D$10</f>
        <v>471.64</v>
      </c>
      <c r="H105" s="197">
        <f t="shared" si="52"/>
        <v>4864.4900000000007</v>
      </c>
      <c r="I105" s="197"/>
      <c r="J105" s="942">
        <f>IF(ISERROR(IF(MOD(IF(AND(B105&gt;='Energy margins'!$AA$44,B105&lt;='Energy margins'!$AB$44),B105-'Energy margins'!$AA$44,""),'Energy margins'!$AC$44)=0,'Energy margins'!$Z$44,0)),0,IF(MOD(IF(AND(B105&gt;='Energy margins'!$AA$44,B105&lt;='Energy margins'!$AB$44),B105-'Energy margins'!$AA$44,""),'Energy margins'!$AC$44)=0,'Energy margins'!$Z$44,0))</f>
        <v>0</v>
      </c>
      <c r="K105" s="913">
        <f>IF(ISERROR(IF(MOD(IF(AND(B105&gt;='Energy margins'!$AA$45,B105&lt;='Energy margins'!$AB$45),B105-'Energy margins'!$AA$45,""),'Energy margins'!$AC$45)=0,'Energy margins'!$Z$45,0)),0,IF(MOD(IF(AND(B105&gt;='Energy margins'!$AA$45,B105&lt;='Energy margins'!$AB$45),B105-'Energy margins'!$AA$45,""),'Energy margins'!$AC$45)=0,'Energy margins'!$Z$45,0))</f>
        <v>0</v>
      </c>
      <c r="L105" s="913">
        <f>IF(ISERROR(IF(MOD(IF(AND(B105&gt;='Energy margins'!$AA$46,B105&lt;='Energy margins'!$AB$46),B105-'Energy margins'!$AA$46,""),'Energy margins'!$AC$46)=0,'Energy margins'!$Z$46,0)),0,IF(MOD(IF(AND(B105&gt;='Energy margins'!$AA$46,B105&lt;='Energy margins'!$AB$46),B105-'Energy margins'!$AA$46,""),'Energy margins'!$AC$46)=0,'Energy margins'!$Z$46,0))</f>
        <v>0</v>
      </c>
      <c r="M105" s="913">
        <f>IF(ISERROR(IF(MOD(IF(AND(B105&gt;='Energy margins'!$AA$47,B105&lt;='Energy margins'!$AB$47),B105-'Energy margins'!$AA$47,""),'Energy margins'!$AC$47)=0,'Energy margins'!$Z$47,0)),0,IF(MOD(IF(AND(B105&gt;='Energy margins'!$AA$47,B105&lt;='Energy margins'!$AB$47),B105-'Energy margins'!$AA$47,""),'Energy margins'!$AC$47)=0,'Energy margins'!$Z$47,0))</f>
        <v>327</v>
      </c>
      <c r="N105" s="913">
        <f>IF(ISERROR(IF(MOD(IF(AND(B105&gt;='Energy margins'!$AA$50,B105&lt;='Energy margins'!$AB$50),B105-'Energy margins'!$AA$50,""),'Energy margins'!$AC$50)=0,'Energy margins'!$Z$50,0)),0,IF(MOD(IF(AND(B105&gt;='Energy margins'!$AA$50,B105&lt;='Energy margins'!$AB$50),B105-'Energy margins'!$AA$50,""),'Energy margins'!$AC$50)=0,'Energy margins'!$Z$50,0))</f>
        <v>344</v>
      </c>
      <c r="O105" s="913">
        <f>IF(ISERROR(IF(MOD(IF(AND(B105&gt;='Energy margins'!$AA$53,B105&lt;='Energy margins'!$AB$53),B105-'Energy margins'!$AA$53,""),'Energy margins'!$AC$53)=0,'Energy margins'!$Z$53,0)),0,IF(MOD(IF(AND(B105&gt;='Energy margins'!$AA$53,B105&lt;='Energy margins'!$AB$53),B105-'Energy margins'!$AA$53,""),'Energy margins'!$AC$53)=0,'Energy margins'!$Z$53,0))</f>
        <v>357.59999999999997</v>
      </c>
      <c r="P105" s="913">
        <f>IF(ISERROR(IF(MOD(IF(AND(B105&gt;='Energy margins'!$AA$56,B105&lt;='Energy margins'!$AB$56),B105-'Energy margins'!$AA$56,""),'Energy margins'!$AC$56)=0,'Energy margins'!$Z$56,0)),0,IF(MOD(IF(AND(B105&gt;='Energy margins'!$AA$56,B105&lt;='Energy margins'!$AB$56),B105-'Energy margins'!$AA$56,""),'Energy margins'!$AC$56)=0,'Energy margins'!$Z$56,0))</f>
        <v>321.60000000000002</v>
      </c>
      <c r="Q105" s="913">
        <f>IF(ISERROR(IF(MOD(IF(AND(B105&gt;='Energy margins'!$AA$59,B105&lt;='Energy margins'!$AB$59),B105-'Energy margins'!$AA$59,""),'Energy margins'!$AC$59)=0,'Energy margins'!$Z$59,0)),0,IF(MOD(IF(AND(B105&gt;='Energy margins'!$AA$59,B105&lt;='Energy margins'!$AB$59),B105-'Energy margins'!$AA$59,""),'Energy margins'!$AC$59)=0,'Energy margins'!$Z$59,0))</f>
        <v>0</v>
      </c>
      <c r="R105" s="913">
        <f>IF(ISERROR(IF(MOD(IF(AND(B105&gt;='Energy margins'!$AA$60,B105&lt;='Energy margins'!$AB$60),B105-'Energy margins'!$AA$60,""),'Energy margins'!$AC$60)=0,'Energy margins'!$Z$60,0)),0,IF(MOD(IF(AND(B105&gt;='Energy margins'!$AA$60,B105&lt;='Energy margins'!$AB$60),B105-'Energy margins'!$AA$60,""),'Energy margins'!$AC$60)=0,'Energy margins'!$Z$60,0))</f>
        <v>0</v>
      </c>
      <c r="S105" s="913">
        <f>IF(ISERROR(IF(MOD(IF(AND(B105&gt;='Energy margins'!$AA$61,B105&lt;='Energy margins'!$AB$61),B105-'Energy margins'!$AA$61,""),'Energy margins'!$AC$61)=0,'Energy margins'!$Z$61,0)),0,IF(MOD(IF(AND(B105&gt;='Energy margins'!$AA$61,B105&lt;='Energy margins'!$AB$61),B105-'Energy margins'!$AA$61,""),'Energy margins'!$AC$61)=0,'Energy margins'!$Z$61,0))</f>
        <v>857.50000000000011</v>
      </c>
      <c r="T105" s="913">
        <f>IF(ISERROR(IF(MOD(IF(AND(B105&gt;='Energy margins'!$AA$62,B105&lt;='Energy margins'!$AB$62),B105-'Energy margins'!$AA$62,""),'Energy margins'!$AC$62)=0,'Energy margins'!$Z$62,0)),0,IF(MOD(IF(AND(B105&gt;='Energy margins'!$AA$62,B105&lt;='Energy margins'!$AB$62),B105-'Energy margins'!$AA$62,""),'Energy margins'!$AC$62)=0,'Energy margins'!$Z$62,0))</f>
        <v>0</v>
      </c>
      <c r="U105" s="939">
        <f t="shared" si="48"/>
        <v>2207.6999999999998</v>
      </c>
      <c r="V105" s="197"/>
      <c r="W105" s="197">
        <f t="shared" si="53"/>
        <v>2207.6999999999998</v>
      </c>
      <c r="X105" s="197">
        <f t="shared" si="49"/>
        <v>2185.1500000000005</v>
      </c>
      <c r="Y105" s="197">
        <f t="shared" si="50"/>
        <v>2656.7900000000009</v>
      </c>
      <c r="Z105" s="968">
        <f t="shared" si="54"/>
        <v>2536.7614175737699</v>
      </c>
      <c r="AA105" s="969">
        <f t="shared" si="55"/>
        <v>272.36034806207647</v>
      </c>
      <c r="AB105" s="969">
        <f t="shared" si="56"/>
        <v>1274.8917403457006</v>
      </c>
      <c r="AC105" s="969">
        <f t="shared" si="57"/>
        <v>1261.8696772280691</v>
      </c>
      <c r="AD105" s="969">
        <f t="shared" si="58"/>
        <v>1534.2300252901459</v>
      </c>
      <c r="AE105" s="968">
        <f t="shared" si="64"/>
        <v>44217.957643078713</v>
      </c>
      <c r="AF105" s="969">
        <f t="shared" si="59"/>
        <v>5453.6312984480828</v>
      </c>
      <c r="AG105" s="969">
        <f t="shared" si="60"/>
        <v>35696.021580114852</v>
      </c>
      <c r="AH105" s="969">
        <f t="shared" si="61"/>
        <v>8521.9360629638613</v>
      </c>
      <c r="AI105" s="970">
        <f t="shared" si="62"/>
        <v>13975.567361411946</v>
      </c>
    </row>
    <row r="106" spans="2:35" x14ac:dyDescent="0.3">
      <c r="B106" s="896">
        <v>16</v>
      </c>
      <c r="C106" s="914">
        <f>'Energy Inputs'!G45</f>
        <v>1</v>
      </c>
      <c r="D106" s="914">
        <f>C106*'Energy Inputs'!$G$24</f>
        <v>16.3</v>
      </c>
      <c r="E106" s="207">
        <f>'Energy margins'!$Z$12</f>
        <v>269.5</v>
      </c>
      <c r="F106" s="207">
        <f t="shared" si="63"/>
        <v>4392.8500000000004</v>
      </c>
      <c r="G106" s="914">
        <f>'Energy Inputs'!$D$10</f>
        <v>471.64</v>
      </c>
      <c r="H106" s="207">
        <f t="shared" si="52"/>
        <v>4864.4900000000007</v>
      </c>
      <c r="I106" s="207"/>
      <c r="J106" s="943">
        <f>IF(ISERROR(IF(MOD(IF(AND(B106&gt;='Energy margins'!$AA$44,B106&lt;='Energy margins'!$AB$44),B106-'Energy margins'!$AA$44,""),'Energy margins'!$AC$44)=0,'Energy margins'!$Z$44,0)),0,IF(MOD(IF(AND(B106&gt;='Energy margins'!$AA$44,B106&lt;='Energy margins'!$AB$44),B106-'Energy margins'!$AA$44,""),'Energy margins'!$AC$44)=0,'Energy margins'!$Z$44,0))</f>
        <v>0</v>
      </c>
      <c r="K106" s="914">
        <f>IF(ISERROR(IF(MOD(IF(AND(B106&gt;='Energy margins'!$AA$45,B106&lt;='Energy margins'!$AB$45),B106-'Energy margins'!$AA$45,""),'Energy margins'!$AC$45)=0,'Energy margins'!$Z$45,0)),0,IF(MOD(IF(AND(B106&gt;='Energy margins'!$AA$45,B106&lt;='Energy margins'!$AB$45),B106-'Energy margins'!$AA$45,""),'Energy margins'!$AC$45)=0,'Energy margins'!$Z$45,0))</f>
        <v>0</v>
      </c>
      <c r="L106" s="914">
        <f>IF(ISERROR(IF(MOD(IF(AND(B106&gt;='Energy margins'!$AA$46,B106&lt;='Energy margins'!$AB$46),B106-'Energy margins'!$AA$46,""),'Energy margins'!$AC$46)=0,'Energy margins'!$Z$46,0)),0,IF(MOD(IF(AND(B106&gt;='Energy margins'!$AA$46,B106&lt;='Energy margins'!$AB$46),B106-'Energy margins'!$AA$46,""),'Energy margins'!$AC$46)=0,'Energy margins'!$Z$46,0))</f>
        <v>0</v>
      </c>
      <c r="M106" s="914">
        <f>IF(ISERROR(IF(MOD(IF(AND(B106&gt;='Energy margins'!$AA$47,B106&lt;='Energy margins'!$AB$47),B106-'Energy margins'!$AA$47,""),'Energy margins'!$AC$47)=0,'Energy margins'!$Z$47,0)),0,IF(MOD(IF(AND(B106&gt;='Energy margins'!$AA$47,B106&lt;='Energy margins'!$AB$47),B106-'Energy margins'!$AA$47,""),'Energy margins'!$AC$47)=0,'Energy margins'!$Z$47,0))</f>
        <v>327</v>
      </c>
      <c r="N106" s="914">
        <f>IF(ISERROR(IF(MOD(IF(AND(B106&gt;='Energy margins'!$AA$50,B106&lt;='Energy margins'!$AB$50),B106-'Energy margins'!$AA$50,""),'Energy margins'!$AC$50)=0,'Energy margins'!$Z$50,0)),0,IF(MOD(IF(AND(B106&gt;='Energy margins'!$AA$50,B106&lt;='Energy margins'!$AB$50),B106-'Energy margins'!$AA$50,""),'Energy margins'!$AC$50)=0,'Energy margins'!$Z$50,0))</f>
        <v>344</v>
      </c>
      <c r="O106" s="914">
        <f>IF(ISERROR(IF(MOD(IF(AND(B106&gt;='Energy margins'!$AA$53,B106&lt;='Energy margins'!$AB$53),B106-'Energy margins'!$AA$53,""),'Energy margins'!$AC$53)=0,'Energy margins'!$Z$53,0)),0,IF(MOD(IF(AND(B106&gt;='Energy margins'!$AA$53,B106&lt;='Energy margins'!$AB$53),B106-'Energy margins'!$AA$53,""),'Energy margins'!$AC$53)=0,'Energy margins'!$Z$53,0))</f>
        <v>357.59999999999997</v>
      </c>
      <c r="P106" s="914">
        <f>IF(ISERROR(IF(MOD(IF(AND(B106&gt;='Energy margins'!$AA$56,B106&lt;='Energy margins'!$AB$56),B106-'Energy margins'!$AA$56,""),'Energy margins'!$AC$56)=0,'Energy margins'!$Z$56,0)),0,IF(MOD(IF(AND(B106&gt;='Energy margins'!$AA$56,B106&lt;='Energy margins'!$AB$56),B106-'Energy margins'!$AA$56,""),'Energy margins'!$AC$56)=0,'Energy margins'!$Z$56,0))</f>
        <v>321.60000000000002</v>
      </c>
      <c r="Q106" s="914">
        <f>IF(ISERROR(IF(MOD(IF(AND(B106&gt;='Energy margins'!$AA$59,B106&lt;='Energy margins'!$AB$59),B106-'Energy margins'!$AA$59,""),'Energy margins'!$AC$59)=0,'Energy margins'!$Z$59,0)),0,IF(MOD(IF(AND(B106&gt;='Energy margins'!$AA$59,B106&lt;='Energy margins'!$AB$59),B106-'Energy margins'!$AA$59,""),'Energy margins'!$AC$59)=0,'Energy margins'!$Z$59,0))</f>
        <v>0</v>
      </c>
      <c r="R106" s="914">
        <f>IF(ISERROR(IF(MOD(IF(AND(B106&gt;='Energy margins'!$AA$60,B106&lt;='Energy margins'!$AB$60),B106-'Energy margins'!$AA$60,""),'Energy margins'!$AC$60)=0,'Energy margins'!$Z$60,0)),0,IF(MOD(IF(AND(B106&gt;='Energy margins'!$AA$60,B106&lt;='Energy margins'!$AB$60),B106-'Energy margins'!$AA$60,""),'Energy margins'!$AC$60)=0,'Energy margins'!$Z$60,0))</f>
        <v>0</v>
      </c>
      <c r="S106" s="914">
        <f>IF(ISERROR(IF(MOD(IF(AND(B106&gt;='Energy margins'!$AA$61,B106&lt;='Energy margins'!$AB$61),B106-'Energy margins'!$AA$61,""),'Energy margins'!$AC$61)=0,'Energy margins'!$Z$61,0)),0,IF(MOD(IF(AND(B106&gt;='Energy margins'!$AA$61,B106&lt;='Energy margins'!$AB$61),B106-'Energy margins'!$AA$61,""),'Energy margins'!$AC$61)=0,'Energy margins'!$Z$61,0))</f>
        <v>857.50000000000011</v>
      </c>
      <c r="T106" s="914">
        <f>IF(ISERROR(IF(MOD(IF(AND(B106&gt;='Energy margins'!$AA$62,B106&lt;='Energy margins'!$AB$62),B106-'Energy margins'!$AA$62,""),'Energy margins'!$AC$62)=0,'Energy margins'!$Z$62,0)),0,IF(MOD(IF(AND(B106&gt;='Energy margins'!$AA$62,B106&lt;='Energy margins'!$AB$62),B106-'Energy margins'!$AA$62,""),'Energy margins'!$AC$62)=0,'Energy margins'!$Z$62,0))</f>
        <v>0</v>
      </c>
      <c r="U106" s="941">
        <f t="shared" si="48"/>
        <v>2207.6999999999998</v>
      </c>
      <c r="V106" s="207">
        <f>'Energy margins'!AE67</f>
        <v>500</v>
      </c>
      <c r="W106" s="207">
        <f t="shared" si="53"/>
        <v>2707.7</v>
      </c>
      <c r="X106" s="207">
        <f t="shared" si="49"/>
        <v>1685.1500000000005</v>
      </c>
      <c r="Y106" s="207">
        <f t="shared" si="50"/>
        <v>2156.7900000000009</v>
      </c>
      <c r="Z106" s="971">
        <f t="shared" si="54"/>
        <v>2439.1936707440095</v>
      </c>
      <c r="AA106" s="972">
        <f t="shared" si="55"/>
        <v>261.88495005968895</v>
      </c>
      <c r="AB106" s="972">
        <f t="shared" si="56"/>
        <v>1503.4896939967341</v>
      </c>
      <c r="AC106" s="972">
        <f t="shared" si="57"/>
        <v>935.70397674727531</v>
      </c>
      <c r="AD106" s="973">
        <f t="shared" si="58"/>
        <v>1197.5889268069645</v>
      </c>
      <c r="AE106" s="971">
        <f t="shared" si="64"/>
        <v>46657.151313822724</v>
      </c>
      <c r="AF106" s="972">
        <f t="shared" si="59"/>
        <v>5715.5162485077717</v>
      </c>
      <c r="AG106" s="972">
        <f t="shared" si="60"/>
        <v>37199.511274111588</v>
      </c>
      <c r="AH106" s="972">
        <f t="shared" si="61"/>
        <v>9457.6400397111374</v>
      </c>
      <c r="AI106" s="973">
        <f t="shared" si="62"/>
        <v>15173.15628821891</v>
      </c>
    </row>
  </sheetData>
  <mergeCells count="16">
    <mergeCell ref="F10:H10"/>
    <mergeCell ref="V10:W10"/>
    <mergeCell ref="Z10:AD10"/>
    <mergeCell ref="AE10:AI10"/>
    <mergeCell ref="F36:H36"/>
    <mergeCell ref="V36:W36"/>
    <mergeCell ref="Z36:AD36"/>
    <mergeCell ref="AE36:AI36"/>
    <mergeCell ref="F88:H88"/>
    <mergeCell ref="V88:W88"/>
    <mergeCell ref="Z88:AD88"/>
    <mergeCell ref="AE88:AI88"/>
    <mergeCell ref="F62:H62"/>
    <mergeCell ref="V62:W62"/>
    <mergeCell ref="Z62:AD62"/>
    <mergeCell ref="AE62:AI62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Y168"/>
  <sheetViews>
    <sheetView topLeftCell="A145" workbookViewId="0">
      <selection activeCell="V38" sqref="V38:W53"/>
    </sheetView>
  </sheetViews>
  <sheetFormatPr defaultColWidth="9" defaultRowHeight="14" x14ac:dyDescent="0.3"/>
  <sheetData>
    <row r="2" spans="1:119" x14ac:dyDescent="0.3">
      <c r="B2" s="1090" t="s">
        <v>343</v>
      </c>
      <c r="C2" s="1091"/>
      <c r="D2" s="1092"/>
    </row>
    <row r="4" spans="1:119" x14ac:dyDescent="0.3">
      <c r="A4" t="s">
        <v>411</v>
      </c>
      <c r="B4" s="754">
        <f>'Energy NPV'!C6</f>
        <v>0.04</v>
      </c>
    </row>
    <row r="8" spans="1:119" x14ac:dyDescent="0.3">
      <c r="B8" s="227" t="s">
        <v>94</v>
      </c>
      <c r="C8" s="760" t="s">
        <v>386</v>
      </c>
      <c r="D8" s="269" t="s">
        <v>397</v>
      </c>
      <c r="E8" s="901">
        <v>1</v>
      </c>
      <c r="F8" s="193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Z8" s="227" t="s">
        <v>94</v>
      </c>
      <c r="AA8" s="211" t="s">
        <v>308</v>
      </c>
      <c r="AB8" s="900">
        <v>1.5</v>
      </c>
      <c r="AC8" s="194"/>
      <c r="AD8" s="193"/>
      <c r="AE8" s="102"/>
      <c r="AF8" s="102"/>
      <c r="AG8" s="102"/>
      <c r="AH8" s="102"/>
      <c r="AI8" s="102"/>
      <c r="AJ8" s="102"/>
      <c r="AK8" s="102"/>
      <c r="AL8" s="102"/>
      <c r="AM8" s="102"/>
      <c r="AN8" s="102"/>
      <c r="AO8" s="102"/>
      <c r="AP8" s="102"/>
      <c r="AQ8" s="102"/>
      <c r="AR8" s="102"/>
      <c r="AS8" s="102"/>
      <c r="AT8" s="102"/>
      <c r="AU8" s="102"/>
      <c r="AX8" s="227" t="s">
        <v>94</v>
      </c>
      <c r="AY8" s="211" t="s">
        <v>319</v>
      </c>
      <c r="AZ8" s="900">
        <v>0.5</v>
      </c>
      <c r="BA8" s="194"/>
      <c r="BB8" s="193"/>
      <c r="BC8" s="102"/>
      <c r="BD8" s="102"/>
      <c r="BE8" s="102"/>
      <c r="BF8" s="102"/>
      <c r="BG8" s="102"/>
      <c r="BH8" s="102"/>
      <c r="BI8" s="102"/>
      <c r="BJ8" s="102"/>
      <c r="BK8" s="102"/>
      <c r="BL8" s="102"/>
      <c r="BM8" s="102"/>
      <c r="BN8" s="102"/>
      <c r="BO8" s="102"/>
      <c r="BP8" s="102"/>
      <c r="BQ8" s="102"/>
      <c r="BR8" s="102"/>
      <c r="BS8" s="102"/>
      <c r="BV8" s="227" t="s">
        <v>94</v>
      </c>
      <c r="BW8" s="211" t="s">
        <v>320</v>
      </c>
      <c r="BX8" s="900">
        <v>2</v>
      </c>
      <c r="BY8" s="194"/>
      <c r="BZ8" s="193"/>
      <c r="CA8" s="102"/>
      <c r="CB8" s="102"/>
      <c r="CC8" s="102"/>
      <c r="CD8" s="102"/>
      <c r="CE8" s="102"/>
      <c r="CF8" s="102"/>
      <c r="CG8" s="102"/>
      <c r="CH8" s="102"/>
      <c r="CI8" s="102"/>
      <c r="CJ8" s="102"/>
      <c r="CK8" s="102"/>
      <c r="CL8" s="102"/>
      <c r="CM8" s="102"/>
      <c r="CN8" s="102"/>
      <c r="CO8" s="102"/>
      <c r="CP8" s="102"/>
      <c r="CQ8" s="102"/>
      <c r="CT8" s="227" t="s">
        <v>94</v>
      </c>
      <c r="CU8" s="211" t="s">
        <v>321</v>
      </c>
      <c r="CV8" s="900">
        <v>0</v>
      </c>
      <c r="CW8" s="194"/>
      <c r="CX8" s="193"/>
      <c r="CY8" s="102"/>
      <c r="CZ8" s="102"/>
      <c r="DA8" s="102"/>
      <c r="DB8" s="102"/>
      <c r="DC8" s="102"/>
      <c r="DD8" s="102"/>
      <c r="DE8" s="102"/>
      <c r="DF8" s="102"/>
      <c r="DG8" s="102"/>
      <c r="DH8" s="102"/>
      <c r="DI8" s="102"/>
      <c r="DJ8" s="102"/>
      <c r="DK8" s="102"/>
      <c r="DL8" s="102"/>
      <c r="DM8" s="102"/>
      <c r="DN8" s="102"/>
      <c r="DO8" s="102"/>
    </row>
    <row r="9" spans="1:119" x14ac:dyDescent="0.3">
      <c r="B9" s="203"/>
      <c r="C9" s="148"/>
      <c r="D9" s="148"/>
      <c r="E9" s="1082"/>
      <c r="F9" s="1082"/>
      <c r="G9" s="1082"/>
      <c r="H9" s="148"/>
      <c r="I9" s="926"/>
      <c r="J9" s="1082"/>
      <c r="K9" s="1082"/>
      <c r="L9" s="148"/>
      <c r="M9" s="148"/>
      <c r="N9" s="1083" t="s">
        <v>273</v>
      </c>
      <c r="O9" s="1084"/>
      <c r="P9" s="1084"/>
      <c r="Q9" s="1084"/>
      <c r="R9" s="1085"/>
      <c r="S9" s="1083" t="s">
        <v>274</v>
      </c>
      <c r="T9" s="1084"/>
      <c r="U9" s="1084"/>
      <c r="V9" s="1084"/>
      <c r="W9" s="1085"/>
      <c r="Z9" s="203"/>
      <c r="AA9" s="148"/>
      <c r="AB9" s="148"/>
      <c r="AC9" s="985"/>
      <c r="AD9" s="985"/>
      <c r="AE9" s="985"/>
      <c r="AF9" s="148"/>
      <c r="AG9" s="926"/>
      <c r="AH9" s="985"/>
      <c r="AI9" s="985"/>
      <c r="AJ9" s="148"/>
      <c r="AK9" s="148"/>
      <c r="AL9" s="986" t="s">
        <v>307</v>
      </c>
      <c r="AM9" s="987"/>
      <c r="AN9" s="987"/>
      <c r="AO9" s="987"/>
      <c r="AP9" s="988"/>
      <c r="AQ9" s="986" t="s">
        <v>274</v>
      </c>
      <c r="AR9" s="987"/>
      <c r="AS9" s="987"/>
      <c r="AT9" s="987"/>
      <c r="AU9" s="988"/>
      <c r="AX9" s="203"/>
      <c r="AY9" s="148"/>
      <c r="AZ9" s="148"/>
      <c r="BA9" s="985"/>
      <c r="BB9" s="985"/>
      <c r="BC9" s="985"/>
      <c r="BD9" s="148"/>
      <c r="BE9" s="926"/>
      <c r="BF9" s="985"/>
      <c r="BG9" s="985"/>
      <c r="BH9" s="148"/>
      <c r="BI9" s="148"/>
      <c r="BJ9" s="986" t="s">
        <v>273</v>
      </c>
      <c r="BK9" s="987"/>
      <c r="BL9" s="987"/>
      <c r="BM9" s="987"/>
      <c r="BN9" s="988"/>
      <c r="BO9" s="986" t="s">
        <v>274</v>
      </c>
      <c r="BP9" s="987"/>
      <c r="BQ9" s="987"/>
      <c r="BR9" s="987"/>
      <c r="BS9" s="988"/>
      <c r="BV9" s="203"/>
      <c r="BW9" s="148"/>
      <c r="BX9" s="148"/>
      <c r="BY9" s="985"/>
      <c r="BZ9" s="985"/>
      <c r="CA9" s="985"/>
      <c r="CB9" s="148"/>
      <c r="CC9" s="926"/>
      <c r="CD9" s="985"/>
      <c r="CE9" s="985"/>
      <c r="CF9" s="148"/>
      <c r="CG9" s="148"/>
      <c r="CH9" s="986" t="s">
        <v>273</v>
      </c>
      <c r="CI9" s="987"/>
      <c r="CJ9" s="987"/>
      <c r="CK9" s="987"/>
      <c r="CL9" s="988"/>
      <c r="CM9" s="986" t="s">
        <v>274</v>
      </c>
      <c r="CN9" s="987"/>
      <c r="CO9" s="987"/>
      <c r="CP9" s="987"/>
      <c r="CQ9" s="988"/>
      <c r="CT9" s="203"/>
      <c r="CU9" s="148"/>
      <c r="CV9" s="148"/>
      <c r="CW9" s="232"/>
      <c r="CX9" s="985"/>
      <c r="CY9" s="985"/>
      <c r="CZ9" s="148"/>
      <c r="DA9" s="926"/>
      <c r="DB9" s="985"/>
      <c r="DC9" s="985"/>
      <c r="DD9" s="148"/>
      <c r="DE9" s="148"/>
      <c r="DF9" s="986" t="s">
        <v>273</v>
      </c>
      <c r="DG9" s="987"/>
      <c r="DH9" s="987"/>
      <c r="DI9" s="987"/>
      <c r="DJ9" s="988"/>
      <c r="DK9" s="986" t="s">
        <v>274</v>
      </c>
      <c r="DL9" s="987"/>
      <c r="DM9" s="987"/>
      <c r="DN9" s="987"/>
      <c r="DO9" s="988"/>
    </row>
    <row r="10" spans="1:119" ht="51" x14ac:dyDescent="0.3">
      <c r="B10" s="204" t="s">
        <v>275</v>
      </c>
      <c r="C10" s="205" t="s">
        <v>293</v>
      </c>
      <c r="D10" s="205" t="s">
        <v>294</v>
      </c>
      <c r="E10" s="171" t="s">
        <v>622</v>
      </c>
      <c r="F10" s="171" t="s">
        <v>591</v>
      </c>
      <c r="G10" s="171" t="s">
        <v>623</v>
      </c>
      <c r="H10" s="205" t="s">
        <v>291</v>
      </c>
      <c r="I10" s="930" t="str">
        <f>'Energy NPV'!U63</f>
        <v>Total Recurring Costs</v>
      </c>
      <c r="J10" s="205" t="s">
        <v>295</v>
      </c>
      <c r="K10" s="171" t="s">
        <v>279</v>
      </c>
      <c r="L10" s="171" t="s">
        <v>624</v>
      </c>
      <c r="M10" s="171" t="s">
        <v>625</v>
      </c>
      <c r="N10" s="195" t="s">
        <v>280</v>
      </c>
      <c r="O10" s="171" t="s">
        <v>626</v>
      </c>
      <c r="P10" s="171" t="s">
        <v>281</v>
      </c>
      <c r="Q10" s="171" t="s">
        <v>627</v>
      </c>
      <c r="R10" s="198" t="s">
        <v>282</v>
      </c>
      <c r="S10" s="195" t="s">
        <v>283</v>
      </c>
      <c r="T10" s="171" t="s">
        <v>628</v>
      </c>
      <c r="U10" s="171" t="s">
        <v>284</v>
      </c>
      <c r="V10" s="171" t="s">
        <v>629</v>
      </c>
      <c r="W10" s="198" t="s">
        <v>285</v>
      </c>
      <c r="Z10" s="204" t="s">
        <v>275</v>
      </c>
      <c r="AA10" s="205" t="s">
        <v>293</v>
      </c>
      <c r="AB10" s="205" t="s">
        <v>294</v>
      </c>
      <c r="AC10" s="171" t="s">
        <v>622</v>
      </c>
      <c r="AD10" s="171" t="s">
        <v>591</v>
      </c>
      <c r="AE10" s="171" t="s">
        <v>623</v>
      </c>
      <c r="AF10" s="205" t="s">
        <v>291</v>
      </c>
      <c r="AG10" s="930" t="str">
        <f>'Energy NPV'!U63</f>
        <v>Total Recurring Costs</v>
      </c>
      <c r="AH10" s="205" t="s">
        <v>295</v>
      </c>
      <c r="AI10" s="171" t="s">
        <v>279</v>
      </c>
      <c r="AJ10" s="171" t="s">
        <v>624</v>
      </c>
      <c r="AK10" s="171" t="s">
        <v>625</v>
      </c>
      <c r="AL10" s="195" t="s">
        <v>280</v>
      </c>
      <c r="AM10" s="171" t="s">
        <v>626</v>
      </c>
      <c r="AN10" s="171" t="s">
        <v>281</v>
      </c>
      <c r="AO10" s="171" t="s">
        <v>627</v>
      </c>
      <c r="AP10" s="198" t="s">
        <v>282</v>
      </c>
      <c r="AQ10" s="195" t="s">
        <v>283</v>
      </c>
      <c r="AR10" s="171" t="s">
        <v>628</v>
      </c>
      <c r="AS10" s="171" t="s">
        <v>284</v>
      </c>
      <c r="AT10" s="171" t="s">
        <v>629</v>
      </c>
      <c r="AU10" s="198" t="s">
        <v>285</v>
      </c>
      <c r="AX10" s="204" t="s">
        <v>275</v>
      </c>
      <c r="AY10" s="205" t="s">
        <v>293</v>
      </c>
      <c r="AZ10" s="205" t="s">
        <v>294</v>
      </c>
      <c r="BA10" s="171" t="s">
        <v>622</v>
      </c>
      <c r="BB10" s="171" t="s">
        <v>591</v>
      </c>
      <c r="BC10" s="171" t="s">
        <v>623</v>
      </c>
      <c r="BD10" s="205" t="s">
        <v>291</v>
      </c>
      <c r="BE10" s="930" t="str">
        <f>'Energy NPV'!U63</f>
        <v>Total Recurring Costs</v>
      </c>
      <c r="BF10" s="205" t="s">
        <v>295</v>
      </c>
      <c r="BG10" s="171" t="s">
        <v>279</v>
      </c>
      <c r="BH10" s="171" t="s">
        <v>624</v>
      </c>
      <c r="BI10" s="171" t="s">
        <v>625</v>
      </c>
      <c r="BJ10" s="195" t="s">
        <v>280</v>
      </c>
      <c r="BK10" s="171" t="s">
        <v>626</v>
      </c>
      <c r="BL10" s="171" t="s">
        <v>281</v>
      </c>
      <c r="BM10" s="171" t="s">
        <v>627</v>
      </c>
      <c r="BN10" s="198" t="s">
        <v>282</v>
      </c>
      <c r="BO10" s="195" t="s">
        <v>283</v>
      </c>
      <c r="BP10" s="171" t="s">
        <v>628</v>
      </c>
      <c r="BQ10" s="171" t="s">
        <v>284</v>
      </c>
      <c r="BR10" s="171" t="s">
        <v>629</v>
      </c>
      <c r="BS10" s="198" t="s">
        <v>285</v>
      </c>
      <c r="BV10" s="204" t="s">
        <v>275</v>
      </c>
      <c r="BW10" s="205" t="s">
        <v>293</v>
      </c>
      <c r="BX10" s="205" t="s">
        <v>294</v>
      </c>
      <c r="BY10" s="171" t="s">
        <v>622</v>
      </c>
      <c r="BZ10" s="171" t="s">
        <v>591</v>
      </c>
      <c r="CA10" s="171" t="s">
        <v>623</v>
      </c>
      <c r="CB10" s="205" t="s">
        <v>291</v>
      </c>
      <c r="CC10" s="930" t="str">
        <f>'Energy NPV'!U63</f>
        <v>Total Recurring Costs</v>
      </c>
      <c r="CD10" s="205" t="s">
        <v>295</v>
      </c>
      <c r="CE10" s="171" t="s">
        <v>279</v>
      </c>
      <c r="CF10" s="171" t="s">
        <v>624</v>
      </c>
      <c r="CG10" s="171" t="s">
        <v>625</v>
      </c>
      <c r="CH10" s="195" t="s">
        <v>280</v>
      </c>
      <c r="CI10" s="171" t="s">
        <v>626</v>
      </c>
      <c r="CJ10" s="171" t="s">
        <v>281</v>
      </c>
      <c r="CK10" s="171" t="s">
        <v>627</v>
      </c>
      <c r="CL10" s="198" t="s">
        <v>282</v>
      </c>
      <c r="CM10" s="195" t="s">
        <v>283</v>
      </c>
      <c r="CN10" s="171" t="s">
        <v>628</v>
      </c>
      <c r="CO10" s="171" t="s">
        <v>284</v>
      </c>
      <c r="CP10" s="171" t="s">
        <v>629</v>
      </c>
      <c r="CQ10" s="198" t="s">
        <v>285</v>
      </c>
      <c r="CT10" s="204" t="s">
        <v>275</v>
      </c>
      <c r="CU10" s="205" t="s">
        <v>293</v>
      </c>
      <c r="CV10" s="205" t="s">
        <v>294</v>
      </c>
      <c r="CW10" s="171" t="s">
        <v>622</v>
      </c>
      <c r="CX10" s="171" t="s">
        <v>591</v>
      </c>
      <c r="CY10" s="171" t="s">
        <v>623</v>
      </c>
      <c r="CZ10" s="205" t="s">
        <v>291</v>
      </c>
      <c r="DA10" s="930" t="str">
        <f>'Energy NPV'!U63</f>
        <v>Total Recurring Costs</v>
      </c>
      <c r="DB10" s="205" t="s">
        <v>295</v>
      </c>
      <c r="DC10" s="171" t="s">
        <v>279</v>
      </c>
      <c r="DD10" s="171" t="s">
        <v>624</v>
      </c>
      <c r="DE10" s="171" t="s">
        <v>625</v>
      </c>
      <c r="DF10" s="195" t="s">
        <v>280</v>
      </c>
      <c r="DG10" s="171" t="s">
        <v>626</v>
      </c>
      <c r="DH10" s="171" t="s">
        <v>281</v>
      </c>
      <c r="DI10" s="171" t="s">
        <v>627</v>
      </c>
      <c r="DJ10" s="198" t="s">
        <v>282</v>
      </c>
      <c r="DK10" s="195" t="s">
        <v>283</v>
      </c>
      <c r="DL10" s="171" t="s">
        <v>628</v>
      </c>
      <c r="DM10" s="171" t="s">
        <v>284</v>
      </c>
      <c r="DN10" s="171" t="s">
        <v>629</v>
      </c>
      <c r="DO10" s="198" t="s">
        <v>285</v>
      </c>
    </row>
    <row r="11" spans="1:119" x14ac:dyDescent="0.3">
      <c r="B11" s="173"/>
      <c r="C11" s="226" t="s">
        <v>336</v>
      </c>
      <c r="D11" s="226" t="s">
        <v>573</v>
      </c>
      <c r="E11" s="201" t="s">
        <v>571</v>
      </c>
      <c r="F11" s="201" t="s">
        <v>571</v>
      </c>
      <c r="G11" s="201" t="s">
        <v>571</v>
      </c>
      <c r="H11" s="201" t="s">
        <v>571</v>
      </c>
      <c r="I11" s="964" t="str">
        <f>'Energy NPV'!U64</f>
        <v>(PLN ha-1)</v>
      </c>
      <c r="J11" s="201" t="s">
        <v>571</v>
      </c>
      <c r="K11" s="201" t="s">
        <v>571</v>
      </c>
      <c r="L11" s="201" t="s">
        <v>571</v>
      </c>
      <c r="M11" s="202" t="s">
        <v>571</v>
      </c>
      <c r="N11" s="201" t="s">
        <v>571</v>
      </c>
      <c r="O11" s="201" t="s">
        <v>571</v>
      </c>
      <c r="P11" s="201" t="s">
        <v>571</v>
      </c>
      <c r="Q11" s="201" t="s">
        <v>571</v>
      </c>
      <c r="R11" s="202" t="s">
        <v>571</v>
      </c>
      <c r="S11" s="201" t="s">
        <v>571</v>
      </c>
      <c r="T11" s="201" t="s">
        <v>571</v>
      </c>
      <c r="U11" s="201" t="s">
        <v>571</v>
      </c>
      <c r="V11" s="201" t="s">
        <v>571</v>
      </c>
      <c r="W11" s="202" t="s">
        <v>571</v>
      </c>
      <c r="Z11" s="173"/>
      <c r="AA11" s="226" t="s">
        <v>336</v>
      </c>
      <c r="AB11" s="226" t="s">
        <v>573</v>
      </c>
      <c r="AC11" s="201" t="s">
        <v>571</v>
      </c>
      <c r="AD11" s="201" t="s">
        <v>571</v>
      </c>
      <c r="AE11" s="201" t="s">
        <v>571</v>
      </c>
      <c r="AF11" s="201" t="s">
        <v>571</v>
      </c>
      <c r="AG11" s="964" t="str">
        <f>'Energy NPV'!U64</f>
        <v>(PLN ha-1)</v>
      </c>
      <c r="AH11" s="201" t="s">
        <v>571</v>
      </c>
      <c r="AI11" s="201" t="s">
        <v>571</v>
      </c>
      <c r="AJ11" s="201" t="s">
        <v>571</v>
      </c>
      <c r="AK11" s="202" t="s">
        <v>571</v>
      </c>
      <c r="AL11" s="201" t="s">
        <v>571</v>
      </c>
      <c r="AM11" s="201" t="s">
        <v>571</v>
      </c>
      <c r="AN11" s="201" t="s">
        <v>571</v>
      </c>
      <c r="AO11" s="201" t="s">
        <v>571</v>
      </c>
      <c r="AP11" s="202" t="s">
        <v>571</v>
      </c>
      <c r="AQ11" s="201" t="s">
        <v>571</v>
      </c>
      <c r="AR11" s="201" t="s">
        <v>571</v>
      </c>
      <c r="AS11" s="201" t="s">
        <v>571</v>
      </c>
      <c r="AT11" s="201" t="s">
        <v>571</v>
      </c>
      <c r="AU11" s="202" t="s">
        <v>571</v>
      </c>
      <c r="AX11" s="173"/>
      <c r="AY11" s="226" t="s">
        <v>336</v>
      </c>
      <c r="AZ11" s="226" t="s">
        <v>573</v>
      </c>
      <c r="BA11" s="201" t="s">
        <v>571</v>
      </c>
      <c r="BB11" s="201" t="s">
        <v>571</v>
      </c>
      <c r="BC11" s="201" t="s">
        <v>571</v>
      </c>
      <c r="BD11" s="201" t="s">
        <v>571</v>
      </c>
      <c r="BE11" s="964" t="str">
        <f>'Energy NPV'!U64</f>
        <v>(PLN ha-1)</v>
      </c>
      <c r="BF11" s="201" t="s">
        <v>571</v>
      </c>
      <c r="BG11" s="201" t="s">
        <v>571</v>
      </c>
      <c r="BH11" s="201" t="s">
        <v>571</v>
      </c>
      <c r="BI11" s="202" t="s">
        <v>571</v>
      </c>
      <c r="BJ11" s="201" t="s">
        <v>571</v>
      </c>
      <c r="BK11" s="201" t="s">
        <v>571</v>
      </c>
      <c r="BL11" s="201" t="s">
        <v>571</v>
      </c>
      <c r="BM11" s="201" t="s">
        <v>571</v>
      </c>
      <c r="BN11" s="202" t="s">
        <v>571</v>
      </c>
      <c r="BO11" s="201" t="s">
        <v>571</v>
      </c>
      <c r="BP11" s="201" t="s">
        <v>571</v>
      </c>
      <c r="BQ11" s="201" t="s">
        <v>571</v>
      </c>
      <c r="BR11" s="201" t="s">
        <v>571</v>
      </c>
      <c r="BS11" s="202" t="s">
        <v>571</v>
      </c>
      <c r="BV11" s="173"/>
      <c r="BW11" s="226" t="s">
        <v>336</v>
      </c>
      <c r="BX11" s="226" t="s">
        <v>573</v>
      </c>
      <c r="BY11" s="201" t="s">
        <v>571</v>
      </c>
      <c r="BZ11" s="201" t="s">
        <v>571</v>
      </c>
      <c r="CA11" s="201" t="s">
        <v>571</v>
      </c>
      <c r="CB11" s="201" t="s">
        <v>571</v>
      </c>
      <c r="CC11" s="964" t="str">
        <f>'Energy NPV'!U64</f>
        <v>(PLN ha-1)</v>
      </c>
      <c r="CD11" s="201" t="s">
        <v>571</v>
      </c>
      <c r="CE11" s="201" t="s">
        <v>571</v>
      </c>
      <c r="CF11" s="201" t="s">
        <v>571</v>
      </c>
      <c r="CG11" s="202" t="s">
        <v>571</v>
      </c>
      <c r="CH11" s="201" t="s">
        <v>571</v>
      </c>
      <c r="CI11" s="201" t="s">
        <v>571</v>
      </c>
      <c r="CJ11" s="201" t="s">
        <v>571</v>
      </c>
      <c r="CK11" s="201" t="s">
        <v>571</v>
      </c>
      <c r="CL11" s="202" t="s">
        <v>571</v>
      </c>
      <c r="CM11" s="201" t="s">
        <v>571</v>
      </c>
      <c r="CN11" s="201" t="s">
        <v>571</v>
      </c>
      <c r="CO11" s="201" t="s">
        <v>571</v>
      </c>
      <c r="CP11" s="201" t="s">
        <v>571</v>
      </c>
      <c r="CQ11" s="202" t="s">
        <v>571</v>
      </c>
      <c r="CT11" s="173"/>
      <c r="CU11" s="226" t="s">
        <v>336</v>
      </c>
      <c r="CV11" s="226" t="s">
        <v>573</v>
      </c>
      <c r="CW11" s="201" t="s">
        <v>571</v>
      </c>
      <c r="CX11" s="201" t="s">
        <v>571</v>
      </c>
      <c r="CY11" s="201" t="s">
        <v>571</v>
      </c>
      <c r="CZ11" s="201" t="s">
        <v>571</v>
      </c>
      <c r="DA11" s="964" t="str">
        <f>'Energy NPV'!U64</f>
        <v>(PLN ha-1)</v>
      </c>
      <c r="DB11" s="201" t="s">
        <v>571</v>
      </c>
      <c r="DC11" s="201" t="s">
        <v>571</v>
      </c>
      <c r="DD11" s="201" t="s">
        <v>571</v>
      </c>
      <c r="DE11" s="202" t="s">
        <v>571</v>
      </c>
      <c r="DF11" s="201" t="s">
        <v>571</v>
      </c>
      <c r="DG11" s="201" t="s">
        <v>571</v>
      </c>
      <c r="DH11" s="201" t="s">
        <v>571</v>
      </c>
      <c r="DI11" s="201" t="s">
        <v>571</v>
      </c>
      <c r="DJ11" s="202" t="s">
        <v>571</v>
      </c>
      <c r="DK11" s="201" t="s">
        <v>571</v>
      </c>
      <c r="DL11" s="201" t="s">
        <v>571</v>
      </c>
      <c r="DM11" s="201" t="s">
        <v>571</v>
      </c>
      <c r="DN11" s="201" t="s">
        <v>571</v>
      </c>
      <c r="DO11" s="202" t="s">
        <v>571</v>
      </c>
    </row>
    <row r="12" spans="1:119" x14ac:dyDescent="0.3">
      <c r="B12" s="204">
        <v>1</v>
      </c>
      <c r="C12" s="197">
        <f>'Energy NPV'!$D65</f>
        <v>2.0466666666666664</v>
      </c>
      <c r="D12" s="197">
        <f>'Energy Inputs'!$F$58*$E$8</f>
        <v>269.5</v>
      </c>
      <c r="E12" s="197">
        <f>C12*D12</f>
        <v>551.5766666666666</v>
      </c>
      <c r="F12" s="197">
        <f>'Margins summary'!$U$14</f>
        <v>471.64</v>
      </c>
      <c r="G12" s="197">
        <f>E12+F12</f>
        <v>1023.2166666666666</v>
      </c>
      <c r="H12" s="197">
        <f>'Margins summary'!$T$20</f>
        <v>27899.875000000004</v>
      </c>
      <c r="I12" s="913">
        <f>'Energy NPV'!U65</f>
        <v>490.00000000000006</v>
      </c>
      <c r="J12" s="197"/>
      <c r="K12" s="197">
        <f>H12+I12+J12</f>
        <v>28389.875000000004</v>
      </c>
      <c r="L12" s="197">
        <f t="shared" ref="L12:L27" si="0">E12-K12</f>
        <v>-27838.298333333336</v>
      </c>
      <c r="M12" s="197">
        <f t="shared" ref="M12:M27" si="1">G12-K12</f>
        <v>-27366.658333333336</v>
      </c>
      <c r="N12" s="1014">
        <f>E12/((1+$B$4)^(B12-1))</f>
        <v>551.5766666666666</v>
      </c>
      <c r="O12" s="213">
        <f>F12/((1+$B$4)^(B12-1))</f>
        <v>471.64</v>
      </c>
      <c r="P12" s="213">
        <f>K12/((1+$B$4)^(B12-1))</f>
        <v>28389.875000000004</v>
      </c>
      <c r="Q12" s="213">
        <f>L12/((1+$B$4)^(B12-1))</f>
        <v>-27838.298333333336</v>
      </c>
      <c r="R12" s="924">
        <f>M12/((1+$B$4)^(B12-1))</f>
        <v>-27366.658333333336</v>
      </c>
      <c r="S12" s="196">
        <f>N12</f>
        <v>551.5766666666666</v>
      </c>
      <c r="T12" s="197">
        <f>O12</f>
        <v>471.64</v>
      </c>
      <c r="U12" s="197">
        <f>P12</f>
        <v>28389.875000000004</v>
      </c>
      <c r="V12" s="197">
        <f>Q12</f>
        <v>-27838.298333333336</v>
      </c>
      <c r="W12" s="199">
        <f>R12</f>
        <v>-27366.658333333336</v>
      </c>
      <c r="Z12" s="894">
        <v>1</v>
      </c>
      <c r="AA12" s="197">
        <f>$C12</f>
        <v>2.0466666666666664</v>
      </c>
      <c r="AB12" s="197">
        <f>'Energy Inputs'!$F$58*$AB$8</f>
        <v>404.25</v>
      </c>
      <c r="AC12" s="197">
        <f>AA12*AB12</f>
        <v>827.3649999999999</v>
      </c>
      <c r="AD12" s="197">
        <f>'Margins summary'!$U$14</f>
        <v>471.64</v>
      </c>
      <c r="AE12" s="197">
        <f>AC12+AD12</f>
        <v>1299.0049999999999</v>
      </c>
      <c r="AF12" s="197">
        <f>'Margins summary'!$T$20</f>
        <v>27899.875000000004</v>
      </c>
      <c r="AG12" s="913">
        <f>'Energy NPV'!U65</f>
        <v>490.00000000000006</v>
      </c>
      <c r="AH12" s="197"/>
      <c r="AI12" s="197">
        <f>AF12+AG12+AH12</f>
        <v>28389.875000000004</v>
      </c>
      <c r="AJ12" s="197">
        <f t="shared" ref="AJ12:AJ27" si="2">AC12-AI12</f>
        <v>-27562.510000000002</v>
      </c>
      <c r="AK12" s="197">
        <f t="shared" ref="AK12:AK27" si="3">AE12-AI12</f>
        <v>-27090.870000000003</v>
      </c>
      <c r="AL12" s="1014">
        <f>AC12/((1+$B$4)^(Z12-1))</f>
        <v>827.3649999999999</v>
      </c>
      <c r="AM12" s="213">
        <f>AD12/((1+$B$4)^(Z12-1))</f>
        <v>471.64</v>
      </c>
      <c r="AN12" s="213">
        <f>AI12/((1+$B$4)^(Z12-1))</f>
        <v>28389.875000000004</v>
      </c>
      <c r="AO12" s="213">
        <f>AJ12/((1+$B$4)^(Z12-1))</f>
        <v>-27562.510000000002</v>
      </c>
      <c r="AP12" s="924">
        <f>AK12/((1+$B$4)^(Z12-1))</f>
        <v>-27090.870000000003</v>
      </c>
      <c r="AQ12" s="196">
        <f>AL12</f>
        <v>827.3649999999999</v>
      </c>
      <c r="AR12" s="197">
        <f>AM12</f>
        <v>471.64</v>
      </c>
      <c r="AS12" s="197">
        <f>AN12</f>
        <v>28389.875000000004</v>
      </c>
      <c r="AT12" s="197">
        <f>AO12</f>
        <v>-27562.510000000002</v>
      </c>
      <c r="AU12" s="199">
        <f>AP12</f>
        <v>-27090.870000000003</v>
      </c>
      <c r="AX12" s="894">
        <v>1</v>
      </c>
      <c r="AY12" s="197">
        <f>$C12</f>
        <v>2.0466666666666664</v>
      </c>
      <c r="AZ12" s="197">
        <f>'Energy Inputs'!$F$58*$AZ$8</f>
        <v>134.75</v>
      </c>
      <c r="BA12" s="197">
        <f>AY12*AZ12</f>
        <v>275.7883333333333</v>
      </c>
      <c r="BB12" s="197">
        <f>'Margins summary'!$U$14</f>
        <v>471.64</v>
      </c>
      <c r="BC12" s="197">
        <f>BA12+BB12</f>
        <v>747.42833333333328</v>
      </c>
      <c r="BD12" s="197">
        <f>'Margins summary'!$T$20</f>
        <v>27899.875000000004</v>
      </c>
      <c r="BE12" s="913">
        <f>'Energy NPV'!U65</f>
        <v>490.00000000000006</v>
      </c>
      <c r="BF12" s="197"/>
      <c r="BG12" s="197">
        <f>BD12+BE12+BF12</f>
        <v>28389.875000000004</v>
      </c>
      <c r="BH12" s="197">
        <f t="shared" ref="BH12:BH27" si="4">BA12-BG12</f>
        <v>-28114.08666666667</v>
      </c>
      <c r="BI12" s="197">
        <f t="shared" ref="BI12:BI27" si="5">BC12-BG12</f>
        <v>-27642.44666666667</v>
      </c>
      <c r="BJ12" s="1014">
        <f>BA12/((1+$B$4)^(AX12-1))</f>
        <v>275.7883333333333</v>
      </c>
      <c r="BK12" s="213">
        <f>BB12/((1+$B$4)^(AX12-1))</f>
        <v>471.64</v>
      </c>
      <c r="BL12" s="213">
        <f>BG12/((1+$B$4)^(AX12-1))</f>
        <v>28389.875000000004</v>
      </c>
      <c r="BM12" s="213">
        <f>BH12/((1+$B$4)^(AX12-1))</f>
        <v>-28114.08666666667</v>
      </c>
      <c r="BN12" s="924">
        <f>BI12/((1+$B$4)^(AX12-1))</f>
        <v>-27642.44666666667</v>
      </c>
      <c r="BO12" s="196">
        <f>BJ12</f>
        <v>275.7883333333333</v>
      </c>
      <c r="BP12" s="197">
        <f>BK12</f>
        <v>471.64</v>
      </c>
      <c r="BQ12" s="197">
        <f>BL12</f>
        <v>28389.875000000004</v>
      </c>
      <c r="BR12" s="197">
        <f>BM12</f>
        <v>-28114.08666666667</v>
      </c>
      <c r="BS12" s="199">
        <f>BN12</f>
        <v>-27642.44666666667</v>
      </c>
      <c r="BV12" s="894">
        <v>1</v>
      </c>
      <c r="BW12" s="197">
        <f>$C12</f>
        <v>2.0466666666666664</v>
      </c>
      <c r="BX12" s="197">
        <f>'Energy Inputs'!$F$58*$BX$8</f>
        <v>539</v>
      </c>
      <c r="BY12" s="197">
        <f>BW12*BX12</f>
        <v>1103.1533333333332</v>
      </c>
      <c r="BZ12" s="197">
        <f>'Margins summary'!$U$14</f>
        <v>471.64</v>
      </c>
      <c r="CA12" s="197">
        <f>BY12+BZ12</f>
        <v>1574.7933333333331</v>
      </c>
      <c r="CB12" s="197">
        <f>'Margins summary'!$T$20</f>
        <v>27899.875000000004</v>
      </c>
      <c r="CC12" s="913">
        <f>'Energy NPV'!U65</f>
        <v>490.00000000000006</v>
      </c>
      <c r="CD12" s="197"/>
      <c r="CE12" s="197">
        <f>CB12+CC12+CD12</f>
        <v>28389.875000000004</v>
      </c>
      <c r="CF12" s="197">
        <f t="shared" ref="CF12:CF27" si="6">BY12-CE12</f>
        <v>-27286.721666666672</v>
      </c>
      <c r="CG12" s="197">
        <f t="shared" ref="CG12:CG27" si="7">CA12-CE12</f>
        <v>-26815.081666666672</v>
      </c>
      <c r="CH12" s="1014">
        <f>BY12/((1+$B$4)^(BV12-1))</f>
        <v>1103.1533333333332</v>
      </c>
      <c r="CI12" s="213">
        <f>BZ12/((1+$B$4)^(BV12-1))</f>
        <v>471.64</v>
      </c>
      <c r="CJ12" s="213">
        <f>CE12/((1+$B$4)^(BV12-1))</f>
        <v>28389.875000000004</v>
      </c>
      <c r="CK12" s="213">
        <f>CF12/((1+$B$4)^(BV12-1))</f>
        <v>-27286.721666666672</v>
      </c>
      <c r="CL12" s="924">
        <f>CG12/((1+$B$4)^(BV12-1))</f>
        <v>-26815.081666666672</v>
      </c>
      <c r="CM12" s="196">
        <f>CH12</f>
        <v>1103.1533333333332</v>
      </c>
      <c r="CN12" s="197">
        <f>CI12</f>
        <v>471.64</v>
      </c>
      <c r="CO12" s="197">
        <f>CJ12</f>
        <v>28389.875000000004</v>
      </c>
      <c r="CP12" s="197">
        <f>CK12</f>
        <v>-27286.721666666672</v>
      </c>
      <c r="CQ12" s="199">
        <f>CL12</f>
        <v>-26815.081666666672</v>
      </c>
      <c r="CT12" s="204">
        <v>1</v>
      </c>
      <c r="CU12" s="197">
        <f>$C12</f>
        <v>2.0466666666666664</v>
      </c>
      <c r="CV12" s="197">
        <f>'Energy Inputs'!$F$58*$CV$8</f>
        <v>0</v>
      </c>
      <c r="CW12" s="197">
        <f>CU12*CV12</f>
        <v>0</v>
      </c>
      <c r="CX12" s="197">
        <f>'Margins summary'!$U$14</f>
        <v>471.64</v>
      </c>
      <c r="CY12" s="197">
        <f>CW12+CX12</f>
        <v>471.64</v>
      </c>
      <c r="CZ12" s="197">
        <f>'Margins summary'!$T$20</f>
        <v>27899.875000000004</v>
      </c>
      <c r="DA12" s="913">
        <f>'Energy NPV'!U65</f>
        <v>490.00000000000006</v>
      </c>
      <c r="DB12" s="197"/>
      <c r="DC12" s="197">
        <f>CZ12+DA12+DB12</f>
        <v>28389.875000000004</v>
      </c>
      <c r="DD12" s="197">
        <f t="shared" ref="DD12:DD27" si="8">CW12-DC12</f>
        <v>-28389.875000000004</v>
      </c>
      <c r="DE12" s="197">
        <f t="shared" ref="DE12:DE27" si="9">CY12-DC12</f>
        <v>-27918.235000000004</v>
      </c>
      <c r="DF12" s="1014">
        <f>CW12/((1+$B$4)^(CT12-1))</f>
        <v>0</v>
      </c>
      <c r="DG12" s="213">
        <f>CX12/((1+$B$4)^(CT12-1))</f>
        <v>471.64</v>
      </c>
      <c r="DH12" s="213">
        <f>DC12/((1+$B$4)^(CT12-1))</f>
        <v>28389.875000000004</v>
      </c>
      <c r="DI12" s="213">
        <f>DD12/((1+$B$4)^(CT12-1))</f>
        <v>-28389.875000000004</v>
      </c>
      <c r="DJ12" s="924">
        <f>DE12/((1+$B$4)^(CT12-1))</f>
        <v>-27918.235000000004</v>
      </c>
      <c r="DK12" s="196">
        <f>DF12</f>
        <v>0</v>
      </c>
      <c r="DL12" s="197">
        <f>DG12</f>
        <v>471.64</v>
      </c>
      <c r="DM12" s="197">
        <f>DH12</f>
        <v>28389.875000000004</v>
      </c>
      <c r="DN12" s="197">
        <f>DI12</f>
        <v>-28389.875000000004</v>
      </c>
      <c r="DO12" s="199">
        <f>DJ12</f>
        <v>-27918.235000000004</v>
      </c>
    </row>
    <row r="13" spans="1:119" x14ac:dyDescent="0.3">
      <c r="B13" s="204">
        <f>B12+1</f>
        <v>2</v>
      </c>
      <c r="C13" s="197">
        <f>'Energy NPV'!$D66</f>
        <v>8.27</v>
      </c>
      <c r="D13" s="197">
        <f>'Energy Inputs'!$F$58*$E$8</f>
        <v>269.5</v>
      </c>
      <c r="E13" s="197">
        <f t="shared" ref="E13:E27" si="10">C13*D13</f>
        <v>2228.7649999999999</v>
      </c>
      <c r="F13" s="197">
        <f>'Margins summary'!$U$14</f>
        <v>471.64</v>
      </c>
      <c r="G13" s="197">
        <f t="shared" ref="G13:G27" si="11">E13+F13</f>
        <v>2700.4049999999997</v>
      </c>
      <c r="H13" s="197"/>
      <c r="I13" s="913">
        <f>'Energy NPV'!U66</f>
        <v>2629.1</v>
      </c>
      <c r="J13" s="197"/>
      <c r="K13" s="197">
        <f t="shared" ref="K13:K27" si="12">H13+I13+J13</f>
        <v>2629.1</v>
      </c>
      <c r="L13" s="197">
        <f t="shared" si="0"/>
        <v>-400.33500000000004</v>
      </c>
      <c r="M13" s="197">
        <f t="shared" si="1"/>
        <v>71.304999999999836</v>
      </c>
      <c r="N13" s="196">
        <f t="shared" ref="N13:N27" si="13">E13/((1+$B$4)^(B13-1))</f>
        <v>2143.0432692307691</v>
      </c>
      <c r="O13" s="197">
        <f t="shared" ref="O13:O27" si="14">F13/((1+$B$4)^(B13-1))</f>
        <v>453.49999999999994</v>
      </c>
      <c r="P13" s="197">
        <f t="shared" ref="P13:P27" si="15">K13/((1+$B$4)^(B13-1))</f>
        <v>2527.9807692307691</v>
      </c>
      <c r="Q13" s="197">
        <f t="shared" ref="Q13:Q27" si="16">L13/((1+$B$4)^(B13-1))</f>
        <v>-384.9375</v>
      </c>
      <c r="R13" s="199">
        <f t="shared" ref="R13:R26" si="17">M13/((1+$B$4)^(B13-1))</f>
        <v>68.562499999999844</v>
      </c>
      <c r="S13" s="196">
        <f>S12+N13</f>
        <v>2694.6199358974354</v>
      </c>
      <c r="T13" s="197">
        <f t="shared" ref="T13:W27" si="18">T12+O13</f>
        <v>925.13999999999987</v>
      </c>
      <c r="U13" s="197">
        <f t="shared" si="18"/>
        <v>30917.855769230773</v>
      </c>
      <c r="V13" s="197">
        <f t="shared" si="18"/>
        <v>-28223.235833333336</v>
      </c>
      <c r="W13" s="199">
        <f t="shared" si="18"/>
        <v>-27298.095833333336</v>
      </c>
      <c r="Z13" s="895">
        <v>2</v>
      </c>
      <c r="AA13" s="197">
        <f t="shared" ref="AA13:AA27" si="19">$C13</f>
        <v>8.27</v>
      </c>
      <c r="AB13" s="197">
        <f>'Energy Inputs'!$F$58*$AB$8</f>
        <v>404.25</v>
      </c>
      <c r="AC13" s="197">
        <f t="shared" ref="AC13:AC26" si="20">AA13*AB13</f>
        <v>3343.1475</v>
      </c>
      <c r="AD13" s="197">
        <f>'Margins summary'!$U$14</f>
        <v>471.64</v>
      </c>
      <c r="AE13" s="197">
        <f t="shared" ref="AE13:AE27" si="21">AC13+AD13</f>
        <v>3814.7874999999999</v>
      </c>
      <c r="AF13" s="197"/>
      <c r="AG13" s="913">
        <f>'Energy NPV'!U66</f>
        <v>2629.1</v>
      </c>
      <c r="AH13" s="197"/>
      <c r="AI13" s="197">
        <f t="shared" ref="AI13:AI27" si="22">AF13+AG13+AH13</f>
        <v>2629.1</v>
      </c>
      <c r="AJ13" s="197">
        <f t="shared" si="2"/>
        <v>714.04750000000013</v>
      </c>
      <c r="AK13" s="197">
        <f t="shared" si="3"/>
        <v>1185.6875</v>
      </c>
      <c r="AL13" s="196">
        <f t="shared" ref="AL13:AL27" si="23">AC13/((1+$B$4)^(Z13-1))</f>
        <v>3214.5649038461538</v>
      </c>
      <c r="AM13" s="197">
        <f t="shared" ref="AM13:AM27" si="24">AD13/((1+$B$4)^(Z13-1))</f>
        <v>453.49999999999994</v>
      </c>
      <c r="AN13" s="197">
        <f t="shared" ref="AN13:AN27" si="25">AI13/((1+$B$4)^(Z13-1))</f>
        <v>2527.9807692307691</v>
      </c>
      <c r="AO13" s="197">
        <f t="shared" ref="AO13:AO27" si="26">AJ13/((1+$B$4)^(Z13-1))</f>
        <v>686.58413461538476</v>
      </c>
      <c r="AP13" s="199">
        <f t="shared" ref="AP13:AP26" si="27">AK13/((1+$B$4)^(Z13-1))</f>
        <v>1140.0841346153845</v>
      </c>
      <c r="AQ13" s="196">
        <f>AQ12+AL13</f>
        <v>4041.9299038461536</v>
      </c>
      <c r="AR13" s="197">
        <f t="shared" ref="AR13:AR27" si="28">AR12+AM13</f>
        <v>925.13999999999987</v>
      </c>
      <c r="AS13" s="197">
        <f t="shared" ref="AS13:AS27" si="29">AS12+AN13</f>
        <v>30917.855769230773</v>
      </c>
      <c r="AT13" s="197">
        <f t="shared" ref="AT13:AT27" si="30">AT12+AO13</f>
        <v>-26875.925865384619</v>
      </c>
      <c r="AU13" s="199">
        <f t="shared" ref="AU13:AU27" si="31">AU12+AP13</f>
        <v>-25950.78586538462</v>
      </c>
      <c r="AX13" s="895">
        <v>2</v>
      </c>
      <c r="AY13" s="197">
        <f t="shared" ref="AY13:AY27" si="32">$C13</f>
        <v>8.27</v>
      </c>
      <c r="AZ13" s="197">
        <f>'Energy Inputs'!$F$58*$AZ$8</f>
        <v>134.75</v>
      </c>
      <c r="BA13" s="197">
        <f t="shared" ref="BA13:BA27" si="33">AY13*AZ13</f>
        <v>1114.3824999999999</v>
      </c>
      <c r="BB13" s="197">
        <f>'Margins summary'!$U$14</f>
        <v>471.64</v>
      </c>
      <c r="BC13" s="197">
        <f t="shared" ref="BC13:BC27" si="34">BA13+BB13</f>
        <v>1586.0225</v>
      </c>
      <c r="BD13" s="197"/>
      <c r="BE13" s="913">
        <f>'Energy NPV'!U66</f>
        <v>2629.1</v>
      </c>
      <c r="BF13" s="197"/>
      <c r="BG13" s="197">
        <f t="shared" ref="BG13:BG27" si="35">BD13+BE13+BF13</f>
        <v>2629.1</v>
      </c>
      <c r="BH13" s="197">
        <f t="shared" si="4"/>
        <v>-1514.7175</v>
      </c>
      <c r="BI13" s="197">
        <f t="shared" si="5"/>
        <v>-1043.0774999999999</v>
      </c>
      <c r="BJ13" s="196">
        <f t="shared" ref="BJ13:BJ27" si="36">BA13/((1+$B$4)^(AX13-1))</f>
        <v>1071.5216346153845</v>
      </c>
      <c r="BK13" s="197">
        <f t="shared" ref="BK13:BK27" si="37">BB13/((1+$B$4)^(AX13-1))</f>
        <v>453.49999999999994</v>
      </c>
      <c r="BL13" s="197">
        <f t="shared" ref="BL13:BL27" si="38">BG13/((1+$B$4)^(AX13-1))</f>
        <v>2527.9807692307691</v>
      </c>
      <c r="BM13" s="197">
        <f t="shared" ref="BM13:BM27" si="39">BH13/((1+$B$4)^(AX13-1))</f>
        <v>-1456.4591346153845</v>
      </c>
      <c r="BN13" s="199">
        <f t="shared" ref="BN13:BN26" si="40">BI13/((1+$B$4)^(AX13-1))</f>
        <v>-1002.9591346153844</v>
      </c>
      <c r="BO13" s="196">
        <f>BO12+BJ13</f>
        <v>1347.3099679487177</v>
      </c>
      <c r="BP13" s="197">
        <f t="shared" ref="BP13:BP27" si="41">BP12+BK13</f>
        <v>925.13999999999987</v>
      </c>
      <c r="BQ13" s="197">
        <f t="shared" ref="BQ13:BQ27" si="42">BQ12+BL13</f>
        <v>30917.855769230773</v>
      </c>
      <c r="BR13" s="197">
        <f t="shared" ref="BR13:BR27" si="43">BR12+BM13</f>
        <v>-29570.545801282053</v>
      </c>
      <c r="BS13" s="199">
        <f t="shared" ref="BS13:BS27" si="44">BS12+BN13</f>
        <v>-28645.405801282053</v>
      </c>
      <c r="BV13" s="895">
        <v>2</v>
      </c>
      <c r="BW13" s="197">
        <f t="shared" ref="BW13:BW27" si="45">$C13</f>
        <v>8.27</v>
      </c>
      <c r="BX13" s="197">
        <f>'Energy Inputs'!$F$58*$BX$8</f>
        <v>539</v>
      </c>
      <c r="BY13" s="197">
        <f t="shared" ref="BY13:BY27" si="46">BW13*BX13</f>
        <v>4457.53</v>
      </c>
      <c r="BZ13" s="197">
        <f>'Margins summary'!$U$14</f>
        <v>471.64</v>
      </c>
      <c r="CA13" s="197">
        <f t="shared" ref="CA13:CA27" si="47">BY13+BZ13</f>
        <v>4929.17</v>
      </c>
      <c r="CB13" s="197"/>
      <c r="CC13" s="913">
        <f>'Energy NPV'!U66</f>
        <v>2629.1</v>
      </c>
      <c r="CD13" s="197"/>
      <c r="CE13" s="197">
        <f t="shared" ref="CE13:CE27" si="48">CB13+CC13+CD13</f>
        <v>2629.1</v>
      </c>
      <c r="CF13" s="197">
        <f t="shared" si="6"/>
        <v>1828.4299999999998</v>
      </c>
      <c r="CG13" s="197">
        <f t="shared" si="7"/>
        <v>2300.0700000000002</v>
      </c>
      <c r="CH13" s="196">
        <f t="shared" ref="CH13:CH27" si="49">BY13/((1+$B$4)^(BV13-1))</f>
        <v>4286.0865384615381</v>
      </c>
      <c r="CI13" s="197">
        <f t="shared" ref="CI13:CI27" si="50">BZ13/((1+$B$4)^(BV13-1))</f>
        <v>453.49999999999994</v>
      </c>
      <c r="CJ13" s="197">
        <f t="shared" ref="CJ13:CJ27" si="51">CE13/((1+$B$4)^(BV13-1))</f>
        <v>2527.9807692307691</v>
      </c>
      <c r="CK13" s="197">
        <f t="shared" ref="CK13:CK27" si="52">CF13/((1+$B$4)^(BV13-1))</f>
        <v>1758.1057692307691</v>
      </c>
      <c r="CL13" s="199">
        <f t="shared" ref="CL13:CL26" si="53">CG13/((1+$B$4)^(BV13-1))</f>
        <v>2211.6057692307695</v>
      </c>
      <c r="CM13" s="196">
        <f>CM12+CH13</f>
        <v>5389.2398717948709</v>
      </c>
      <c r="CN13" s="197">
        <f t="shared" ref="CN13:CN27" si="54">CN12+CI13</f>
        <v>925.13999999999987</v>
      </c>
      <c r="CO13" s="197">
        <f t="shared" ref="CO13:CO27" si="55">CO12+CJ13</f>
        <v>30917.855769230773</v>
      </c>
      <c r="CP13" s="197">
        <f t="shared" ref="CP13:CP27" si="56">CP12+CK13</f>
        <v>-25528.615897435902</v>
      </c>
      <c r="CQ13" s="199">
        <f t="shared" ref="CQ13:CQ27" si="57">CQ12+CL13</f>
        <v>-24603.475897435903</v>
      </c>
      <c r="CT13" s="204">
        <v>2</v>
      </c>
      <c r="CU13" s="197">
        <f t="shared" ref="CU13:CU27" si="58">$C13</f>
        <v>8.27</v>
      </c>
      <c r="CV13" s="197">
        <f>'Energy Inputs'!$F$58*$CV$8</f>
        <v>0</v>
      </c>
      <c r="CW13" s="197">
        <f t="shared" ref="CW13:CW27" si="59">CU13*CV13</f>
        <v>0</v>
      </c>
      <c r="CX13" s="197">
        <f>'Margins summary'!$U$14</f>
        <v>471.64</v>
      </c>
      <c r="CY13" s="197">
        <f t="shared" ref="CY13:CY27" si="60">CW13+CX13</f>
        <v>471.64</v>
      </c>
      <c r="CZ13" s="197"/>
      <c r="DA13" s="913">
        <f>'Energy NPV'!U66</f>
        <v>2629.1</v>
      </c>
      <c r="DB13" s="197"/>
      <c r="DC13" s="197">
        <f t="shared" ref="DC13:DC27" si="61">CZ13+DA13+DB13</f>
        <v>2629.1</v>
      </c>
      <c r="DD13" s="197">
        <f t="shared" si="8"/>
        <v>-2629.1</v>
      </c>
      <c r="DE13" s="197">
        <f t="shared" si="9"/>
        <v>-2157.46</v>
      </c>
      <c r="DF13" s="196">
        <f t="shared" ref="DF13:DF27" si="62">CW13/((1+$B$4)^(CT13-1))</f>
        <v>0</v>
      </c>
      <c r="DG13" s="197">
        <f t="shared" ref="DG13:DG27" si="63">CX13/((1+$B$4)^(CT13-1))</f>
        <v>453.49999999999994</v>
      </c>
      <c r="DH13" s="197">
        <f t="shared" ref="DH13:DH27" si="64">DC13/((1+$B$4)^(CT13-1))</f>
        <v>2527.9807692307691</v>
      </c>
      <c r="DI13" s="197">
        <f t="shared" ref="DI13:DI27" si="65">DD13/((1+$B$4)^(CT13-1))</f>
        <v>-2527.9807692307691</v>
      </c>
      <c r="DJ13" s="199">
        <f t="shared" ref="DJ13:DJ26" si="66">DE13/((1+$B$4)^(CT13-1))</f>
        <v>-2074.4807692307691</v>
      </c>
      <c r="DK13" s="196">
        <f>DK12+DF13</f>
        <v>0</v>
      </c>
      <c r="DL13" s="197">
        <f t="shared" ref="DL13:DL27" si="67">DL12+DG13</f>
        <v>925.13999999999987</v>
      </c>
      <c r="DM13" s="197">
        <f t="shared" ref="DM13:DM27" si="68">DM12+DH13</f>
        <v>30917.855769230773</v>
      </c>
      <c r="DN13" s="197">
        <f t="shared" ref="DN13:DN27" si="69">DN12+DI13</f>
        <v>-30917.855769230773</v>
      </c>
      <c r="DO13" s="199">
        <f t="shared" ref="DO13:DO27" si="70">DO12+DJ13</f>
        <v>-29992.715769230774</v>
      </c>
    </row>
    <row r="14" spans="1:119" x14ac:dyDescent="0.3">
      <c r="B14" s="204">
        <f t="shared" ref="B14:B27" si="71">B13+1</f>
        <v>3</v>
      </c>
      <c r="C14" s="197">
        <f>'Energy NPV'!$D67</f>
        <v>10.926666666666668</v>
      </c>
      <c r="D14" s="197">
        <f>'Energy Inputs'!$F$58*$E$8</f>
        <v>269.5</v>
      </c>
      <c r="E14" s="197">
        <f t="shared" si="10"/>
        <v>2944.7366666666671</v>
      </c>
      <c r="F14" s="197">
        <f>'Margins summary'!$U$14</f>
        <v>471.64</v>
      </c>
      <c r="G14" s="197">
        <f t="shared" si="11"/>
        <v>3416.376666666667</v>
      </c>
      <c r="H14" s="197"/>
      <c r="I14" s="913">
        <f>'Energy NPV'!U67</f>
        <v>2629.1</v>
      </c>
      <c r="J14" s="197"/>
      <c r="K14" s="197">
        <f t="shared" si="12"/>
        <v>2629.1</v>
      </c>
      <c r="L14" s="197">
        <f t="shared" si="0"/>
        <v>315.63666666666722</v>
      </c>
      <c r="M14" s="197">
        <f t="shared" si="1"/>
        <v>787.2766666666671</v>
      </c>
      <c r="N14" s="196">
        <f t="shared" si="13"/>
        <v>2722.5745808678503</v>
      </c>
      <c r="O14" s="197">
        <f t="shared" si="14"/>
        <v>436.05769230769226</v>
      </c>
      <c r="P14" s="197">
        <f t="shared" si="15"/>
        <v>2430.7507396449701</v>
      </c>
      <c r="Q14" s="197">
        <f t="shared" si="16"/>
        <v>291.82384122288016</v>
      </c>
      <c r="R14" s="199">
        <f t="shared" si="17"/>
        <v>727.88153353057226</v>
      </c>
      <c r="S14" s="196">
        <f t="shared" ref="S14:S27" si="72">S13+N14</f>
        <v>5417.1945167652857</v>
      </c>
      <c r="T14" s="197">
        <f t="shared" si="18"/>
        <v>1361.1976923076923</v>
      </c>
      <c r="U14" s="197">
        <f t="shared" si="18"/>
        <v>33348.606508875746</v>
      </c>
      <c r="V14" s="197">
        <f t="shared" si="18"/>
        <v>-27931.411992110458</v>
      </c>
      <c r="W14" s="199">
        <f t="shared" si="18"/>
        <v>-26570.214299802763</v>
      </c>
      <c r="Z14" s="895">
        <v>3</v>
      </c>
      <c r="AA14" s="197">
        <f t="shared" si="19"/>
        <v>10.926666666666668</v>
      </c>
      <c r="AB14" s="197">
        <f>'Energy Inputs'!$F$58*$AB$8</f>
        <v>404.25</v>
      </c>
      <c r="AC14" s="197">
        <f t="shared" si="20"/>
        <v>4417.1050000000005</v>
      </c>
      <c r="AD14" s="197">
        <f>'Margins summary'!$U$14</f>
        <v>471.64</v>
      </c>
      <c r="AE14" s="197">
        <f t="shared" si="21"/>
        <v>4888.7450000000008</v>
      </c>
      <c r="AF14" s="197"/>
      <c r="AG14" s="913">
        <f>'Energy NPV'!U67</f>
        <v>2629.1</v>
      </c>
      <c r="AH14" s="197"/>
      <c r="AI14" s="197">
        <f t="shared" si="22"/>
        <v>2629.1</v>
      </c>
      <c r="AJ14" s="197">
        <f t="shared" si="2"/>
        <v>1788.0050000000006</v>
      </c>
      <c r="AK14" s="197">
        <f t="shared" si="3"/>
        <v>2259.6450000000009</v>
      </c>
      <c r="AL14" s="196">
        <f t="shared" si="23"/>
        <v>4083.861871301775</v>
      </c>
      <c r="AM14" s="197">
        <f t="shared" si="24"/>
        <v>436.05769230769226</v>
      </c>
      <c r="AN14" s="197">
        <f t="shared" si="25"/>
        <v>2430.7507396449701</v>
      </c>
      <c r="AO14" s="197">
        <f t="shared" si="26"/>
        <v>1653.1111316568051</v>
      </c>
      <c r="AP14" s="199">
        <f t="shared" si="27"/>
        <v>2089.1688239644977</v>
      </c>
      <c r="AQ14" s="196">
        <f t="shared" ref="AQ14:AQ27" si="73">AQ13+AL14</f>
        <v>8125.791775147929</v>
      </c>
      <c r="AR14" s="197">
        <f t="shared" si="28"/>
        <v>1361.1976923076923</v>
      </c>
      <c r="AS14" s="197">
        <f t="shared" si="29"/>
        <v>33348.606508875746</v>
      </c>
      <c r="AT14" s="197">
        <f t="shared" si="30"/>
        <v>-25222.814733727813</v>
      </c>
      <c r="AU14" s="199">
        <f t="shared" si="31"/>
        <v>-23861.617041420122</v>
      </c>
      <c r="AX14" s="895">
        <v>3</v>
      </c>
      <c r="AY14" s="197">
        <f t="shared" si="32"/>
        <v>10.926666666666668</v>
      </c>
      <c r="AZ14" s="197">
        <f>'Energy Inputs'!$F$58*$AZ$8</f>
        <v>134.75</v>
      </c>
      <c r="BA14" s="197">
        <f t="shared" si="33"/>
        <v>1472.3683333333336</v>
      </c>
      <c r="BB14" s="197">
        <f>'Margins summary'!$U$14</f>
        <v>471.64</v>
      </c>
      <c r="BC14" s="197">
        <f t="shared" si="34"/>
        <v>1944.0083333333337</v>
      </c>
      <c r="BD14" s="197"/>
      <c r="BE14" s="913">
        <f>'Energy NPV'!U67</f>
        <v>2629.1</v>
      </c>
      <c r="BF14" s="197"/>
      <c r="BG14" s="197">
        <f t="shared" si="35"/>
        <v>2629.1</v>
      </c>
      <c r="BH14" s="197">
        <f t="shared" si="4"/>
        <v>-1156.7316666666663</v>
      </c>
      <c r="BI14" s="197">
        <f t="shared" si="5"/>
        <v>-685.09166666666624</v>
      </c>
      <c r="BJ14" s="196">
        <f t="shared" si="36"/>
        <v>1361.2872904339251</v>
      </c>
      <c r="BK14" s="197">
        <f t="shared" si="37"/>
        <v>436.05769230769226</v>
      </c>
      <c r="BL14" s="197">
        <f t="shared" si="38"/>
        <v>2430.7507396449701</v>
      </c>
      <c r="BM14" s="197">
        <f t="shared" si="39"/>
        <v>-1069.4634492110449</v>
      </c>
      <c r="BN14" s="199">
        <f t="shared" si="40"/>
        <v>-633.40575690335254</v>
      </c>
      <c r="BO14" s="196">
        <f t="shared" ref="BO14:BO27" si="74">BO13+BJ14</f>
        <v>2708.5972583826428</v>
      </c>
      <c r="BP14" s="197">
        <f t="shared" si="41"/>
        <v>1361.1976923076923</v>
      </c>
      <c r="BQ14" s="197">
        <f t="shared" si="42"/>
        <v>33348.606508875746</v>
      </c>
      <c r="BR14" s="197">
        <f t="shared" si="43"/>
        <v>-30640.009250493098</v>
      </c>
      <c r="BS14" s="199">
        <f t="shared" si="44"/>
        <v>-29278.811558185407</v>
      </c>
      <c r="BV14" s="895">
        <v>3</v>
      </c>
      <c r="BW14" s="197">
        <f t="shared" si="45"/>
        <v>10.926666666666668</v>
      </c>
      <c r="BX14" s="197">
        <f>'Energy Inputs'!$F$58*$BX$8</f>
        <v>539</v>
      </c>
      <c r="BY14" s="197">
        <f t="shared" si="46"/>
        <v>5889.4733333333343</v>
      </c>
      <c r="BZ14" s="197">
        <f>'Margins summary'!$U$14</f>
        <v>471.64</v>
      </c>
      <c r="CA14" s="197">
        <f t="shared" si="47"/>
        <v>6361.1133333333346</v>
      </c>
      <c r="CB14" s="197"/>
      <c r="CC14" s="913">
        <f>'Energy NPV'!U67</f>
        <v>2629.1</v>
      </c>
      <c r="CD14" s="197"/>
      <c r="CE14" s="197">
        <f t="shared" si="48"/>
        <v>2629.1</v>
      </c>
      <c r="CF14" s="197">
        <f t="shared" si="6"/>
        <v>3260.3733333333344</v>
      </c>
      <c r="CG14" s="197">
        <f t="shared" si="7"/>
        <v>3732.0133333333347</v>
      </c>
      <c r="CH14" s="196">
        <f t="shared" si="49"/>
        <v>5445.1491617357005</v>
      </c>
      <c r="CI14" s="197">
        <f t="shared" si="50"/>
        <v>436.05769230769226</v>
      </c>
      <c r="CJ14" s="197">
        <f t="shared" si="51"/>
        <v>2430.7507396449701</v>
      </c>
      <c r="CK14" s="197">
        <f t="shared" si="52"/>
        <v>3014.3984220907305</v>
      </c>
      <c r="CL14" s="199">
        <f t="shared" si="53"/>
        <v>3450.4561143984229</v>
      </c>
      <c r="CM14" s="196">
        <f t="shared" ref="CM14:CM27" si="75">CM13+CH14</f>
        <v>10834.389033530571</v>
      </c>
      <c r="CN14" s="197">
        <f t="shared" si="54"/>
        <v>1361.1976923076923</v>
      </c>
      <c r="CO14" s="197">
        <f t="shared" si="55"/>
        <v>33348.606508875746</v>
      </c>
      <c r="CP14" s="197">
        <f t="shared" si="56"/>
        <v>-22514.217475345173</v>
      </c>
      <c r="CQ14" s="199">
        <f t="shared" si="57"/>
        <v>-21153.019783037482</v>
      </c>
      <c r="CT14" s="204">
        <f t="shared" ref="CT14:CT27" si="76">CT13+1</f>
        <v>3</v>
      </c>
      <c r="CU14" s="197">
        <f t="shared" si="58"/>
        <v>10.926666666666668</v>
      </c>
      <c r="CV14" s="197">
        <f>'Energy Inputs'!$F$58*$CV$8</f>
        <v>0</v>
      </c>
      <c r="CW14" s="197">
        <f t="shared" si="59"/>
        <v>0</v>
      </c>
      <c r="CX14" s="197">
        <f>'Margins summary'!$U$14</f>
        <v>471.64</v>
      </c>
      <c r="CY14" s="197">
        <f t="shared" si="60"/>
        <v>471.64</v>
      </c>
      <c r="CZ14" s="197"/>
      <c r="DA14" s="913">
        <f>'Energy NPV'!U67</f>
        <v>2629.1</v>
      </c>
      <c r="DB14" s="197"/>
      <c r="DC14" s="197">
        <f t="shared" si="61"/>
        <v>2629.1</v>
      </c>
      <c r="DD14" s="197">
        <f t="shared" si="8"/>
        <v>-2629.1</v>
      </c>
      <c r="DE14" s="197">
        <f t="shared" si="9"/>
        <v>-2157.46</v>
      </c>
      <c r="DF14" s="196">
        <f t="shared" si="62"/>
        <v>0</v>
      </c>
      <c r="DG14" s="197">
        <f t="shared" si="63"/>
        <v>436.05769230769226</v>
      </c>
      <c r="DH14" s="197">
        <f t="shared" si="64"/>
        <v>2430.7507396449701</v>
      </c>
      <c r="DI14" s="197">
        <f t="shared" si="65"/>
        <v>-2430.7507396449701</v>
      </c>
      <c r="DJ14" s="199">
        <f t="shared" si="66"/>
        <v>-1994.6930473372779</v>
      </c>
      <c r="DK14" s="196">
        <f t="shared" ref="DK14:DK27" si="77">DK13+DF14</f>
        <v>0</v>
      </c>
      <c r="DL14" s="197">
        <f t="shared" si="67"/>
        <v>1361.1976923076923</v>
      </c>
      <c r="DM14" s="197">
        <f t="shared" si="68"/>
        <v>33348.606508875746</v>
      </c>
      <c r="DN14" s="197">
        <f t="shared" si="69"/>
        <v>-33348.606508875746</v>
      </c>
      <c r="DO14" s="199">
        <f t="shared" si="70"/>
        <v>-31987.408816568051</v>
      </c>
    </row>
    <row r="15" spans="1:119" x14ac:dyDescent="0.3">
      <c r="B15" s="204">
        <f t="shared" si="71"/>
        <v>4</v>
      </c>
      <c r="C15" s="197">
        <f>'Energy NPV'!$D68</f>
        <v>11.617000000000001</v>
      </c>
      <c r="D15" s="197">
        <f>'Energy Inputs'!$F$58*$E$8</f>
        <v>269.5</v>
      </c>
      <c r="E15" s="197">
        <f t="shared" si="10"/>
        <v>3130.7815000000001</v>
      </c>
      <c r="F15" s="197">
        <f>'Margins summary'!$U$14</f>
        <v>471.64</v>
      </c>
      <c r="G15" s="197">
        <f t="shared" si="11"/>
        <v>3602.4214999999999</v>
      </c>
      <c r="H15" s="197"/>
      <c r="I15" s="913">
        <f>'Energy NPV'!U68</f>
        <v>1840.1999999999998</v>
      </c>
      <c r="J15" s="197"/>
      <c r="K15" s="197">
        <f t="shared" si="12"/>
        <v>1840.1999999999998</v>
      </c>
      <c r="L15" s="197">
        <f t="shared" si="0"/>
        <v>1290.5815000000002</v>
      </c>
      <c r="M15" s="197">
        <f t="shared" si="1"/>
        <v>1762.2215000000001</v>
      </c>
      <c r="N15" s="196">
        <f t="shared" si="13"/>
        <v>2783.2533532942648</v>
      </c>
      <c r="O15" s="197">
        <f t="shared" si="14"/>
        <v>419.28624260355025</v>
      </c>
      <c r="P15" s="197">
        <f t="shared" si="15"/>
        <v>1635.9310992262174</v>
      </c>
      <c r="Q15" s="197">
        <f t="shared" si="16"/>
        <v>1147.3222540680474</v>
      </c>
      <c r="R15" s="199">
        <f t="shared" si="17"/>
        <v>1566.6084966715975</v>
      </c>
      <c r="S15" s="196">
        <f t="shared" si="72"/>
        <v>8200.44787005955</v>
      </c>
      <c r="T15" s="197">
        <f t="shared" si="18"/>
        <v>1780.4839349112426</v>
      </c>
      <c r="U15" s="197">
        <f t="shared" si="18"/>
        <v>34984.537608101964</v>
      </c>
      <c r="V15" s="197">
        <f t="shared" si="18"/>
        <v>-26784.08973804241</v>
      </c>
      <c r="W15" s="199">
        <f t="shared" si="18"/>
        <v>-25003.605803131166</v>
      </c>
      <c r="Z15" s="895">
        <v>4</v>
      </c>
      <c r="AA15" s="197">
        <f t="shared" si="19"/>
        <v>11.617000000000001</v>
      </c>
      <c r="AB15" s="197">
        <f>'Energy Inputs'!$F$58*$AB$8</f>
        <v>404.25</v>
      </c>
      <c r="AC15" s="197">
        <f t="shared" si="20"/>
        <v>4696.1722500000005</v>
      </c>
      <c r="AD15" s="197">
        <f>'Margins summary'!$U$14</f>
        <v>471.64</v>
      </c>
      <c r="AE15" s="197">
        <f t="shared" si="21"/>
        <v>5167.8122500000009</v>
      </c>
      <c r="AF15" s="197"/>
      <c r="AG15" s="913">
        <f>'Energy NPV'!U68</f>
        <v>1840.1999999999998</v>
      </c>
      <c r="AH15" s="197"/>
      <c r="AI15" s="197">
        <f t="shared" si="22"/>
        <v>1840.1999999999998</v>
      </c>
      <c r="AJ15" s="197">
        <f t="shared" si="2"/>
        <v>2855.9722500000007</v>
      </c>
      <c r="AK15" s="197">
        <f t="shared" si="3"/>
        <v>3327.612250000001</v>
      </c>
      <c r="AL15" s="196">
        <f t="shared" si="23"/>
        <v>4174.8800299413979</v>
      </c>
      <c r="AM15" s="197">
        <f t="shared" si="24"/>
        <v>419.28624260355025</v>
      </c>
      <c r="AN15" s="197">
        <f t="shared" si="25"/>
        <v>1635.9310992262174</v>
      </c>
      <c r="AO15" s="197">
        <f t="shared" si="26"/>
        <v>2538.9489307151803</v>
      </c>
      <c r="AP15" s="199">
        <f t="shared" si="27"/>
        <v>2958.2351733187306</v>
      </c>
      <c r="AQ15" s="196">
        <f t="shared" si="73"/>
        <v>12300.671805089327</v>
      </c>
      <c r="AR15" s="197">
        <f t="shared" si="28"/>
        <v>1780.4839349112426</v>
      </c>
      <c r="AS15" s="197">
        <f t="shared" si="29"/>
        <v>34984.537608101964</v>
      </c>
      <c r="AT15" s="197">
        <f t="shared" si="30"/>
        <v>-22683.865803012632</v>
      </c>
      <c r="AU15" s="199">
        <f t="shared" si="31"/>
        <v>-20903.381868101391</v>
      </c>
      <c r="AX15" s="895">
        <v>4</v>
      </c>
      <c r="AY15" s="197">
        <f t="shared" si="32"/>
        <v>11.617000000000001</v>
      </c>
      <c r="AZ15" s="197">
        <f>'Energy Inputs'!$F$58*$AZ$8</f>
        <v>134.75</v>
      </c>
      <c r="BA15" s="197">
        <f t="shared" si="33"/>
        <v>1565.39075</v>
      </c>
      <c r="BB15" s="197">
        <f>'Margins summary'!$U$14</f>
        <v>471.64</v>
      </c>
      <c r="BC15" s="197">
        <f t="shared" si="34"/>
        <v>2037.0307499999999</v>
      </c>
      <c r="BD15" s="197"/>
      <c r="BE15" s="913">
        <f>'Energy NPV'!U68</f>
        <v>1840.1999999999998</v>
      </c>
      <c r="BF15" s="197"/>
      <c r="BG15" s="197">
        <f t="shared" si="35"/>
        <v>1840.1999999999998</v>
      </c>
      <c r="BH15" s="197">
        <f t="shared" si="4"/>
        <v>-274.80924999999979</v>
      </c>
      <c r="BI15" s="197">
        <f t="shared" si="5"/>
        <v>196.83075000000008</v>
      </c>
      <c r="BJ15" s="196">
        <f t="shared" si="36"/>
        <v>1391.6266766471324</v>
      </c>
      <c r="BK15" s="197">
        <f t="shared" si="37"/>
        <v>419.28624260355025</v>
      </c>
      <c r="BL15" s="197">
        <f t="shared" si="38"/>
        <v>1635.9310992262174</v>
      </c>
      <c r="BM15" s="197">
        <f t="shared" si="39"/>
        <v>-244.3044225790849</v>
      </c>
      <c r="BN15" s="199">
        <f t="shared" si="40"/>
        <v>174.98182002446524</v>
      </c>
      <c r="BO15" s="196">
        <f t="shared" si="74"/>
        <v>4100.223935029775</v>
      </c>
      <c r="BP15" s="197">
        <f t="shared" si="41"/>
        <v>1780.4839349112426</v>
      </c>
      <c r="BQ15" s="197">
        <f t="shared" si="42"/>
        <v>34984.537608101964</v>
      </c>
      <c r="BR15" s="197">
        <f t="shared" si="43"/>
        <v>-30884.313673072182</v>
      </c>
      <c r="BS15" s="199">
        <f t="shared" si="44"/>
        <v>-29103.829738160941</v>
      </c>
      <c r="BV15" s="895">
        <v>4</v>
      </c>
      <c r="BW15" s="197">
        <f t="shared" si="45"/>
        <v>11.617000000000001</v>
      </c>
      <c r="BX15" s="197">
        <f>'Energy Inputs'!$F$58*$BX$8</f>
        <v>539</v>
      </c>
      <c r="BY15" s="197">
        <f t="shared" si="46"/>
        <v>6261.5630000000001</v>
      </c>
      <c r="BZ15" s="197">
        <f>'Margins summary'!$U$14</f>
        <v>471.64</v>
      </c>
      <c r="CA15" s="197">
        <f t="shared" si="47"/>
        <v>6733.2030000000004</v>
      </c>
      <c r="CB15" s="197"/>
      <c r="CC15" s="913">
        <f>'Energy NPV'!U68</f>
        <v>1840.1999999999998</v>
      </c>
      <c r="CD15" s="197"/>
      <c r="CE15" s="197">
        <f t="shared" si="48"/>
        <v>1840.1999999999998</v>
      </c>
      <c r="CF15" s="197">
        <f t="shared" si="6"/>
        <v>4421.3630000000003</v>
      </c>
      <c r="CG15" s="197">
        <f t="shared" si="7"/>
        <v>4893.0030000000006</v>
      </c>
      <c r="CH15" s="196">
        <f t="shared" si="49"/>
        <v>5566.5067065885296</v>
      </c>
      <c r="CI15" s="197">
        <f t="shared" si="50"/>
        <v>419.28624260355025</v>
      </c>
      <c r="CJ15" s="197">
        <f t="shared" si="51"/>
        <v>1635.9310992262174</v>
      </c>
      <c r="CK15" s="197">
        <f t="shared" si="52"/>
        <v>3930.575607362312</v>
      </c>
      <c r="CL15" s="199">
        <f t="shared" si="53"/>
        <v>4349.8618499658623</v>
      </c>
      <c r="CM15" s="196">
        <f t="shared" si="75"/>
        <v>16400.8957401191</v>
      </c>
      <c r="CN15" s="197">
        <f t="shared" si="54"/>
        <v>1780.4839349112426</v>
      </c>
      <c r="CO15" s="197">
        <f t="shared" si="55"/>
        <v>34984.537608101964</v>
      </c>
      <c r="CP15" s="197">
        <f t="shared" si="56"/>
        <v>-18583.64186798286</v>
      </c>
      <c r="CQ15" s="199">
        <f t="shared" si="57"/>
        <v>-16803.157933071619</v>
      </c>
      <c r="CT15" s="204">
        <f t="shared" si="76"/>
        <v>4</v>
      </c>
      <c r="CU15" s="197">
        <f t="shared" si="58"/>
        <v>11.617000000000001</v>
      </c>
      <c r="CV15" s="197">
        <f>'Energy Inputs'!$F$58*$CV$8</f>
        <v>0</v>
      </c>
      <c r="CW15" s="197">
        <f t="shared" si="59"/>
        <v>0</v>
      </c>
      <c r="CX15" s="197">
        <f>'Margins summary'!$U$14</f>
        <v>471.64</v>
      </c>
      <c r="CY15" s="197">
        <f t="shared" si="60"/>
        <v>471.64</v>
      </c>
      <c r="CZ15" s="197"/>
      <c r="DA15" s="913">
        <f>'Energy NPV'!U68</f>
        <v>1840.1999999999998</v>
      </c>
      <c r="DB15" s="197"/>
      <c r="DC15" s="197">
        <f t="shared" si="61"/>
        <v>1840.1999999999998</v>
      </c>
      <c r="DD15" s="197">
        <f t="shared" si="8"/>
        <v>-1840.1999999999998</v>
      </c>
      <c r="DE15" s="197">
        <f t="shared" si="9"/>
        <v>-1368.56</v>
      </c>
      <c r="DF15" s="196">
        <f t="shared" si="62"/>
        <v>0</v>
      </c>
      <c r="DG15" s="197">
        <f t="shared" si="63"/>
        <v>419.28624260355025</v>
      </c>
      <c r="DH15" s="197">
        <f t="shared" si="64"/>
        <v>1635.9310992262174</v>
      </c>
      <c r="DI15" s="197">
        <f t="shared" si="65"/>
        <v>-1635.9310992262174</v>
      </c>
      <c r="DJ15" s="199">
        <f t="shared" si="66"/>
        <v>-1216.644856622667</v>
      </c>
      <c r="DK15" s="196">
        <f t="shared" si="77"/>
        <v>0</v>
      </c>
      <c r="DL15" s="197">
        <f t="shared" si="67"/>
        <v>1780.4839349112426</v>
      </c>
      <c r="DM15" s="197">
        <f t="shared" si="68"/>
        <v>34984.537608101964</v>
      </c>
      <c r="DN15" s="197">
        <f t="shared" si="69"/>
        <v>-34984.537608101964</v>
      </c>
      <c r="DO15" s="199">
        <f t="shared" si="70"/>
        <v>-33204.05367319072</v>
      </c>
    </row>
    <row r="16" spans="1:119" x14ac:dyDescent="0.3">
      <c r="B16" s="204">
        <f t="shared" si="71"/>
        <v>5</v>
      </c>
      <c r="C16" s="197">
        <f>'Energy NPV'!$D69</f>
        <v>11.617000000000001</v>
      </c>
      <c r="D16" s="197">
        <f>'Energy Inputs'!$F$58*$E$8</f>
        <v>269.5</v>
      </c>
      <c r="E16" s="197">
        <f t="shared" si="10"/>
        <v>3130.7815000000001</v>
      </c>
      <c r="F16" s="197">
        <f>'Margins summary'!$U$14</f>
        <v>471.64</v>
      </c>
      <c r="G16" s="197">
        <f t="shared" si="11"/>
        <v>3602.4214999999999</v>
      </c>
      <c r="H16" s="197"/>
      <c r="I16" s="913">
        <f>'Energy NPV'!U69</f>
        <v>1840.1999999999998</v>
      </c>
      <c r="J16" s="197"/>
      <c r="K16" s="197">
        <f t="shared" si="12"/>
        <v>1840.1999999999998</v>
      </c>
      <c r="L16" s="197">
        <f t="shared" si="0"/>
        <v>1290.5815000000002</v>
      </c>
      <c r="M16" s="197">
        <f t="shared" si="1"/>
        <v>1762.2215000000001</v>
      </c>
      <c r="N16" s="196">
        <f t="shared" si="13"/>
        <v>2676.2051473983311</v>
      </c>
      <c r="O16" s="197">
        <f t="shared" si="14"/>
        <v>403.15984865725983</v>
      </c>
      <c r="P16" s="197">
        <f t="shared" si="15"/>
        <v>1573.0106723329011</v>
      </c>
      <c r="Q16" s="197">
        <f t="shared" si="16"/>
        <v>1103.1944750654302</v>
      </c>
      <c r="R16" s="199">
        <f t="shared" si="17"/>
        <v>1506.3543237226897</v>
      </c>
      <c r="S16" s="196">
        <f t="shared" si="72"/>
        <v>10876.65301745788</v>
      </c>
      <c r="T16" s="197">
        <f t="shared" si="18"/>
        <v>2183.6437835685024</v>
      </c>
      <c r="U16" s="197">
        <f t="shared" si="18"/>
        <v>36557.548280434865</v>
      </c>
      <c r="V16" s="197">
        <f t="shared" si="18"/>
        <v>-25680.895262976981</v>
      </c>
      <c r="W16" s="199">
        <f t="shared" si="18"/>
        <v>-23497.251479408475</v>
      </c>
      <c r="Z16" s="895">
        <v>5</v>
      </c>
      <c r="AA16" s="197">
        <f t="shared" si="19"/>
        <v>11.617000000000001</v>
      </c>
      <c r="AB16" s="197">
        <f>'Energy Inputs'!$F$58*$AB$8</f>
        <v>404.25</v>
      </c>
      <c r="AC16" s="197">
        <f t="shared" si="20"/>
        <v>4696.1722500000005</v>
      </c>
      <c r="AD16" s="197">
        <f>'Margins summary'!$U$14</f>
        <v>471.64</v>
      </c>
      <c r="AE16" s="197">
        <f t="shared" si="21"/>
        <v>5167.8122500000009</v>
      </c>
      <c r="AF16" s="197"/>
      <c r="AG16" s="913">
        <f>'Energy NPV'!U69</f>
        <v>1840.1999999999998</v>
      </c>
      <c r="AH16" s="197"/>
      <c r="AI16" s="197">
        <f t="shared" si="22"/>
        <v>1840.1999999999998</v>
      </c>
      <c r="AJ16" s="197">
        <f t="shared" si="2"/>
        <v>2855.9722500000007</v>
      </c>
      <c r="AK16" s="197">
        <f t="shared" si="3"/>
        <v>3327.612250000001</v>
      </c>
      <c r="AL16" s="196">
        <f t="shared" si="23"/>
        <v>4014.3077210974971</v>
      </c>
      <c r="AM16" s="197">
        <f t="shared" si="24"/>
        <v>403.15984865725983</v>
      </c>
      <c r="AN16" s="197">
        <f t="shared" si="25"/>
        <v>1573.0106723329011</v>
      </c>
      <c r="AO16" s="197">
        <f t="shared" si="26"/>
        <v>2441.2970487645962</v>
      </c>
      <c r="AP16" s="199">
        <f t="shared" si="27"/>
        <v>2844.4568974218564</v>
      </c>
      <c r="AQ16" s="196">
        <f t="shared" si="73"/>
        <v>16314.979526186824</v>
      </c>
      <c r="AR16" s="197">
        <f t="shared" si="28"/>
        <v>2183.6437835685024</v>
      </c>
      <c r="AS16" s="197">
        <f t="shared" si="29"/>
        <v>36557.548280434865</v>
      </c>
      <c r="AT16" s="197">
        <f t="shared" si="30"/>
        <v>-20242.568754248037</v>
      </c>
      <c r="AU16" s="199">
        <f t="shared" si="31"/>
        <v>-18058.924970679534</v>
      </c>
      <c r="AX16" s="895">
        <v>5</v>
      </c>
      <c r="AY16" s="197">
        <f t="shared" si="32"/>
        <v>11.617000000000001</v>
      </c>
      <c r="AZ16" s="197">
        <f>'Energy Inputs'!$F$58*$AZ$8</f>
        <v>134.75</v>
      </c>
      <c r="BA16" s="197">
        <f t="shared" si="33"/>
        <v>1565.39075</v>
      </c>
      <c r="BB16" s="197">
        <f>'Margins summary'!$U$14</f>
        <v>471.64</v>
      </c>
      <c r="BC16" s="197">
        <f t="shared" si="34"/>
        <v>2037.0307499999999</v>
      </c>
      <c r="BD16" s="197"/>
      <c r="BE16" s="913">
        <f>'Energy NPV'!U69</f>
        <v>1840.1999999999998</v>
      </c>
      <c r="BF16" s="197"/>
      <c r="BG16" s="197">
        <f t="shared" si="35"/>
        <v>1840.1999999999998</v>
      </c>
      <c r="BH16" s="197">
        <f t="shared" si="4"/>
        <v>-274.80924999999979</v>
      </c>
      <c r="BI16" s="197">
        <f t="shared" si="5"/>
        <v>196.83075000000008</v>
      </c>
      <c r="BJ16" s="196">
        <f t="shared" si="36"/>
        <v>1338.1025736991655</v>
      </c>
      <c r="BK16" s="197">
        <f t="shared" si="37"/>
        <v>403.15984865725983</v>
      </c>
      <c r="BL16" s="197">
        <f t="shared" si="38"/>
        <v>1573.0106723329011</v>
      </c>
      <c r="BM16" s="197">
        <f t="shared" si="39"/>
        <v>-234.90809863373548</v>
      </c>
      <c r="BN16" s="199">
        <f t="shared" si="40"/>
        <v>168.25175002352424</v>
      </c>
      <c r="BO16" s="196">
        <f t="shared" si="74"/>
        <v>5438.3265087289401</v>
      </c>
      <c r="BP16" s="197">
        <f t="shared" si="41"/>
        <v>2183.6437835685024</v>
      </c>
      <c r="BQ16" s="197">
        <f t="shared" si="42"/>
        <v>36557.548280434865</v>
      </c>
      <c r="BR16" s="197">
        <f t="shared" si="43"/>
        <v>-31119.221771705917</v>
      </c>
      <c r="BS16" s="199">
        <f t="shared" si="44"/>
        <v>-28935.577988137418</v>
      </c>
      <c r="BV16" s="895">
        <v>5</v>
      </c>
      <c r="BW16" s="197">
        <f t="shared" si="45"/>
        <v>11.617000000000001</v>
      </c>
      <c r="BX16" s="197">
        <f>'Energy Inputs'!$F$58*$BX$8</f>
        <v>539</v>
      </c>
      <c r="BY16" s="197">
        <f t="shared" si="46"/>
        <v>6261.5630000000001</v>
      </c>
      <c r="BZ16" s="197">
        <f>'Margins summary'!$U$14</f>
        <v>471.64</v>
      </c>
      <c r="CA16" s="197">
        <f t="shared" si="47"/>
        <v>6733.2030000000004</v>
      </c>
      <c r="CB16" s="197"/>
      <c r="CC16" s="913">
        <f>'Energy NPV'!U69</f>
        <v>1840.1999999999998</v>
      </c>
      <c r="CD16" s="197"/>
      <c r="CE16" s="197">
        <f t="shared" si="48"/>
        <v>1840.1999999999998</v>
      </c>
      <c r="CF16" s="197">
        <f t="shared" si="6"/>
        <v>4421.3630000000003</v>
      </c>
      <c r="CG16" s="197">
        <f t="shared" si="7"/>
        <v>4893.0030000000006</v>
      </c>
      <c r="CH16" s="196">
        <f t="shared" si="49"/>
        <v>5352.4102947966621</v>
      </c>
      <c r="CI16" s="197">
        <f t="shared" si="50"/>
        <v>403.15984865725983</v>
      </c>
      <c r="CJ16" s="197">
        <f t="shared" si="51"/>
        <v>1573.0106723329011</v>
      </c>
      <c r="CK16" s="197">
        <f t="shared" si="52"/>
        <v>3779.3996224637613</v>
      </c>
      <c r="CL16" s="199">
        <f t="shared" si="53"/>
        <v>4182.5594711210215</v>
      </c>
      <c r="CM16" s="196">
        <f t="shared" si="75"/>
        <v>21753.30603491576</v>
      </c>
      <c r="CN16" s="197">
        <f t="shared" si="54"/>
        <v>2183.6437835685024</v>
      </c>
      <c r="CO16" s="197">
        <f t="shared" si="55"/>
        <v>36557.548280434865</v>
      </c>
      <c r="CP16" s="197">
        <f t="shared" si="56"/>
        <v>-14804.242245519099</v>
      </c>
      <c r="CQ16" s="199">
        <f t="shared" si="57"/>
        <v>-12620.598461950598</v>
      </c>
      <c r="CT16" s="204">
        <f t="shared" si="76"/>
        <v>5</v>
      </c>
      <c r="CU16" s="197">
        <f t="shared" si="58"/>
        <v>11.617000000000001</v>
      </c>
      <c r="CV16" s="197">
        <f>'Energy Inputs'!$F$58*$CV$8</f>
        <v>0</v>
      </c>
      <c r="CW16" s="197">
        <f t="shared" si="59"/>
        <v>0</v>
      </c>
      <c r="CX16" s="197">
        <f>'Margins summary'!$U$14</f>
        <v>471.64</v>
      </c>
      <c r="CY16" s="197">
        <f t="shared" si="60"/>
        <v>471.64</v>
      </c>
      <c r="CZ16" s="197"/>
      <c r="DA16" s="913">
        <f>'Energy NPV'!U69</f>
        <v>1840.1999999999998</v>
      </c>
      <c r="DB16" s="197"/>
      <c r="DC16" s="197">
        <f t="shared" si="61"/>
        <v>1840.1999999999998</v>
      </c>
      <c r="DD16" s="197">
        <f t="shared" si="8"/>
        <v>-1840.1999999999998</v>
      </c>
      <c r="DE16" s="197">
        <f t="shared" si="9"/>
        <v>-1368.56</v>
      </c>
      <c r="DF16" s="196">
        <f t="shared" si="62"/>
        <v>0</v>
      </c>
      <c r="DG16" s="197">
        <f t="shared" si="63"/>
        <v>403.15984865725983</v>
      </c>
      <c r="DH16" s="197">
        <f t="shared" si="64"/>
        <v>1573.0106723329011</v>
      </c>
      <c r="DI16" s="197">
        <f t="shared" si="65"/>
        <v>-1573.0106723329011</v>
      </c>
      <c r="DJ16" s="199">
        <f t="shared" si="66"/>
        <v>-1169.8508236756413</v>
      </c>
      <c r="DK16" s="196">
        <f t="shared" si="77"/>
        <v>0</v>
      </c>
      <c r="DL16" s="197">
        <f t="shared" si="67"/>
        <v>2183.6437835685024</v>
      </c>
      <c r="DM16" s="197">
        <f t="shared" si="68"/>
        <v>36557.548280434865</v>
      </c>
      <c r="DN16" s="197">
        <f t="shared" si="69"/>
        <v>-36557.548280434865</v>
      </c>
      <c r="DO16" s="199">
        <f t="shared" si="70"/>
        <v>-34373.904496866358</v>
      </c>
    </row>
    <row r="17" spans="2:119" x14ac:dyDescent="0.3">
      <c r="B17" s="204">
        <f t="shared" si="71"/>
        <v>6</v>
      </c>
      <c r="C17" s="197">
        <f>'Energy NPV'!$D70</f>
        <v>11.617000000000001</v>
      </c>
      <c r="D17" s="197">
        <f>'Energy Inputs'!$F$58*$E$8</f>
        <v>269.5</v>
      </c>
      <c r="E17" s="197">
        <f t="shared" si="10"/>
        <v>3130.7815000000001</v>
      </c>
      <c r="F17" s="197">
        <f>'Margins summary'!$U$14</f>
        <v>471.64</v>
      </c>
      <c r="G17" s="197">
        <f t="shared" si="11"/>
        <v>3602.4214999999999</v>
      </c>
      <c r="H17" s="197"/>
      <c r="I17" s="913">
        <f>'Energy NPV'!U70</f>
        <v>1840.1999999999998</v>
      </c>
      <c r="J17" s="197"/>
      <c r="K17" s="197">
        <f t="shared" si="12"/>
        <v>1840.1999999999998</v>
      </c>
      <c r="L17" s="197">
        <f t="shared" si="0"/>
        <v>1290.5815000000002</v>
      </c>
      <c r="M17" s="197">
        <f t="shared" si="1"/>
        <v>1762.2215000000001</v>
      </c>
      <c r="N17" s="196">
        <f t="shared" si="13"/>
        <v>2573.2741801907027</v>
      </c>
      <c r="O17" s="197">
        <f t="shared" si="14"/>
        <v>387.65370063198054</v>
      </c>
      <c r="P17" s="197">
        <f t="shared" si="15"/>
        <v>1512.5102618585586</v>
      </c>
      <c r="Q17" s="197">
        <f t="shared" si="16"/>
        <v>1060.7639183321442</v>
      </c>
      <c r="R17" s="199">
        <f t="shared" si="17"/>
        <v>1448.4176189641248</v>
      </c>
      <c r="S17" s="196">
        <f t="shared" si="72"/>
        <v>13449.927197648583</v>
      </c>
      <c r="T17" s="197">
        <f t="shared" si="18"/>
        <v>2571.2974842004828</v>
      </c>
      <c r="U17" s="197">
        <f t="shared" si="18"/>
        <v>38070.058542293424</v>
      </c>
      <c r="V17" s="197">
        <f t="shared" si="18"/>
        <v>-24620.131344644837</v>
      </c>
      <c r="W17" s="199">
        <f t="shared" si="18"/>
        <v>-22048.833860444349</v>
      </c>
      <c r="Z17" s="895">
        <v>6</v>
      </c>
      <c r="AA17" s="197">
        <f t="shared" si="19"/>
        <v>11.617000000000001</v>
      </c>
      <c r="AB17" s="197">
        <f>'Energy Inputs'!$F$58*$AB$8</f>
        <v>404.25</v>
      </c>
      <c r="AC17" s="197">
        <f t="shared" si="20"/>
        <v>4696.1722500000005</v>
      </c>
      <c r="AD17" s="197">
        <f>'Margins summary'!$U$14</f>
        <v>471.64</v>
      </c>
      <c r="AE17" s="197">
        <f t="shared" si="21"/>
        <v>5167.8122500000009</v>
      </c>
      <c r="AF17" s="197"/>
      <c r="AG17" s="913">
        <f>'Energy NPV'!U70</f>
        <v>1840.1999999999998</v>
      </c>
      <c r="AH17" s="197"/>
      <c r="AI17" s="197">
        <f t="shared" si="22"/>
        <v>1840.1999999999998</v>
      </c>
      <c r="AJ17" s="197">
        <f t="shared" si="2"/>
        <v>2855.9722500000007</v>
      </c>
      <c r="AK17" s="197">
        <f t="shared" si="3"/>
        <v>3327.612250000001</v>
      </c>
      <c r="AL17" s="196">
        <f t="shared" si="23"/>
        <v>3859.9112702860548</v>
      </c>
      <c r="AM17" s="197">
        <f t="shared" si="24"/>
        <v>387.65370063198054</v>
      </c>
      <c r="AN17" s="197">
        <f t="shared" si="25"/>
        <v>1512.5102618585586</v>
      </c>
      <c r="AO17" s="197">
        <f t="shared" si="26"/>
        <v>2347.401008427496</v>
      </c>
      <c r="AP17" s="199">
        <f t="shared" si="27"/>
        <v>2735.0547090594769</v>
      </c>
      <c r="AQ17" s="196">
        <f t="shared" si="73"/>
        <v>20174.890796472879</v>
      </c>
      <c r="AR17" s="197">
        <f t="shared" si="28"/>
        <v>2571.2974842004828</v>
      </c>
      <c r="AS17" s="197">
        <f t="shared" si="29"/>
        <v>38070.058542293424</v>
      </c>
      <c r="AT17" s="197">
        <f t="shared" si="30"/>
        <v>-17895.167745820541</v>
      </c>
      <c r="AU17" s="199">
        <f t="shared" si="31"/>
        <v>-15323.870261620057</v>
      </c>
      <c r="AX17" s="895">
        <v>6</v>
      </c>
      <c r="AY17" s="197">
        <f t="shared" si="32"/>
        <v>11.617000000000001</v>
      </c>
      <c r="AZ17" s="197">
        <f>'Energy Inputs'!$F$58*$AZ$8</f>
        <v>134.75</v>
      </c>
      <c r="BA17" s="197">
        <f t="shared" si="33"/>
        <v>1565.39075</v>
      </c>
      <c r="BB17" s="197">
        <f>'Margins summary'!$U$14</f>
        <v>471.64</v>
      </c>
      <c r="BC17" s="197">
        <f t="shared" si="34"/>
        <v>2037.0307499999999</v>
      </c>
      <c r="BD17" s="197"/>
      <c r="BE17" s="913">
        <f>'Energy NPV'!U70</f>
        <v>1840.1999999999998</v>
      </c>
      <c r="BF17" s="197"/>
      <c r="BG17" s="197">
        <f t="shared" si="35"/>
        <v>1840.1999999999998</v>
      </c>
      <c r="BH17" s="197">
        <f t="shared" si="4"/>
        <v>-274.80924999999979</v>
      </c>
      <c r="BI17" s="197">
        <f t="shared" si="5"/>
        <v>196.83075000000008</v>
      </c>
      <c r="BJ17" s="196">
        <f t="shared" si="36"/>
        <v>1286.6370900953514</v>
      </c>
      <c r="BK17" s="197">
        <f t="shared" si="37"/>
        <v>387.65370063198054</v>
      </c>
      <c r="BL17" s="197">
        <f t="shared" si="38"/>
        <v>1512.5102618585586</v>
      </c>
      <c r="BM17" s="197">
        <f t="shared" si="39"/>
        <v>-225.87317176320715</v>
      </c>
      <c r="BN17" s="199">
        <f t="shared" si="40"/>
        <v>161.7805288687733</v>
      </c>
      <c r="BO17" s="196">
        <f t="shared" si="74"/>
        <v>6724.9635988242917</v>
      </c>
      <c r="BP17" s="197">
        <f t="shared" si="41"/>
        <v>2571.2974842004828</v>
      </c>
      <c r="BQ17" s="197">
        <f t="shared" si="42"/>
        <v>38070.058542293424</v>
      </c>
      <c r="BR17" s="197">
        <f t="shared" si="43"/>
        <v>-31345.094943469125</v>
      </c>
      <c r="BS17" s="199">
        <f t="shared" si="44"/>
        <v>-28773.797459268644</v>
      </c>
      <c r="BV17" s="895">
        <v>6</v>
      </c>
      <c r="BW17" s="197">
        <f t="shared" si="45"/>
        <v>11.617000000000001</v>
      </c>
      <c r="BX17" s="197">
        <f>'Energy Inputs'!$F$58*$BX$8</f>
        <v>539</v>
      </c>
      <c r="BY17" s="197">
        <f t="shared" si="46"/>
        <v>6261.5630000000001</v>
      </c>
      <c r="BZ17" s="197">
        <f>'Margins summary'!$U$14</f>
        <v>471.64</v>
      </c>
      <c r="CA17" s="197">
        <f t="shared" si="47"/>
        <v>6733.2030000000004</v>
      </c>
      <c r="CB17" s="197"/>
      <c r="CC17" s="913">
        <f>'Energy NPV'!U70</f>
        <v>1840.1999999999998</v>
      </c>
      <c r="CD17" s="197"/>
      <c r="CE17" s="197">
        <f t="shared" si="48"/>
        <v>1840.1999999999998</v>
      </c>
      <c r="CF17" s="197">
        <f t="shared" si="6"/>
        <v>4421.3630000000003</v>
      </c>
      <c r="CG17" s="197">
        <f t="shared" si="7"/>
        <v>4893.0030000000006</v>
      </c>
      <c r="CH17" s="196">
        <f t="shared" si="49"/>
        <v>5146.5483603814055</v>
      </c>
      <c r="CI17" s="197">
        <f t="shared" si="50"/>
        <v>387.65370063198054</v>
      </c>
      <c r="CJ17" s="197">
        <f t="shared" si="51"/>
        <v>1512.5102618585586</v>
      </c>
      <c r="CK17" s="197">
        <f t="shared" si="52"/>
        <v>3634.0380985228471</v>
      </c>
      <c r="CL17" s="199">
        <f t="shared" si="53"/>
        <v>4021.691799154828</v>
      </c>
      <c r="CM17" s="196">
        <f t="shared" si="75"/>
        <v>26899.854395297167</v>
      </c>
      <c r="CN17" s="197">
        <f t="shared" si="54"/>
        <v>2571.2974842004828</v>
      </c>
      <c r="CO17" s="197">
        <f t="shared" si="55"/>
        <v>38070.058542293424</v>
      </c>
      <c r="CP17" s="197">
        <f t="shared" si="56"/>
        <v>-11170.204146996251</v>
      </c>
      <c r="CQ17" s="199">
        <f t="shared" si="57"/>
        <v>-8598.9066627957691</v>
      </c>
      <c r="CT17" s="204">
        <f t="shared" si="76"/>
        <v>6</v>
      </c>
      <c r="CU17" s="197">
        <f t="shared" si="58"/>
        <v>11.617000000000001</v>
      </c>
      <c r="CV17" s="197">
        <f>'Energy Inputs'!$F$58*$CV$8</f>
        <v>0</v>
      </c>
      <c r="CW17" s="197">
        <f t="shared" si="59"/>
        <v>0</v>
      </c>
      <c r="CX17" s="197">
        <f>'Margins summary'!$U$14</f>
        <v>471.64</v>
      </c>
      <c r="CY17" s="197">
        <f t="shared" si="60"/>
        <v>471.64</v>
      </c>
      <c r="CZ17" s="197"/>
      <c r="DA17" s="913">
        <f>'Energy NPV'!U70</f>
        <v>1840.1999999999998</v>
      </c>
      <c r="DB17" s="197"/>
      <c r="DC17" s="197">
        <f t="shared" si="61"/>
        <v>1840.1999999999998</v>
      </c>
      <c r="DD17" s="197">
        <f t="shared" si="8"/>
        <v>-1840.1999999999998</v>
      </c>
      <c r="DE17" s="197">
        <f t="shared" si="9"/>
        <v>-1368.56</v>
      </c>
      <c r="DF17" s="196">
        <f t="shared" si="62"/>
        <v>0</v>
      </c>
      <c r="DG17" s="197">
        <f t="shared" si="63"/>
        <v>387.65370063198054</v>
      </c>
      <c r="DH17" s="197">
        <f t="shared" si="64"/>
        <v>1512.5102618585586</v>
      </c>
      <c r="DI17" s="197">
        <f t="shared" si="65"/>
        <v>-1512.5102618585586</v>
      </c>
      <c r="DJ17" s="199">
        <f t="shared" si="66"/>
        <v>-1124.8565612265782</v>
      </c>
      <c r="DK17" s="196">
        <f t="shared" si="77"/>
        <v>0</v>
      </c>
      <c r="DL17" s="197">
        <f t="shared" si="67"/>
        <v>2571.2974842004828</v>
      </c>
      <c r="DM17" s="197">
        <f t="shared" si="68"/>
        <v>38070.058542293424</v>
      </c>
      <c r="DN17" s="197">
        <f t="shared" si="69"/>
        <v>-38070.058542293424</v>
      </c>
      <c r="DO17" s="199">
        <f t="shared" si="70"/>
        <v>-35498.761058092939</v>
      </c>
    </row>
    <row r="18" spans="2:119" x14ac:dyDescent="0.3">
      <c r="B18" s="204">
        <f t="shared" si="71"/>
        <v>7</v>
      </c>
      <c r="C18" s="197">
        <f>'Energy NPV'!$D71</f>
        <v>11.617000000000001</v>
      </c>
      <c r="D18" s="197">
        <f>'Energy Inputs'!$F$58*$E$8</f>
        <v>269.5</v>
      </c>
      <c r="E18" s="197">
        <f t="shared" si="10"/>
        <v>3130.7815000000001</v>
      </c>
      <c r="F18" s="197">
        <f>'Margins summary'!$U$14</f>
        <v>471.64</v>
      </c>
      <c r="G18" s="197">
        <f t="shared" si="11"/>
        <v>3602.4214999999999</v>
      </c>
      <c r="H18" s="197"/>
      <c r="I18" s="913">
        <f>'Energy NPV'!U71</f>
        <v>1840.1999999999998</v>
      </c>
      <c r="J18" s="197"/>
      <c r="K18" s="197">
        <f t="shared" si="12"/>
        <v>1840.1999999999998</v>
      </c>
      <c r="L18" s="197">
        <f t="shared" si="0"/>
        <v>1290.5815000000002</v>
      </c>
      <c r="M18" s="197">
        <f t="shared" si="1"/>
        <v>1762.2215000000001</v>
      </c>
      <c r="N18" s="196">
        <f t="shared" si="13"/>
        <v>2474.3020963372142</v>
      </c>
      <c r="O18" s="197">
        <f t="shared" si="14"/>
        <v>372.74394291536589</v>
      </c>
      <c r="P18" s="197">
        <f t="shared" si="15"/>
        <v>1454.3367902486141</v>
      </c>
      <c r="Q18" s="197">
        <f t="shared" si="16"/>
        <v>1019.9653060886002</v>
      </c>
      <c r="R18" s="199">
        <f t="shared" si="17"/>
        <v>1392.7092490039661</v>
      </c>
      <c r="S18" s="196">
        <f t="shared" si="72"/>
        <v>15924.229293985798</v>
      </c>
      <c r="T18" s="197">
        <f t="shared" si="18"/>
        <v>2944.0414271158488</v>
      </c>
      <c r="U18" s="197">
        <f t="shared" si="18"/>
        <v>39524.395332542037</v>
      </c>
      <c r="V18" s="197">
        <f t="shared" si="18"/>
        <v>-23600.166038556235</v>
      </c>
      <c r="W18" s="199">
        <f t="shared" si="18"/>
        <v>-20656.124611440384</v>
      </c>
      <c r="Z18" s="895">
        <v>7</v>
      </c>
      <c r="AA18" s="197">
        <f t="shared" si="19"/>
        <v>11.617000000000001</v>
      </c>
      <c r="AB18" s="197">
        <f>'Energy Inputs'!$F$58*$AB$8</f>
        <v>404.25</v>
      </c>
      <c r="AC18" s="197">
        <f t="shared" si="20"/>
        <v>4696.1722500000005</v>
      </c>
      <c r="AD18" s="197">
        <f>'Margins summary'!$U$14</f>
        <v>471.64</v>
      </c>
      <c r="AE18" s="197">
        <f t="shared" si="21"/>
        <v>5167.8122500000009</v>
      </c>
      <c r="AF18" s="197"/>
      <c r="AG18" s="913">
        <f>'Energy NPV'!U71</f>
        <v>1840.1999999999998</v>
      </c>
      <c r="AH18" s="197"/>
      <c r="AI18" s="197">
        <f t="shared" si="22"/>
        <v>1840.1999999999998</v>
      </c>
      <c r="AJ18" s="197">
        <f t="shared" si="2"/>
        <v>2855.9722500000007</v>
      </c>
      <c r="AK18" s="197">
        <f t="shared" si="3"/>
        <v>3327.612250000001</v>
      </c>
      <c r="AL18" s="196">
        <f t="shared" si="23"/>
        <v>3711.4531445058219</v>
      </c>
      <c r="AM18" s="197">
        <f t="shared" si="24"/>
        <v>372.74394291536589</v>
      </c>
      <c r="AN18" s="197">
        <f t="shared" si="25"/>
        <v>1454.3367902486141</v>
      </c>
      <c r="AO18" s="197">
        <f t="shared" si="26"/>
        <v>2257.1163542572076</v>
      </c>
      <c r="AP18" s="199">
        <f t="shared" si="27"/>
        <v>2629.8602971725741</v>
      </c>
      <c r="AQ18" s="196">
        <f t="shared" si="73"/>
        <v>23886.343940978702</v>
      </c>
      <c r="AR18" s="197">
        <f t="shared" si="28"/>
        <v>2944.0414271158488</v>
      </c>
      <c r="AS18" s="197">
        <f t="shared" si="29"/>
        <v>39524.395332542037</v>
      </c>
      <c r="AT18" s="197">
        <f t="shared" si="30"/>
        <v>-15638.051391563335</v>
      </c>
      <c r="AU18" s="199">
        <f t="shared" si="31"/>
        <v>-12694.009964447483</v>
      </c>
      <c r="AX18" s="895">
        <v>7</v>
      </c>
      <c r="AY18" s="197">
        <f t="shared" si="32"/>
        <v>11.617000000000001</v>
      </c>
      <c r="AZ18" s="197">
        <f>'Energy Inputs'!$F$58*$AZ$8</f>
        <v>134.75</v>
      </c>
      <c r="BA18" s="197">
        <f t="shared" si="33"/>
        <v>1565.39075</v>
      </c>
      <c r="BB18" s="197">
        <f>'Margins summary'!$U$14</f>
        <v>471.64</v>
      </c>
      <c r="BC18" s="197">
        <f t="shared" si="34"/>
        <v>2037.0307499999999</v>
      </c>
      <c r="BD18" s="197"/>
      <c r="BE18" s="913">
        <f>'Energy NPV'!U71</f>
        <v>1840.1999999999998</v>
      </c>
      <c r="BF18" s="197"/>
      <c r="BG18" s="197">
        <f t="shared" si="35"/>
        <v>1840.1999999999998</v>
      </c>
      <c r="BH18" s="197">
        <f t="shared" si="4"/>
        <v>-274.80924999999979</v>
      </c>
      <c r="BI18" s="197">
        <f t="shared" si="5"/>
        <v>196.83075000000008</v>
      </c>
      <c r="BJ18" s="196">
        <f t="shared" si="36"/>
        <v>1237.1510481686071</v>
      </c>
      <c r="BK18" s="197">
        <f t="shared" si="37"/>
        <v>372.74394291536589</v>
      </c>
      <c r="BL18" s="197">
        <f t="shared" si="38"/>
        <v>1454.3367902486141</v>
      </c>
      <c r="BM18" s="197">
        <f t="shared" si="39"/>
        <v>-217.18574208000689</v>
      </c>
      <c r="BN18" s="199">
        <f t="shared" si="40"/>
        <v>155.55820083535895</v>
      </c>
      <c r="BO18" s="196">
        <f t="shared" si="74"/>
        <v>7962.114646992899</v>
      </c>
      <c r="BP18" s="197">
        <f t="shared" si="41"/>
        <v>2944.0414271158488</v>
      </c>
      <c r="BQ18" s="197">
        <f t="shared" si="42"/>
        <v>39524.395332542037</v>
      </c>
      <c r="BR18" s="197">
        <f t="shared" si="43"/>
        <v>-31562.280685549133</v>
      </c>
      <c r="BS18" s="199">
        <f t="shared" si="44"/>
        <v>-28618.239258433285</v>
      </c>
      <c r="BV18" s="895">
        <v>7</v>
      </c>
      <c r="BW18" s="197">
        <f t="shared" si="45"/>
        <v>11.617000000000001</v>
      </c>
      <c r="BX18" s="197">
        <f>'Energy Inputs'!$F$58*$BX$8</f>
        <v>539</v>
      </c>
      <c r="BY18" s="197">
        <f t="shared" si="46"/>
        <v>6261.5630000000001</v>
      </c>
      <c r="BZ18" s="197">
        <f>'Margins summary'!$U$14</f>
        <v>471.64</v>
      </c>
      <c r="CA18" s="197">
        <f t="shared" si="47"/>
        <v>6733.2030000000004</v>
      </c>
      <c r="CB18" s="197"/>
      <c r="CC18" s="913">
        <f>'Energy NPV'!U71</f>
        <v>1840.1999999999998</v>
      </c>
      <c r="CD18" s="197"/>
      <c r="CE18" s="197">
        <f t="shared" si="48"/>
        <v>1840.1999999999998</v>
      </c>
      <c r="CF18" s="197">
        <f t="shared" si="6"/>
        <v>4421.3630000000003</v>
      </c>
      <c r="CG18" s="197">
        <f t="shared" si="7"/>
        <v>4893.0030000000006</v>
      </c>
      <c r="CH18" s="196">
        <f t="shared" si="49"/>
        <v>4948.6041926744283</v>
      </c>
      <c r="CI18" s="197">
        <f t="shared" si="50"/>
        <v>372.74394291536589</v>
      </c>
      <c r="CJ18" s="197">
        <f t="shared" si="51"/>
        <v>1454.3367902486141</v>
      </c>
      <c r="CK18" s="197">
        <f t="shared" si="52"/>
        <v>3494.2674024258145</v>
      </c>
      <c r="CL18" s="199">
        <f t="shared" si="53"/>
        <v>3867.0113453411805</v>
      </c>
      <c r="CM18" s="196">
        <f t="shared" si="75"/>
        <v>31848.458587971596</v>
      </c>
      <c r="CN18" s="197">
        <f t="shared" si="54"/>
        <v>2944.0414271158488</v>
      </c>
      <c r="CO18" s="197">
        <f t="shared" si="55"/>
        <v>39524.395332542037</v>
      </c>
      <c r="CP18" s="197">
        <f t="shared" si="56"/>
        <v>-7675.9367445704374</v>
      </c>
      <c r="CQ18" s="199">
        <f t="shared" si="57"/>
        <v>-4731.8953174545886</v>
      </c>
      <c r="CT18" s="204">
        <f t="shared" si="76"/>
        <v>7</v>
      </c>
      <c r="CU18" s="197">
        <f t="shared" si="58"/>
        <v>11.617000000000001</v>
      </c>
      <c r="CV18" s="197">
        <f>'Energy Inputs'!$F$58*$CV$8</f>
        <v>0</v>
      </c>
      <c r="CW18" s="197">
        <f t="shared" si="59"/>
        <v>0</v>
      </c>
      <c r="CX18" s="197">
        <f>'Margins summary'!$U$14</f>
        <v>471.64</v>
      </c>
      <c r="CY18" s="197">
        <f t="shared" si="60"/>
        <v>471.64</v>
      </c>
      <c r="CZ18" s="197"/>
      <c r="DA18" s="913">
        <f>'Energy NPV'!U71</f>
        <v>1840.1999999999998</v>
      </c>
      <c r="DB18" s="197"/>
      <c r="DC18" s="197">
        <f t="shared" si="61"/>
        <v>1840.1999999999998</v>
      </c>
      <c r="DD18" s="197">
        <f t="shared" si="8"/>
        <v>-1840.1999999999998</v>
      </c>
      <c r="DE18" s="197">
        <f t="shared" si="9"/>
        <v>-1368.56</v>
      </c>
      <c r="DF18" s="196">
        <f t="shared" si="62"/>
        <v>0</v>
      </c>
      <c r="DG18" s="197">
        <f t="shared" si="63"/>
        <v>372.74394291536589</v>
      </c>
      <c r="DH18" s="197">
        <f t="shared" si="64"/>
        <v>1454.3367902486141</v>
      </c>
      <c r="DI18" s="197">
        <f t="shared" si="65"/>
        <v>-1454.3367902486141</v>
      </c>
      <c r="DJ18" s="199">
        <f t="shared" si="66"/>
        <v>-1081.5928473332481</v>
      </c>
      <c r="DK18" s="196">
        <f t="shared" si="77"/>
        <v>0</v>
      </c>
      <c r="DL18" s="197">
        <f t="shared" si="67"/>
        <v>2944.0414271158488</v>
      </c>
      <c r="DM18" s="197">
        <f t="shared" si="68"/>
        <v>39524.395332542037</v>
      </c>
      <c r="DN18" s="197">
        <f t="shared" si="69"/>
        <v>-39524.395332542037</v>
      </c>
      <c r="DO18" s="199">
        <f t="shared" si="70"/>
        <v>-36580.353905426186</v>
      </c>
    </row>
    <row r="19" spans="2:119" x14ac:dyDescent="0.3">
      <c r="B19" s="204">
        <f t="shared" si="71"/>
        <v>8</v>
      </c>
      <c r="C19" s="197">
        <f>'Energy NPV'!$D72</f>
        <v>11.617000000000001</v>
      </c>
      <c r="D19" s="197">
        <f>'Energy Inputs'!$F$58*$E$8</f>
        <v>269.5</v>
      </c>
      <c r="E19" s="197">
        <f t="shared" si="10"/>
        <v>3130.7815000000001</v>
      </c>
      <c r="F19" s="197">
        <f>'Margins summary'!$U$14</f>
        <v>471.64</v>
      </c>
      <c r="G19" s="197">
        <f t="shared" si="11"/>
        <v>3602.4214999999999</v>
      </c>
      <c r="H19" s="197"/>
      <c r="I19" s="913">
        <f>'Energy NPV'!U72</f>
        <v>1840.1999999999998</v>
      </c>
      <c r="J19" s="197"/>
      <c r="K19" s="197">
        <f t="shared" si="12"/>
        <v>1840.1999999999998</v>
      </c>
      <c r="L19" s="197">
        <f t="shared" si="0"/>
        <v>1290.5815000000002</v>
      </c>
      <c r="M19" s="197">
        <f t="shared" si="1"/>
        <v>1762.2215000000001</v>
      </c>
      <c r="N19" s="196">
        <f t="shared" si="13"/>
        <v>2379.1366310934754</v>
      </c>
      <c r="O19" s="197">
        <f t="shared" si="14"/>
        <v>358.40763741862111</v>
      </c>
      <c r="P19" s="197">
        <f t="shared" si="15"/>
        <v>1398.4007598544367</v>
      </c>
      <c r="Q19" s="197">
        <f t="shared" si="16"/>
        <v>980.73587123903883</v>
      </c>
      <c r="R19" s="199">
        <f t="shared" si="17"/>
        <v>1339.1435086576598</v>
      </c>
      <c r="S19" s="196">
        <f t="shared" si="72"/>
        <v>18303.365925079273</v>
      </c>
      <c r="T19" s="197">
        <f t="shared" si="18"/>
        <v>3302.4490645344699</v>
      </c>
      <c r="U19" s="197">
        <f t="shared" si="18"/>
        <v>40922.796092396471</v>
      </c>
      <c r="V19" s="197">
        <f t="shared" si="18"/>
        <v>-22619.430167317198</v>
      </c>
      <c r="W19" s="199">
        <f t="shared" si="18"/>
        <v>-19316.981102782724</v>
      </c>
      <c r="Z19" s="895">
        <v>8</v>
      </c>
      <c r="AA19" s="197">
        <f t="shared" si="19"/>
        <v>11.617000000000001</v>
      </c>
      <c r="AB19" s="197">
        <f>'Energy Inputs'!$F$58*$AB$8</f>
        <v>404.25</v>
      </c>
      <c r="AC19" s="197">
        <f t="shared" si="20"/>
        <v>4696.1722500000005</v>
      </c>
      <c r="AD19" s="197">
        <f>'Margins summary'!$U$14</f>
        <v>471.64</v>
      </c>
      <c r="AE19" s="197">
        <f t="shared" si="21"/>
        <v>5167.8122500000009</v>
      </c>
      <c r="AF19" s="197"/>
      <c r="AG19" s="913">
        <f>'Energy NPV'!U72</f>
        <v>1840.1999999999998</v>
      </c>
      <c r="AH19" s="197"/>
      <c r="AI19" s="197">
        <f t="shared" si="22"/>
        <v>1840.1999999999998</v>
      </c>
      <c r="AJ19" s="197">
        <f t="shared" si="2"/>
        <v>2855.9722500000007</v>
      </c>
      <c r="AK19" s="197">
        <f t="shared" si="3"/>
        <v>3327.612250000001</v>
      </c>
      <c r="AL19" s="196">
        <f t="shared" si="23"/>
        <v>3568.7049466402136</v>
      </c>
      <c r="AM19" s="197">
        <f t="shared" si="24"/>
        <v>358.40763741862111</v>
      </c>
      <c r="AN19" s="197">
        <f t="shared" si="25"/>
        <v>1398.4007598544367</v>
      </c>
      <c r="AO19" s="197">
        <f t="shared" si="26"/>
        <v>2170.3041867857769</v>
      </c>
      <c r="AP19" s="199">
        <f t="shared" si="27"/>
        <v>2528.711824204398</v>
      </c>
      <c r="AQ19" s="196">
        <f t="shared" si="73"/>
        <v>27455.048887618916</v>
      </c>
      <c r="AR19" s="197">
        <f t="shared" si="28"/>
        <v>3302.4490645344699</v>
      </c>
      <c r="AS19" s="197">
        <f t="shared" si="29"/>
        <v>40922.796092396471</v>
      </c>
      <c r="AT19" s="197">
        <f t="shared" si="30"/>
        <v>-13467.747204777557</v>
      </c>
      <c r="AU19" s="199">
        <f t="shared" si="31"/>
        <v>-10165.298140243085</v>
      </c>
      <c r="AX19" s="895">
        <v>8</v>
      </c>
      <c r="AY19" s="197">
        <f t="shared" si="32"/>
        <v>11.617000000000001</v>
      </c>
      <c r="AZ19" s="197">
        <f>'Energy Inputs'!$F$58*$AZ$8</f>
        <v>134.75</v>
      </c>
      <c r="BA19" s="197">
        <f t="shared" si="33"/>
        <v>1565.39075</v>
      </c>
      <c r="BB19" s="197">
        <f>'Margins summary'!$U$14</f>
        <v>471.64</v>
      </c>
      <c r="BC19" s="197">
        <f t="shared" si="34"/>
        <v>2037.0307499999999</v>
      </c>
      <c r="BD19" s="197"/>
      <c r="BE19" s="913">
        <f>'Energy NPV'!U72</f>
        <v>1840.1999999999998</v>
      </c>
      <c r="BF19" s="197"/>
      <c r="BG19" s="197">
        <f t="shared" si="35"/>
        <v>1840.1999999999998</v>
      </c>
      <c r="BH19" s="197">
        <f t="shared" si="4"/>
        <v>-274.80924999999979</v>
      </c>
      <c r="BI19" s="197">
        <f t="shared" si="5"/>
        <v>196.83075000000008</v>
      </c>
      <c r="BJ19" s="196">
        <f t="shared" si="36"/>
        <v>1189.5683155467377</v>
      </c>
      <c r="BK19" s="197">
        <f t="shared" si="37"/>
        <v>358.40763741862111</v>
      </c>
      <c r="BL19" s="197">
        <f t="shared" si="38"/>
        <v>1398.4007598544367</v>
      </c>
      <c r="BM19" s="197">
        <f t="shared" si="39"/>
        <v>-208.83244430769895</v>
      </c>
      <c r="BN19" s="199">
        <f t="shared" si="40"/>
        <v>149.57519311092207</v>
      </c>
      <c r="BO19" s="196">
        <f t="shared" si="74"/>
        <v>9151.6829625396367</v>
      </c>
      <c r="BP19" s="197">
        <f t="shared" si="41"/>
        <v>3302.4490645344699</v>
      </c>
      <c r="BQ19" s="197">
        <f t="shared" si="42"/>
        <v>40922.796092396471</v>
      </c>
      <c r="BR19" s="197">
        <f t="shared" si="43"/>
        <v>-31771.113129856833</v>
      </c>
      <c r="BS19" s="199">
        <f t="shared" si="44"/>
        <v>-28468.664065322362</v>
      </c>
      <c r="BV19" s="895">
        <v>8</v>
      </c>
      <c r="BW19" s="197">
        <f t="shared" si="45"/>
        <v>11.617000000000001</v>
      </c>
      <c r="BX19" s="197">
        <f>'Energy Inputs'!$F$58*$BX$8</f>
        <v>539</v>
      </c>
      <c r="BY19" s="197">
        <f t="shared" si="46"/>
        <v>6261.5630000000001</v>
      </c>
      <c r="BZ19" s="197">
        <f>'Margins summary'!$U$14</f>
        <v>471.64</v>
      </c>
      <c r="CA19" s="197">
        <f t="shared" si="47"/>
        <v>6733.2030000000004</v>
      </c>
      <c r="CB19" s="197"/>
      <c r="CC19" s="913">
        <f>'Energy NPV'!U72</f>
        <v>1840.1999999999998</v>
      </c>
      <c r="CD19" s="197"/>
      <c r="CE19" s="197">
        <f t="shared" si="48"/>
        <v>1840.1999999999998</v>
      </c>
      <c r="CF19" s="197">
        <f t="shared" si="6"/>
        <v>4421.3630000000003</v>
      </c>
      <c r="CG19" s="197">
        <f t="shared" si="7"/>
        <v>4893.0030000000006</v>
      </c>
      <c r="CH19" s="196">
        <f t="shared" si="49"/>
        <v>4758.2732621869509</v>
      </c>
      <c r="CI19" s="197">
        <f t="shared" si="50"/>
        <v>358.40763741862111</v>
      </c>
      <c r="CJ19" s="197">
        <f t="shared" si="51"/>
        <v>1398.4007598544367</v>
      </c>
      <c r="CK19" s="197">
        <f t="shared" si="52"/>
        <v>3359.8725023325142</v>
      </c>
      <c r="CL19" s="199">
        <f t="shared" si="53"/>
        <v>3718.2801397511357</v>
      </c>
      <c r="CM19" s="196">
        <f t="shared" si="75"/>
        <v>36606.731850158547</v>
      </c>
      <c r="CN19" s="197">
        <f t="shared" si="54"/>
        <v>3302.4490645344699</v>
      </c>
      <c r="CO19" s="197">
        <f t="shared" si="55"/>
        <v>40922.796092396471</v>
      </c>
      <c r="CP19" s="197">
        <f t="shared" si="56"/>
        <v>-4316.0642422379233</v>
      </c>
      <c r="CQ19" s="199">
        <f t="shared" si="57"/>
        <v>-1013.6151777034529</v>
      </c>
      <c r="CT19" s="204">
        <f t="shared" si="76"/>
        <v>8</v>
      </c>
      <c r="CU19" s="197">
        <f t="shared" si="58"/>
        <v>11.617000000000001</v>
      </c>
      <c r="CV19" s="197">
        <f>'Energy Inputs'!$F$58*$CV$8</f>
        <v>0</v>
      </c>
      <c r="CW19" s="197">
        <f t="shared" si="59"/>
        <v>0</v>
      </c>
      <c r="CX19" s="197">
        <f>'Margins summary'!$U$14</f>
        <v>471.64</v>
      </c>
      <c r="CY19" s="197">
        <f t="shared" si="60"/>
        <v>471.64</v>
      </c>
      <c r="CZ19" s="197"/>
      <c r="DA19" s="913">
        <f>'Energy NPV'!U72</f>
        <v>1840.1999999999998</v>
      </c>
      <c r="DB19" s="197"/>
      <c r="DC19" s="197">
        <f t="shared" si="61"/>
        <v>1840.1999999999998</v>
      </c>
      <c r="DD19" s="197">
        <f t="shared" si="8"/>
        <v>-1840.1999999999998</v>
      </c>
      <c r="DE19" s="197">
        <f t="shared" si="9"/>
        <v>-1368.56</v>
      </c>
      <c r="DF19" s="196">
        <f t="shared" si="62"/>
        <v>0</v>
      </c>
      <c r="DG19" s="197">
        <f t="shared" si="63"/>
        <v>358.40763741862111</v>
      </c>
      <c r="DH19" s="197">
        <f t="shared" si="64"/>
        <v>1398.4007598544367</v>
      </c>
      <c r="DI19" s="197">
        <f t="shared" si="65"/>
        <v>-1398.4007598544367</v>
      </c>
      <c r="DJ19" s="199">
        <f t="shared" si="66"/>
        <v>-1039.9931224358156</v>
      </c>
      <c r="DK19" s="196">
        <f t="shared" si="77"/>
        <v>0</v>
      </c>
      <c r="DL19" s="197">
        <f t="shared" si="67"/>
        <v>3302.4490645344699</v>
      </c>
      <c r="DM19" s="197">
        <f t="shared" si="68"/>
        <v>40922.796092396471</v>
      </c>
      <c r="DN19" s="197">
        <f t="shared" si="69"/>
        <v>-40922.796092396471</v>
      </c>
      <c r="DO19" s="199">
        <f t="shared" si="70"/>
        <v>-37620.347027862001</v>
      </c>
    </row>
    <row r="20" spans="2:119" x14ac:dyDescent="0.3">
      <c r="B20" s="204">
        <f t="shared" si="71"/>
        <v>9</v>
      </c>
      <c r="C20" s="197">
        <f>'Energy NPV'!$D73</f>
        <v>11.617000000000001</v>
      </c>
      <c r="D20" s="197">
        <f>'Energy Inputs'!$F$58*$E$8</f>
        <v>269.5</v>
      </c>
      <c r="E20" s="197">
        <f t="shared" si="10"/>
        <v>3130.7815000000001</v>
      </c>
      <c r="F20" s="197">
        <f>'Margins summary'!$U$14</f>
        <v>471.64</v>
      </c>
      <c r="G20" s="197">
        <f t="shared" si="11"/>
        <v>3602.4214999999999</v>
      </c>
      <c r="H20" s="197"/>
      <c r="I20" s="913">
        <f>'Energy NPV'!U73</f>
        <v>1840.1999999999998</v>
      </c>
      <c r="J20" s="197"/>
      <c r="K20" s="197">
        <f t="shared" si="12"/>
        <v>1840.1999999999998</v>
      </c>
      <c r="L20" s="197">
        <f t="shared" si="0"/>
        <v>1290.5815000000002</v>
      </c>
      <c r="M20" s="197">
        <f t="shared" si="1"/>
        <v>1762.2215000000001</v>
      </c>
      <c r="N20" s="196">
        <f t="shared" si="13"/>
        <v>2287.6313760514181</v>
      </c>
      <c r="O20" s="197">
        <f t="shared" si="14"/>
        <v>344.6227282871356</v>
      </c>
      <c r="P20" s="197">
        <f t="shared" si="15"/>
        <v>1344.6161152446505</v>
      </c>
      <c r="Q20" s="197">
        <f t="shared" si="16"/>
        <v>943.01526080676786</v>
      </c>
      <c r="R20" s="199">
        <f t="shared" si="17"/>
        <v>1287.6379890939033</v>
      </c>
      <c r="S20" s="196">
        <f t="shared" si="72"/>
        <v>20590.99730113069</v>
      </c>
      <c r="T20" s="197">
        <f t="shared" si="18"/>
        <v>3647.0717928216054</v>
      </c>
      <c r="U20" s="197">
        <f t="shared" si="18"/>
        <v>42267.412207641122</v>
      </c>
      <c r="V20" s="197">
        <f t="shared" si="18"/>
        <v>-21676.414906510428</v>
      </c>
      <c r="W20" s="199">
        <f t="shared" si="18"/>
        <v>-18029.343113688821</v>
      </c>
      <c r="Z20" s="895">
        <v>9</v>
      </c>
      <c r="AA20" s="197">
        <f t="shared" si="19"/>
        <v>11.617000000000001</v>
      </c>
      <c r="AB20" s="197">
        <f>'Energy Inputs'!$F$58*$AB$8</f>
        <v>404.25</v>
      </c>
      <c r="AC20" s="197">
        <f t="shared" si="20"/>
        <v>4696.1722500000005</v>
      </c>
      <c r="AD20" s="197">
        <f>'Margins summary'!$U$14</f>
        <v>471.64</v>
      </c>
      <c r="AE20" s="197">
        <f t="shared" si="21"/>
        <v>5167.8122500000009</v>
      </c>
      <c r="AF20" s="197"/>
      <c r="AG20" s="913">
        <f>'Energy NPV'!U73</f>
        <v>1840.1999999999998</v>
      </c>
      <c r="AH20" s="197"/>
      <c r="AI20" s="197">
        <f t="shared" si="22"/>
        <v>1840.1999999999998</v>
      </c>
      <c r="AJ20" s="197">
        <f t="shared" si="2"/>
        <v>2855.9722500000007</v>
      </c>
      <c r="AK20" s="197">
        <f t="shared" si="3"/>
        <v>3327.612250000001</v>
      </c>
      <c r="AL20" s="196">
        <f t="shared" si="23"/>
        <v>3431.4470640771278</v>
      </c>
      <c r="AM20" s="197">
        <f t="shared" si="24"/>
        <v>344.6227282871356</v>
      </c>
      <c r="AN20" s="197">
        <f t="shared" si="25"/>
        <v>1344.6161152446505</v>
      </c>
      <c r="AO20" s="197">
        <f t="shared" si="26"/>
        <v>2086.8309488324776</v>
      </c>
      <c r="AP20" s="199">
        <f t="shared" si="27"/>
        <v>2431.4536771196131</v>
      </c>
      <c r="AQ20" s="196">
        <f t="shared" si="73"/>
        <v>30886.495951696044</v>
      </c>
      <c r="AR20" s="197">
        <f t="shared" si="28"/>
        <v>3647.0717928216054</v>
      </c>
      <c r="AS20" s="197">
        <f t="shared" si="29"/>
        <v>42267.412207641122</v>
      </c>
      <c r="AT20" s="197">
        <f t="shared" si="30"/>
        <v>-11380.91625594508</v>
      </c>
      <c r="AU20" s="199">
        <f t="shared" si="31"/>
        <v>-7733.8444631234725</v>
      </c>
      <c r="AX20" s="895">
        <v>9</v>
      </c>
      <c r="AY20" s="197">
        <f t="shared" si="32"/>
        <v>11.617000000000001</v>
      </c>
      <c r="AZ20" s="197">
        <f>'Energy Inputs'!$F$58*$AZ$8</f>
        <v>134.75</v>
      </c>
      <c r="BA20" s="197">
        <f t="shared" si="33"/>
        <v>1565.39075</v>
      </c>
      <c r="BB20" s="197">
        <f>'Margins summary'!$U$14</f>
        <v>471.64</v>
      </c>
      <c r="BC20" s="197">
        <f t="shared" si="34"/>
        <v>2037.0307499999999</v>
      </c>
      <c r="BD20" s="197"/>
      <c r="BE20" s="913">
        <f>'Energy NPV'!U73</f>
        <v>1840.1999999999998</v>
      </c>
      <c r="BF20" s="197"/>
      <c r="BG20" s="197">
        <f t="shared" si="35"/>
        <v>1840.1999999999998</v>
      </c>
      <c r="BH20" s="197">
        <f t="shared" si="4"/>
        <v>-274.80924999999979</v>
      </c>
      <c r="BI20" s="197">
        <f t="shared" si="5"/>
        <v>196.83075000000008</v>
      </c>
      <c r="BJ20" s="196">
        <f t="shared" si="36"/>
        <v>1143.8156880257091</v>
      </c>
      <c r="BK20" s="197">
        <f t="shared" si="37"/>
        <v>344.6227282871356</v>
      </c>
      <c r="BL20" s="197">
        <f t="shared" si="38"/>
        <v>1344.6161152446505</v>
      </c>
      <c r="BM20" s="197">
        <f t="shared" si="39"/>
        <v>-200.80042721894125</v>
      </c>
      <c r="BN20" s="199">
        <f t="shared" si="40"/>
        <v>143.82230106819426</v>
      </c>
      <c r="BO20" s="196">
        <f t="shared" si="74"/>
        <v>10295.498650565345</v>
      </c>
      <c r="BP20" s="197">
        <f t="shared" si="41"/>
        <v>3647.0717928216054</v>
      </c>
      <c r="BQ20" s="197">
        <f t="shared" si="42"/>
        <v>42267.412207641122</v>
      </c>
      <c r="BR20" s="197">
        <f t="shared" si="43"/>
        <v>-31971.913557075775</v>
      </c>
      <c r="BS20" s="199">
        <f t="shared" si="44"/>
        <v>-28324.841764254168</v>
      </c>
      <c r="BV20" s="895">
        <v>9</v>
      </c>
      <c r="BW20" s="197">
        <f t="shared" si="45"/>
        <v>11.617000000000001</v>
      </c>
      <c r="BX20" s="197">
        <f>'Energy Inputs'!$F$58*$BX$8</f>
        <v>539</v>
      </c>
      <c r="BY20" s="197">
        <f t="shared" si="46"/>
        <v>6261.5630000000001</v>
      </c>
      <c r="BZ20" s="197">
        <f>'Margins summary'!$U$14</f>
        <v>471.64</v>
      </c>
      <c r="CA20" s="197">
        <f t="shared" si="47"/>
        <v>6733.2030000000004</v>
      </c>
      <c r="CB20" s="197"/>
      <c r="CC20" s="913">
        <f>'Energy NPV'!U73</f>
        <v>1840.1999999999998</v>
      </c>
      <c r="CD20" s="197"/>
      <c r="CE20" s="197">
        <f t="shared" si="48"/>
        <v>1840.1999999999998</v>
      </c>
      <c r="CF20" s="197">
        <f t="shared" si="6"/>
        <v>4421.3630000000003</v>
      </c>
      <c r="CG20" s="197">
        <f t="shared" si="7"/>
        <v>4893.0030000000006</v>
      </c>
      <c r="CH20" s="196">
        <f t="shared" si="49"/>
        <v>4575.2627521028362</v>
      </c>
      <c r="CI20" s="197">
        <f t="shared" si="50"/>
        <v>344.6227282871356</v>
      </c>
      <c r="CJ20" s="197">
        <f t="shared" si="51"/>
        <v>1344.6161152446505</v>
      </c>
      <c r="CK20" s="197">
        <f t="shared" si="52"/>
        <v>3230.6466368581864</v>
      </c>
      <c r="CL20" s="199">
        <f t="shared" si="53"/>
        <v>3575.2693651453219</v>
      </c>
      <c r="CM20" s="196">
        <f t="shared" si="75"/>
        <v>41181.99460226138</v>
      </c>
      <c r="CN20" s="197">
        <f t="shared" si="54"/>
        <v>3647.0717928216054</v>
      </c>
      <c r="CO20" s="197">
        <f t="shared" si="55"/>
        <v>42267.412207641122</v>
      </c>
      <c r="CP20" s="197">
        <f t="shared" si="56"/>
        <v>-1085.4176053797369</v>
      </c>
      <c r="CQ20" s="199">
        <f t="shared" si="57"/>
        <v>2561.654187441869</v>
      </c>
      <c r="CT20" s="204">
        <f t="shared" si="76"/>
        <v>9</v>
      </c>
      <c r="CU20" s="197">
        <f t="shared" si="58"/>
        <v>11.617000000000001</v>
      </c>
      <c r="CV20" s="197">
        <f>'Energy Inputs'!$F$58*$CV$8</f>
        <v>0</v>
      </c>
      <c r="CW20" s="197">
        <f t="shared" si="59"/>
        <v>0</v>
      </c>
      <c r="CX20" s="197">
        <f>'Margins summary'!$U$14</f>
        <v>471.64</v>
      </c>
      <c r="CY20" s="197">
        <f t="shared" si="60"/>
        <v>471.64</v>
      </c>
      <c r="CZ20" s="197"/>
      <c r="DA20" s="913">
        <f>'Energy NPV'!U73</f>
        <v>1840.1999999999998</v>
      </c>
      <c r="DB20" s="197"/>
      <c r="DC20" s="197">
        <f t="shared" si="61"/>
        <v>1840.1999999999998</v>
      </c>
      <c r="DD20" s="197">
        <f t="shared" si="8"/>
        <v>-1840.1999999999998</v>
      </c>
      <c r="DE20" s="197">
        <f t="shared" si="9"/>
        <v>-1368.56</v>
      </c>
      <c r="DF20" s="196">
        <f t="shared" si="62"/>
        <v>0</v>
      </c>
      <c r="DG20" s="197">
        <f t="shared" si="63"/>
        <v>344.6227282871356</v>
      </c>
      <c r="DH20" s="197">
        <f t="shared" si="64"/>
        <v>1344.6161152446505</v>
      </c>
      <c r="DI20" s="197">
        <f t="shared" si="65"/>
        <v>-1344.6161152446505</v>
      </c>
      <c r="DJ20" s="199">
        <f t="shared" si="66"/>
        <v>-999.99338695751487</v>
      </c>
      <c r="DK20" s="196">
        <f t="shared" si="77"/>
        <v>0</v>
      </c>
      <c r="DL20" s="197">
        <f t="shared" si="67"/>
        <v>3647.0717928216054</v>
      </c>
      <c r="DM20" s="197">
        <f t="shared" si="68"/>
        <v>42267.412207641122</v>
      </c>
      <c r="DN20" s="197">
        <f t="shared" si="69"/>
        <v>-42267.412207641122</v>
      </c>
      <c r="DO20" s="199">
        <f t="shared" si="70"/>
        <v>-38620.340414819519</v>
      </c>
    </row>
    <row r="21" spans="2:119" x14ac:dyDescent="0.3">
      <c r="B21" s="204">
        <f t="shared" si="71"/>
        <v>10</v>
      </c>
      <c r="C21" s="197">
        <f>'Energy NPV'!$D74</f>
        <v>11.617000000000001</v>
      </c>
      <c r="D21" s="197">
        <f>'Energy Inputs'!$F$58*$E$8</f>
        <v>269.5</v>
      </c>
      <c r="E21" s="197">
        <f t="shared" si="10"/>
        <v>3130.7815000000001</v>
      </c>
      <c r="F21" s="197">
        <f>'Margins summary'!$U$14</f>
        <v>471.64</v>
      </c>
      <c r="G21" s="197">
        <f t="shared" si="11"/>
        <v>3602.4214999999999</v>
      </c>
      <c r="H21" s="197"/>
      <c r="I21" s="913">
        <f>'Energy NPV'!U74</f>
        <v>1840.1999999999998</v>
      </c>
      <c r="J21" s="197"/>
      <c r="K21" s="197">
        <f t="shared" si="12"/>
        <v>1840.1999999999998</v>
      </c>
      <c r="L21" s="197">
        <f t="shared" si="0"/>
        <v>1290.5815000000002</v>
      </c>
      <c r="M21" s="197">
        <f t="shared" si="1"/>
        <v>1762.2215000000001</v>
      </c>
      <c r="N21" s="196">
        <f t="shared" si="13"/>
        <v>2199.6455538955943</v>
      </c>
      <c r="O21" s="197">
        <f t="shared" si="14"/>
        <v>331.36800796839958</v>
      </c>
      <c r="P21" s="197">
        <f t="shared" si="15"/>
        <v>1292.9001108121638</v>
      </c>
      <c r="Q21" s="197">
        <f t="shared" si="16"/>
        <v>906.74544308343059</v>
      </c>
      <c r="R21" s="199">
        <f t="shared" si="17"/>
        <v>1238.1134510518302</v>
      </c>
      <c r="S21" s="196">
        <f t="shared" si="72"/>
        <v>22790.642855026286</v>
      </c>
      <c r="T21" s="197">
        <f t="shared" si="18"/>
        <v>3978.4398007900049</v>
      </c>
      <c r="U21" s="197">
        <f t="shared" si="18"/>
        <v>43560.312318453289</v>
      </c>
      <c r="V21" s="197">
        <f t="shared" si="18"/>
        <v>-20769.669463426999</v>
      </c>
      <c r="W21" s="199">
        <f t="shared" si="18"/>
        <v>-16791.22966263699</v>
      </c>
      <c r="Z21" s="895">
        <v>10</v>
      </c>
      <c r="AA21" s="197">
        <f t="shared" si="19"/>
        <v>11.617000000000001</v>
      </c>
      <c r="AB21" s="197">
        <f>'Energy Inputs'!$F$58*$AB$8</f>
        <v>404.25</v>
      </c>
      <c r="AC21" s="197">
        <f t="shared" si="20"/>
        <v>4696.1722500000005</v>
      </c>
      <c r="AD21" s="197">
        <f>'Margins summary'!$U$14</f>
        <v>471.64</v>
      </c>
      <c r="AE21" s="197">
        <f t="shared" si="21"/>
        <v>5167.8122500000009</v>
      </c>
      <c r="AF21" s="197"/>
      <c r="AG21" s="913">
        <f>'Energy NPV'!U74</f>
        <v>1840.1999999999998</v>
      </c>
      <c r="AH21" s="197"/>
      <c r="AI21" s="197">
        <f t="shared" si="22"/>
        <v>1840.1999999999998</v>
      </c>
      <c r="AJ21" s="197">
        <f t="shared" si="2"/>
        <v>2855.9722500000007</v>
      </c>
      <c r="AK21" s="197">
        <f t="shared" si="3"/>
        <v>3327.612250000001</v>
      </c>
      <c r="AL21" s="196">
        <f t="shared" si="23"/>
        <v>3299.4683308433919</v>
      </c>
      <c r="AM21" s="197">
        <f t="shared" si="24"/>
        <v>331.36800796839958</v>
      </c>
      <c r="AN21" s="197">
        <f t="shared" si="25"/>
        <v>1292.9001108121638</v>
      </c>
      <c r="AO21" s="197">
        <f t="shared" si="26"/>
        <v>2006.5682200312281</v>
      </c>
      <c r="AP21" s="199">
        <f t="shared" si="27"/>
        <v>2337.936227999628</v>
      </c>
      <c r="AQ21" s="196">
        <f t="shared" si="73"/>
        <v>34185.964282539433</v>
      </c>
      <c r="AR21" s="197">
        <f t="shared" si="28"/>
        <v>3978.4398007900049</v>
      </c>
      <c r="AS21" s="197">
        <f t="shared" si="29"/>
        <v>43560.312318453289</v>
      </c>
      <c r="AT21" s="197">
        <f t="shared" si="30"/>
        <v>-9374.3480359138521</v>
      </c>
      <c r="AU21" s="199">
        <f t="shared" si="31"/>
        <v>-5395.9082351238449</v>
      </c>
      <c r="AX21" s="895">
        <v>10</v>
      </c>
      <c r="AY21" s="197">
        <f t="shared" si="32"/>
        <v>11.617000000000001</v>
      </c>
      <c r="AZ21" s="197">
        <f>'Energy Inputs'!$F$58*$AZ$8</f>
        <v>134.75</v>
      </c>
      <c r="BA21" s="197">
        <f t="shared" si="33"/>
        <v>1565.39075</v>
      </c>
      <c r="BB21" s="197">
        <f>'Margins summary'!$U$14</f>
        <v>471.64</v>
      </c>
      <c r="BC21" s="197">
        <f t="shared" si="34"/>
        <v>2037.0307499999999</v>
      </c>
      <c r="BD21" s="197"/>
      <c r="BE21" s="913">
        <f>'Energy NPV'!U74</f>
        <v>1840.1999999999998</v>
      </c>
      <c r="BF21" s="197"/>
      <c r="BG21" s="197">
        <f t="shared" si="35"/>
        <v>1840.1999999999998</v>
      </c>
      <c r="BH21" s="197">
        <f t="shared" si="4"/>
        <v>-274.80924999999979</v>
      </c>
      <c r="BI21" s="197">
        <f t="shared" si="5"/>
        <v>196.83075000000008</v>
      </c>
      <c r="BJ21" s="196">
        <f t="shared" si="36"/>
        <v>1099.8227769477971</v>
      </c>
      <c r="BK21" s="197">
        <f t="shared" si="37"/>
        <v>331.36800796839958</v>
      </c>
      <c r="BL21" s="197">
        <f t="shared" si="38"/>
        <v>1292.9001108121638</v>
      </c>
      <c r="BM21" s="197">
        <f t="shared" si="39"/>
        <v>-193.07733386436658</v>
      </c>
      <c r="BN21" s="199">
        <f t="shared" si="40"/>
        <v>138.29067410403295</v>
      </c>
      <c r="BO21" s="196">
        <f t="shared" si="74"/>
        <v>11395.321427513143</v>
      </c>
      <c r="BP21" s="197">
        <f t="shared" si="41"/>
        <v>3978.4398007900049</v>
      </c>
      <c r="BQ21" s="197">
        <f t="shared" si="42"/>
        <v>43560.312318453289</v>
      </c>
      <c r="BR21" s="197">
        <f t="shared" si="43"/>
        <v>-32164.990890940142</v>
      </c>
      <c r="BS21" s="199">
        <f t="shared" si="44"/>
        <v>-28186.551090150137</v>
      </c>
      <c r="BV21" s="895">
        <v>10</v>
      </c>
      <c r="BW21" s="197">
        <f t="shared" si="45"/>
        <v>11.617000000000001</v>
      </c>
      <c r="BX21" s="197">
        <f>'Energy Inputs'!$F$58*$BX$8</f>
        <v>539</v>
      </c>
      <c r="BY21" s="197">
        <f t="shared" si="46"/>
        <v>6261.5630000000001</v>
      </c>
      <c r="BZ21" s="197">
        <f>'Margins summary'!$U$14</f>
        <v>471.64</v>
      </c>
      <c r="CA21" s="197">
        <f t="shared" si="47"/>
        <v>6733.2030000000004</v>
      </c>
      <c r="CB21" s="197"/>
      <c r="CC21" s="913">
        <f>'Energy NPV'!U74</f>
        <v>1840.1999999999998</v>
      </c>
      <c r="CD21" s="197"/>
      <c r="CE21" s="197">
        <f t="shared" si="48"/>
        <v>1840.1999999999998</v>
      </c>
      <c r="CF21" s="197">
        <f t="shared" si="6"/>
        <v>4421.3630000000003</v>
      </c>
      <c r="CG21" s="197">
        <f t="shared" si="7"/>
        <v>4893.0030000000006</v>
      </c>
      <c r="CH21" s="196">
        <f t="shared" si="49"/>
        <v>4399.2911077911886</v>
      </c>
      <c r="CI21" s="197">
        <f t="shared" si="50"/>
        <v>331.36800796839958</v>
      </c>
      <c r="CJ21" s="197">
        <f t="shared" si="51"/>
        <v>1292.9001108121638</v>
      </c>
      <c r="CK21" s="197">
        <f t="shared" si="52"/>
        <v>3106.3909969790247</v>
      </c>
      <c r="CL21" s="199">
        <f t="shared" si="53"/>
        <v>3437.7590049474247</v>
      </c>
      <c r="CM21" s="196">
        <f t="shared" si="75"/>
        <v>45581.285710052573</v>
      </c>
      <c r="CN21" s="197">
        <f t="shared" si="54"/>
        <v>3978.4398007900049</v>
      </c>
      <c r="CO21" s="197">
        <f t="shared" si="55"/>
        <v>43560.312318453289</v>
      </c>
      <c r="CP21" s="197">
        <f t="shared" si="56"/>
        <v>2020.9733915992879</v>
      </c>
      <c r="CQ21" s="199">
        <f t="shared" si="57"/>
        <v>5999.4131923892937</v>
      </c>
      <c r="CT21" s="204">
        <f t="shared" si="76"/>
        <v>10</v>
      </c>
      <c r="CU21" s="197">
        <f t="shared" si="58"/>
        <v>11.617000000000001</v>
      </c>
      <c r="CV21" s="197">
        <f>'Energy Inputs'!$F$58*$CV$8</f>
        <v>0</v>
      </c>
      <c r="CW21" s="197">
        <f t="shared" si="59"/>
        <v>0</v>
      </c>
      <c r="CX21" s="197">
        <f>'Margins summary'!$U$14</f>
        <v>471.64</v>
      </c>
      <c r="CY21" s="197">
        <f t="shared" si="60"/>
        <v>471.64</v>
      </c>
      <c r="CZ21" s="197"/>
      <c r="DA21" s="913">
        <f>'Energy NPV'!U74</f>
        <v>1840.1999999999998</v>
      </c>
      <c r="DB21" s="197"/>
      <c r="DC21" s="197">
        <f t="shared" si="61"/>
        <v>1840.1999999999998</v>
      </c>
      <c r="DD21" s="197">
        <f t="shared" si="8"/>
        <v>-1840.1999999999998</v>
      </c>
      <c r="DE21" s="197">
        <f t="shared" si="9"/>
        <v>-1368.56</v>
      </c>
      <c r="DF21" s="196">
        <f t="shared" si="62"/>
        <v>0</v>
      </c>
      <c r="DG21" s="197">
        <f t="shared" si="63"/>
        <v>331.36800796839958</v>
      </c>
      <c r="DH21" s="197">
        <f t="shared" si="64"/>
        <v>1292.9001108121638</v>
      </c>
      <c r="DI21" s="197">
        <f t="shared" si="65"/>
        <v>-1292.9001108121638</v>
      </c>
      <c r="DJ21" s="199">
        <f t="shared" si="66"/>
        <v>-961.53210284376416</v>
      </c>
      <c r="DK21" s="196">
        <f t="shared" si="77"/>
        <v>0</v>
      </c>
      <c r="DL21" s="197">
        <f t="shared" si="67"/>
        <v>3978.4398007900049</v>
      </c>
      <c r="DM21" s="197">
        <f t="shared" si="68"/>
        <v>43560.312318453289</v>
      </c>
      <c r="DN21" s="197">
        <f t="shared" si="69"/>
        <v>-43560.312318453289</v>
      </c>
      <c r="DO21" s="199">
        <f t="shared" si="70"/>
        <v>-39581.87251766328</v>
      </c>
    </row>
    <row r="22" spans="2:119" x14ac:dyDescent="0.3">
      <c r="B22" s="204">
        <f t="shared" si="71"/>
        <v>11</v>
      </c>
      <c r="C22" s="197">
        <f>'Energy NPV'!$D75</f>
        <v>11.617000000000001</v>
      </c>
      <c r="D22" s="197">
        <f>'Energy Inputs'!$F$58*$E$8</f>
        <v>269.5</v>
      </c>
      <c r="E22" s="197">
        <f t="shared" si="10"/>
        <v>3130.7815000000001</v>
      </c>
      <c r="F22" s="197">
        <f>'Margins summary'!$U$14</f>
        <v>471.64</v>
      </c>
      <c r="G22" s="197">
        <f t="shared" si="11"/>
        <v>3602.4214999999999</v>
      </c>
      <c r="H22" s="197"/>
      <c r="I22" s="913">
        <f>'Energy NPV'!U75</f>
        <v>1840.1999999999998</v>
      </c>
      <c r="J22" s="197"/>
      <c r="K22" s="197">
        <f t="shared" si="12"/>
        <v>1840.1999999999998</v>
      </c>
      <c r="L22" s="197">
        <f t="shared" si="0"/>
        <v>1290.5815000000002</v>
      </c>
      <c r="M22" s="197">
        <f t="shared" si="1"/>
        <v>1762.2215000000001</v>
      </c>
      <c r="N22" s="196">
        <f t="shared" si="13"/>
        <v>2115.0438018226869</v>
      </c>
      <c r="O22" s="197">
        <f t="shared" si="14"/>
        <v>318.62308458499962</v>
      </c>
      <c r="P22" s="197">
        <f t="shared" si="15"/>
        <v>1243.1731834732343</v>
      </c>
      <c r="Q22" s="197">
        <f t="shared" si="16"/>
        <v>871.87061834945246</v>
      </c>
      <c r="R22" s="199">
        <f t="shared" si="17"/>
        <v>1190.4937029344521</v>
      </c>
      <c r="S22" s="196">
        <f t="shared" si="72"/>
        <v>24905.686656848971</v>
      </c>
      <c r="T22" s="197">
        <f t="shared" si="18"/>
        <v>4297.062885375005</v>
      </c>
      <c r="U22" s="197">
        <f t="shared" si="18"/>
        <v>44803.485501926523</v>
      </c>
      <c r="V22" s="197">
        <f t="shared" si="18"/>
        <v>-19897.798845077545</v>
      </c>
      <c r="W22" s="199">
        <f t="shared" si="18"/>
        <v>-15600.735959702537</v>
      </c>
      <c r="Z22" s="895">
        <v>11</v>
      </c>
      <c r="AA22" s="197">
        <f t="shared" si="19"/>
        <v>11.617000000000001</v>
      </c>
      <c r="AB22" s="197">
        <f>'Energy Inputs'!$F$58*$AB$8</f>
        <v>404.25</v>
      </c>
      <c r="AC22" s="197">
        <f t="shared" si="20"/>
        <v>4696.1722500000005</v>
      </c>
      <c r="AD22" s="197">
        <f>'Margins summary'!$U$14</f>
        <v>471.64</v>
      </c>
      <c r="AE22" s="197">
        <f t="shared" si="21"/>
        <v>5167.8122500000009</v>
      </c>
      <c r="AF22" s="197"/>
      <c r="AG22" s="913">
        <f>'Energy NPV'!U75</f>
        <v>1840.1999999999998</v>
      </c>
      <c r="AH22" s="197"/>
      <c r="AI22" s="197">
        <f t="shared" si="22"/>
        <v>1840.1999999999998</v>
      </c>
      <c r="AJ22" s="197">
        <f t="shared" si="2"/>
        <v>2855.9722500000007</v>
      </c>
      <c r="AK22" s="197">
        <f t="shared" si="3"/>
        <v>3327.612250000001</v>
      </c>
      <c r="AL22" s="196">
        <f t="shared" si="23"/>
        <v>3172.5657027340308</v>
      </c>
      <c r="AM22" s="197">
        <f t="shared" si="24"/>
        <v>318.62308458499962</v>
      </c>
      <c r="AN22" s="197">
        <f t="shared" si="25"/>
        <v>1243.1731834732343</v>
      </c>
      <c r="AO22" s="197">
        <f t="shared" si="26"/>
        <v>1929.3925192607962</v>
      </c>
      <c r="AP22" s="199">
        <f t="shared" si="27"/>
        <v>2248.0156038457962</v>
      </c>
      <c r="AQ22" s="196">
        <f t="shared" si="73"/>
        <v>37358.529985273461</v>
      </c>
      <c r="AR22" s="197">
        <f t="shared" si="28"/>
        <v>4297.062885375005</v>
      </c>
      <c r="AS22" s="197">
        <f t="shared" si="29"/>
        <v>44803.485501926523</v>
      </c>
      <c r="AT22" s="197">
        <f t="shared" si="30"/>
        <v>-7444.9555166530554</v>
      </c>
      <c r="AU22" s="199">
        <f t="shared" si="31"/>
        <v>-3147.8926312780486</v>
      </c>
      <c r="AX22" s="895">
        <v>11</v>
      </c>
      <c r="AY22" s="197">
        <f t="shared" si="32"/>
        <v>11.617000000000001</v>
      </c>
      <c r="AZ22" s="197">
        <f>'Energy Inputs'!$F$58*$AZ$8</f>
        <v>134.75</v>
      </c>
      <c r="BA22" s="197">
        <f t="shared" si="33"/>
        <v>1565.39075</v>
      </c>
      <c r="BB22" s="197">
        <f>'Margins summary'!$U$14</f>
        <v>471.64</v>
      </c>
      <c r="BC22" s="197">
        <f t="shared" si="34"/>
        <v>2037.0307499999999</v>
      </c>
      <c r="BD22" s="197"/>
      <c r="BE22" s="913">
        <f>'Energy NPV'!U75</f>
        <v>1840.1999999999998</v>
      </c>
      <c r="BF22" s="197"/>
      <c r="BG22" s="197">
        <f t="shared" si="35"/>
        <v>1840.1999999999998</v>
      </c>
      <c r="BH22" s="197">
        <f t="shared" si="4"/>
        <v>-274.80924999999979</v>
      </c>
      <c r="BI22" s="197">
        <f t="shared" si="5"/>
        <v>196.83075000000008</v>
      </c>
      <c r="BJ22" s="196">
        <f t="shared" si="36"/>
        <v>1057.5219009113434</v>
      </c>
      <c r="BK22" s="197">
        <f t="shared" si="37"/>
        <v>318.62308458499962</v>
      </c>
      <c r="BL22" s="197">
        <f t="shared" si="38"/>
        <v>1243.1731834732343</v>
      </c>
      <c r="BM22" s="197">
        <f t="shared" si="39"/>
        <v>-185.65128256189095</v>
      </c>
      <c r="BN22" s="199">
        <f t="shared" si="40"/>
        <v>132.97180202310861</v>
      </c>
      <c r="BO22" s="196">
        <f t="shared" si="74"/>
        <v>12452.843328424486</v>
      </c>
      <c r="BP22" s="197">
        <f t="shared" si="41"/>
        <v>4297.062885375005</v>
      </c>
      <c r="BQ22" s="197">
        <f t="shared" si="42"/>
        <v>44803.485501926523</v>
      </c>
      <c r="BR22" s="197">
        <f t="shared" si="43"/>
        <v>-32350.642173502034</v>
      </c>
      <c r="BS22" s="199">
        <f t="shared" si="44"/>
        <v>-28053.579288127028</v>
      </c>
      <c r="BV22" s="895">
        <v>11</v>
      </c>
      <c r="BW22" s="197">
        <f t="shared" si="45"/>
        <v>11.617000000000001</v>
      </c>
      <c r="BX22" s="197">
        <f>'Energy Inputs'!$F$58*$BX$8</f>
        <v>539</v>
      </c>
      <c r="BY22" s="197">
        <f t="shared" si="46"/>
        <v>6261.5630000000001</v>
      </c>
      <c r="BZ22" s="197">
        <f>'Margins summary'!$U$14</f>
        <v>471.64</v>
      </c>
      <c r="CA22" s="197">
        <f t="shared" si="47"/>
        <v>6733.2030000000004</v>
      </c>
      <c r="CB22" s="197"/>
      <c r="CC22" s="913">
        <f>'Energy NPV'!U75</f>
        <v>1840.1999999999998</v>
      </c>
      <c r="CD22" s="197"/>
      <c r="CE22" s="197">
        <f t="shared" si="48"/>
        <v>1840.1999999999998</v>
      </c>
      <c r="CF22" s="197">
        <f t="shared" si="6"/>
        <v>4421.3630000000003</v>
      </c>
      <c r="CG22" s="197">
        <f t="shared" si="7"/>
        <v>4893.0030000000006</v>
      </c>
      <c r="CH22" s="196">
        <f t="shared" si="49"/>
        <v>4230.0876036453737</v>
      </c>
      <c r="CI22" s="197">
        <f t="shared" si="50"/>
        <v>318.62308458499962</v>
      </c>
      <c r="CJ22" s="197">
        <f t="shared" si="51"/>
        <v>1243.1731834732343</v>
      </c>
      <c r="CK22" s="197">
        <f t="shared" si="52"/>
        <v>2986.9144201721392</v>
      </c>
      <c r="CL22" s="199">
        <f t="shared" si="53"/>
        <v>3305.5375047571392</v>
      </c>
      <c r="CM22" s="196">
        <f t="shared" si="75"/>
        <v>49811.373313697943</v>
      </c>
      <c r="CN22" s="197">
        <f t="shared" si="54"/>
        <v>4297.062885375005</v>
      </c>
      <c r="CO22" s="197">
        <f t="shared" si="55"/>
        <v>44803.485501926523</v>
      </c>
      <c r="CP22" s="197">
        <f t="shared" si="56"/>
        <v>5007.8878117714266</v>
      </c>
      <c r="CQ22" s="199">
        <f t="shared" si="57"/>
        <v>9304.9506971464325</v>
      </c>
      <c r="CT22" s="204">
        <f t="shared" si="76"/>
        <v>11</v>
      </c>
      <c r="CU22" s="197">
        <f t="shared" si="58"/>
        <v>11.617000000000001</v>
      </c>
      <c r="CV22" s="197">
        <f>'Energy Inputs'!$F$58*$CV$8</f>
        <v>0</v>
      </c>
      <c r="CW22" s="197">
        <f t="shared" si="59"/>
        <v>0</v>
      </c>
      <c r="CX22" s="197">
        <f>'Margins summary'!$U$14</f>
        <v>471.64</v>
      </c>
      <c r="CY22" s="197">
        <f t="shared" si="60"/>
        <v>471.64</v>
      </c>
      <c r="CZ22" s="197"/>
      <c r="DA22" s="913">
        <f>'Energy NPV'!U75</f>
        <v>1840.1999999999998</v>
      </c>
      <c r="DB22" s="197"/>
      <c r="DC22" s="197">
        <f t="shared" si="61"/>
        <v>1840.1999999999998</v>
      </c>
      <c r="DD22" s="197">
        <f t="shared" si="8"/>
        <v>-1840.1999999999998</v>
      </c>
      <c r="DE22" s="197">
        <f t="shared" si="9"/>
        <v>-1368.56</v>
      </c>
      <c r="DF22" s="196">
        <f t="shared" si="62"/>
        <v>0</v>
      </c>
      <c r="DG22" s="197">
        <f t="shared" si="63"/>
        <v>318.62308458499962</v>
      </c>
      <c r="DH22" s="197">
        <f t="shared" si="64"/>
        <v>1243.1731834732343</v>
      </c>
      <c r="DI22" s="197">
        <f t="shared" si="65"/>
        <v>-1243.1731834732343</v>
      </c>
      <c r="DJ22" s="199">
        <f t="shared" si="66"/>
        <v>-924.55009888823486</v>
      </c>
      <c r="DK22" s="196">
        <f t="shared" si="77"/>
        <v>0</v>
      </c>
      <c r="DL22" s="197">
        <f t="shared" si="67"/>
        <v>4297.062885375005</v>
      </c>
      <c r="DM22" s="197">
        <f t="shared" si="68"/>
        <v>44803.485501926523</v>
      </c>
      <c r="DN22" s="197">
        <f t="shared" si="69"/>
        <v>-44803.485501926523</v>
      </c>
      <c r="DO22" s="199">
        <f t="shared" si="70"/>
        <v>-40506.422616551514</v>
      </c>
    </row>
    <row r="23" spans="2:119" x14ac:dyDescent="0.3">
      <c r="B23" s="204">
        <f t="shared" si="71"/>
        <v>12</v>
      </c>
      <c r="C23" s="197">
        <f>'Energy NPV'!$D76</f>
        <v>11.617000000000001</v>
      </c>
      <c r="D23" s="197">
        <f>'Energy Inputs'!$F$58*$E$8</f>
        <v>269.5</v>
      </c>
      <c r="E23" s="197">
        <f t="shared" si="10"/>
        <v>3130.7815000000001</v>
      </c>
      <c r="F23" s="197">
        <f>'Margins summary'!$U$14</f>
        <v>471.64</v>
      </c>
      <c r="G23" s="197">
        <f t="shared" si="11"/>
        <v>3602.4214999999999</v>
      </c>
      <c r="H23" s="197"/>
      <c r="I23" s="913">
        <f>'Energy NPV'!U76</f>
        <v>1840.1999999999998</v>
      </c>
      <c r="J23" s="197"/>
      <c r="K23" s="197">
        <f t="shared" si="12"/>
        <v>1840.1999999999998</v>
      </c>
      <c r="L23" s="197">
        <f t="shared" si="0"/>
        <v>1290.5815000000002</v>
      </c>
      <c r="M23" s="197">
        <f t="shared" si="1"/>
        <v>1762.2215000000001</v>
      </c>
      <c r="N23" s="196">
        <f t="shared" si="13"/>
        <v>2033.6959632910452</v>
      </c>
      <c r="O23" s="197">
        <f t="shared" si="14"/>
        <v>306.36835056249964</v>
      </c>
      <c r="P23" s="197">
        <f t="shared" si="15"/>
        <v>1195.3588302627254</v>
      </c>
      <c r="Q23" s="197">
        <f t="shared" si="16"/>
        <v>838.33713302831973</v>
      </c>
      <c r="R23" s="199">
        <f t="shared" si="17"/>
        <v>1144.7054835908193</v>
      </c>
      <c r="S23" s="196">
        <f t="shared" si="72"/>
        <v>26939.382620140015</v>
      </c>
      <c r="T23" s="197">
        <f t="shared" si="18"/>
        <v>4603.4312359375044</v>
      </c>
      <c r="U23" s="197">
        <f t="shared" si="18"/>
        <v>45998.844332189248</v>
      </c>
      <c r="V23" s="197">
        <f t="shared" si="18"/>
        <v>-19059.461712049226</v>
      </c>
      <c r="W23" s="199">
        <f t="shared" si="18"/>
        <v>-14456.030476111719</v>
      </c>
      <c r="Z23" s="895">
        <v>12</v>
      </c>
      <c r="AA23" s="197">
        <f t="shared" si="19"/>
        <v>11.617000000000001</v>
      </c>
      <c r="AB23" s="197">
        <f>'Energy Inputs'!$F$58*$AB$8</f>
        <v>404.25</v>
      </c>
      <c r="AC23" s="197">
        <f t="shared" si="20"/>
        <v>4696.1722500000005</v>
      </c>
      <c r="AD23" s="197">
        <f>'Margins summary'!$U$14</f>
        <v>471.64</v>
      </c>
      <c r="AE23" s="197">
        <f t="shared" si="21"/>
        <v>5167.8122500000009</v>
      </c>
      <c r="AF23" s="197"/>
      <c r="AG23" s="913">
        <f>'Energy NPV'!U76</f>
        <v>1840.1999999999998</v>
      </c>
      <c r="AH23" s="197"/>
      <c r="AI23" s="197">
        <f t="shared" si="22"/>
        <v>1840.1999999999998</v>
      </c>
      <c r="AJ23" s="197">
        <f t="shared" si="2"/>
        <v>2855.9722500000007</v>
      </c>
      <c r="AK23" s="197">
        <f t="shared" si="3"/>
        <v>3327.612250000001</v>
      </c>
      <c r="AL23" s="196">
        <f t="shared" si="23"/>
        <v>3050.5439449365681</v>
      </c>
      <c r="AM23" s="197">
        <f t="shared" si="24"/>
        <v>306.36835056249964</v>
      </c>
      <c r="AN23" s="197">
        <f t="shared" si="25"/>
        <v>1195.3588302627254</v>
      </c>
      <c r="AO23" s="197">
        <f t="shared" si="26"/>
        <v>1855.1851146738427</v>
      </c>
      <c r="AP23" s="199">
        <f t="shared" si="27"/>
        <v>2161.5534652363426</v>
      </c>
      <c r="AQ23" s="196">
        <f t="shared" si="73"/>
        <v>40409.073930210026</v>
      </c>
      <c r="AR23" s="197">
        <f t="shared" si="28"/>
        <v>4603.4312359375044</v>
      </c>
      <c r="AS23" s="197">
        <f t="shared" si="29"/>
        <v>45998.844332189248</v>
      </c>
      <c r="AT23" s="197">
        <f t="shared" si="30"/>
        <v>-5589.7704019792127</v>
      </c>
      <c r="AU23" s="199">
        <f t="shared" si="31"/>
        <v>-986.33916604170599</v>
      </c>
      <c r="AX23" s="895">
        <v>12</v>
      </c>
      <c r="AY23" s="197">
        <f t="shared" si="32"/>
        <v>11.617000000000001</v>
      </c>
      <c r="AZ23" s="197">
        <f>'Energy Inputs'!$F$58*$AZ$8</f>
        <v>134.75</v>
      </c>
      <c r="BA23" s="197">
        <f t="shared" si="33"/>
        <v>1565.39075</v>
      </c>
      <c r="BB23" s="197">
        <f>'Margins summary'!$U$14</f>
        <v>471.64</v>
      </c>
      <c r="BC23" s="197">
        <f t="shared" si="34"/>
        <v>2037.0307499999999</v>
      </c>
      <c r="BD23" s="197"/>
      <c r="BE23" s="913">
        <f>'Energy NPV'!U76</f>
        <v>1840.1999999999998</v>
      </c>
      <c r="BF23" s="197"/>
      <c r="BG23" s="197">
        <f t="shared" si="35"/>
        <v>1840.1999999999998</v>
      </c>
      <c r="BH23" s="197">
        <f t="shared" si="4"/>
        <v>-274.80924999999979</v>
      </c>
      <c r="BI23" s="197">
        <f t="shared" si="5"/>
        <v>196.83075000000008</v>
      </c>
      <c r="BJ23" s="196">
        <f t="shared" si="36"/>
        <v>1016.8479816455226</v>
      </c>
      <c r="BK23" s="197">
        <f t="shared" si="37"/>
        <v>306.36835056249964</v>
      </c>
      <c r="BL23" s="197">
        <f t="shared" si="38"/>
        <v>1195.3588302627254</v>
      </c>
      <c r="BM23" s="197">
        <f t="shared" si="39"/>
        <v>-178.51084861720284</v>
      </c>
      <c r="BN23" s="199">
        <f t="shared" si="40"/>
        <v>127.85750194529675</v>
      </c>
      <c r="BO23" s="196">
        <f t="shared" si="74"/>
        <v>13469.691310070008</v>
      </c>
      <c r="BP23" s="197">
        <f t="shared" si="41"/>
        <v>4603.4312359375044</v>
      </c>
      <c r="BQ23" s="197">
        <f t="shared" si="42"/>
        <v>45998.844332189248</v>
      </c>
      <c r="BR23" s="197">
        <f t="shared" si="43"/>
        <v>-32529.153022119237</v>
      </c>
      <c r="BS23" s="199">
        <f t="shared" si="44"/>
        <v>-27925.72178618173</v>
      </c>
      <c r="BV23" s="895">
        <v>12</v>
      </c>
      <c r="BW23" s="197">
        <f t="shared" si="45"/>
        <v>11.617000000000001</v>
      </c>
      <c r="BX23" s="197">
        <f>'Energy Inputs'!$F$58*$BX$8</f>
        <v>539</v>
      </c>
      <c r="BY23" s="197">
        <f t="shared" si="46"/>
        <v>6261.5630000000001</v>
      </c>
      <c r="BZ23" s="197">
        <f>'Margins summary'!$U$14</f>
        <v>471.64</v>
      </c>
      <c r="CA23" s="197">
        <f t="shared" si="47"/>
        <v>6733.2030000000004</v>
      </c>
      <c r="CB23" s="197"/>
      <c r="CC23" s="913">
        <f>'Energy NPV'!U76</f>
        <v>1840.1999999999998</v>
      </c>
      <c r="CD23" s="197"/>
      <c r="CE23" s="197">
        <f t="shared" si="48"/>
        <v>1840.1999999999998</v>
      </c>
      <c r="CF23" s="197">
        <f t="shared" si="6"/>
        <v>4421.3630000000003</v>
      </c>
      <c r="CG23" s="197">
        <f t="shared" si="7"/>
        <v>4893.0030000000006</v>
      </c>
      <c r="CH23" s="196">
        <f t="shared" si="49"/>
        <v>4067.3919265820905</v>
      </c>
      <c r="CI23" s="197">
        <f t="shared" si="50"/>
        <v>306.36835056249964</v>
      </c>
      <c r="CJ23" s="197">
        <f t="shared" si="51"/>
        <v>1195.3588302627254</v>
      </c>
      <c r="CK23" s="197">
        <f t="shared" si="52"/>
        <v>2872.0330963193651</v>
      </c>
      <c r="CL23" s="199">
        <f t="shared" si="53"/>
        <v>3178.401446881865</v>
      </c>
      <c r="CM23" s="196">
        <f t="shared" si="75"/>
        <v>53878.76524028003</v>
      </c>
      <c r="CN23" s="197">
        <f t="shared" si="54"/>
        <v>4603.4312359375044</v>
      </c>
      <c r="CO23" s="197">
        <f t="shared" si="55"/>
        <v>45998.844332189248</v>
      </c>
      <c r="CP23" s="197">
        <f t="shared" si="56"/>
        <v>7879.9209080907913</v>
      </c>
      <c r="CQ23" s="199">
        <f t="shared" si="57"/>
        <v>12483.352144028297</v>
      </c>
      <c r="CT23" s="204">
        <f t="shared" si="76"/>
        <v>12</v>
      </c>
      <c r="CU23" s="197">
        <f t="shared" si="58"/>
        <v>11.617000000000001</v>
      </c>
      <c r="CV23" s="197">
        <f>'Energy Inputs'!$F$58*$CV$8</f>
        <v>0</v>
      </c>
      <c r="CW23" s="197">
        <f t="shared" si="59"/>
        <v>0</v>
      </c>
      <c r="CX23" s="197">
        <f>'Margins summary'!$U$14</f>
        <v>471.64</v>
      </c>
      <c r="CY23" s="197">
        <f t="shared" si="60"/>
        <v>471.64</v>
      </c>
      <c r="CZ23" s="197"/>
      <c r="DA23" s="913">
        <f>'Energy NPV'!U76</f>
        <v>1840.1999999999998</v>
      </c>
      <c r="DB23" s="197"/>
      <c r="DC23" s="197">
        <f t="shared" si="61"/>
        <v>1840.1999999999998</v>
      </c>
      <c r="DD23" s="197">
        <f t="shared" si="8"/>
        <v>-1840.1999999999998</v>
      </c>
      <c r="DE23" s="197">
        <f t="shared" si="9"/>
        <v>-1368.56</v>
      </c>
      <c r="DF23" s="196">
        <f t="shared" si="62"/>
        <v>0</v>
      </c>
      <c r="DG23" s="197">
        <f t="shared" si="63"/>
        <v>306.36835056249964</v>
      </c>
      <c r="DH23" s="197">
        <f t="shared" si="64"/>
        <v>1195.3588302627254</v>
      </c>
      <c r="DI23" s="197">
        <f t="shared" si="65"/>
        <v>-1195.3588302627254</v>
      </c>
      <c r="DJ23" s="199">
        <f t="shared" si="66"/>
        <v>-888.99047970022582</v>
      </c>
      <c r="DK23" s="196">
        <f t="shared" si="77"/>
        <v>0</v>
      </c>
      <c r="DL23" s="197">
        <f t="shared" si="67"/>
        <v>4603.4312359375044</v>
      </c>
      <c r="DM23" s="197">
        <f t="shared" si="68"/>
        <v>45998.844332189248</v>
      </c>
      <c r="DN23" s="197">
        <f t="shared" si="69"/>
        <v>-45998.844332189248</v>
      </c>
      <c r="DO23" s="199">
        <f t="shared" si="70"/>
        <v>-41395.413096251737</v>
      </c>
    </row>
    <row r="24" spans="2:119" x14ac:dyDescent="0.3">
      <c r="B24" s="204">
        <f t="shared" si="71"/>
        <v>13</v>
      </c>
      <c r="C24" s="197">
        <f>'Energy NPV'!$D77</f>
        <v>11.617000000000001</v>
      </c>
      <c r="D24" s="197">
        <f>'Energy Inputs'!$F$58*$E$8</f>
        <v>269.5</v>
      </c>
      <c r="E24" s="197">
        <f t="shared" si="10"/>
        <v>3130.7815000000001</v>
      </c>
      <c r="F24" s="197">
        <f>'Margins summary'!$U$14</f>
        <v>471.64</v>
      </c>
      <c r="G24" s="197">
        <f t="shared" si="11"/>
        <v>3602.4214999999999</v>
      </c>
      <c r="H24" s="197"/>
      <c r="I24" s="913">
        <f>'Energy NPV'!U77</f>
        <v>1840.1999999999998</v>
      </c>
      <c r="J24" s="197"/>
      <c r="K24" s="197">
        <f t="shared" si="12"/>
        <v>1840.1999999999998</v>
      </c>
      <c r="L24" s="197">
        <f t="shared" si="0"/>
        <v>1290.5815000000002</v>
      </c>
      <c r="M24" s="197">
        <f t="shared" si="1"/>
        <v>1762.2215000000001</v>
      </c>
      <c r="N24" s="196">
        <f t="shared" si="13"/>
        <v>1955.4768877798508</v>
      </c>
      <c r="O24" s="197">
        <f t="shared" si="14"/>
        <v>294.58495246394193</v>
      </c>
      <c r="P24" s="197">
        <f t="shared" si="15"/>
        <v>1149.3834906372358</v>
      </c>
      <c r="Q24" s="197">
        <f t="shared" si="16"/>
        <v>806.093397142615</v>
      </c>
      <c r="R24" s="199">
        <f t="shared" si="17"/>
        <v>1100.6783496065568</v>
      </c>
      <c r="S24" s="196">
        <f t="shared" si="72"/>
        <v>28894.859507919868</v>
      </c>
      <c r="T24" s="197">
        <f t="shared" si="18"/>
        <v>4898.016188401446</v>
      </c>
      <c r="U24" s="197">
        <f t="shared" si="18"/>
        <v>47148.227822826484</v>
      </c>
      <c r="V24" s="197">
        <f t="shared" si="18"/>
        <v>-18253.368314906609</v>
      </c>
      <c r="W24" s="199">
        <f t="shared" si="18"/>
        <v>-13355.352126505162</v>
      </c>
      <c r="Z24" s="895">
        <v>13</v>
      </c>
      <c r="AA24" s="197">
        <f t="shared" si="19"/>
        <v>11.617000000000001</v>
      </c>
      <c r="AB24" s="197">
        <f>'Energy Inputs'!$F$58*$AB$8</f>
        <v>404.25</v>
      </c>
      <c r="AC24" s="197">
        <f t="shared" si="20"/>
        <v>4696.1722500000005</v>
      </c>
      <c r="AD24" s="197">
        <f>'Margins summary'!$U$14</f>
        <v>471.64</v>
      </c>
      <c r="AE24" s="197">
        <f t="shared" si="21"/>
        <v>5167.8122500000009</v>
      </c>
      <c r="AF24" s="197"/>
      <c r="AG24" s="913">
        <f>'Energy NPV'!U77</f>
        <v>1840.1999999999998</v>
      </c>
      <c r="AH24" s="197"/>
      <c r="AI24" s="197">
        <f t="shared" si="22"/>
        <v>1840.1999999999998</v>
      </c>
      <c r="AJ24" s="197">
        <f t="shared" si="2"/>
        <v>2855.9722500000007</v>
      </c>
      <c r="AK24" s="197">
        <f t="shared" si="3"/>
        <v>3327.612250000001</v>
      </c>
      <c r="AL24" s="196">
        <f t="shared" si="23"/>
        <v>2933.2153316697763</v>
      </c>
      <c r="AM24" s="197">
        <f t="shared" si="24"/>
        <v>294.58495246394193</v>
      </c>
      <c r="AN24" s="197">
        <f t="shared" si="25"/>
        <v>1149.3834906372358</v>
      </c>
      <c r="AO24" s="197">
        <f t="shared" si="26"/>
        <v>1783.8318410325405</v>
      </c>
      <c r="AP24" s="199">
        <f t="shared" si="27"/>
        <v>2078.4167934964826</v>
      </c>
      <c r="AQ24" s="196">
        <f t="shared" si="73"/>
        <v>43342.2892618798</v>
      </c>
      <c r="AR24" s="197">
        <f t="shared" si="28"/>
        <v>4898.016188401446</v>
      </c>
      <c r="AS24" s="197">
        <f t="shared" si="29"/>
        <v>47148.227822826484</v>
      </c>
      <c r="AT24" s="197">
        <f t="shared" si="30"/>
        <v>-3805.9385609466722</v>
      </c>
      <c r="AU24" s="199">
        <f t="shared" si="31"/>
        <v>1092.0776274547766</v>
      </c>
      <c r="AX24" s="895">
        <v>13</v>
      </c>
      <c r="AY24" s="197">
        <f t="shared" si="32"/>
        <v>11.617000000000001</v>
      </c>
      <c r="AZ24" s="197">
        <f>'Energy Inputs'!$F$58*$AZ$8</f>
        <v>134.75</v>
      </c>
      <c r="BA24" s="197">
        <f t="shared" si="33"/>
        <v>1565.39075</v>
      </c>
      <c r="BB24" s="197">
        <f>'Margins summary'!$U$14</f>
        <v>471.64</v>
      </c>
      <c r="BC24" s="197">
        <f t="shared" si="34"/>
        <v>2037.0307499999999</v>
      </c>
      <c r="BD24" s="197"/>
      <c r="BE24" s="913">
        <f>'Energy NPV'!U77</f>
        <v>1840.1999999999998</v>
      </c>
      <c r="BF24" s="197"/>
      <c r="BG24" s="197">
        <f t="shared" si="35"/>
        <v>1840.1999999999998</v>
      </c>
      <c r="BH24" s="197">
        <f t="shared" si="4"/>
        <v>-274.80924999999979</v>
      </c>
      <c r="BI24" s="197">
        <f t="shared" si="5"/>
        <v>196.83075000000008</v>
      </c>
      <c r="BJ24" s="196">
        <f t="shared" si="36"/>
        <v>977.73844388992541</v>
      </c>
      <c r="BK24" s="197">
        <f t="shared" si="37"/>
        <v>294.58495246394193</v>
      </c>
      <c r="BL24" s="197">
        <f t="shared" si="38"/>
        <v>1149.3834906372358</v>
      </c>
      <c r="BM24" s="197">
        <f t="shared" si="39"/>
        <v>-171.64504674731037</v>
      </c>
      <c r="BN24" s="199">
        <f t="shared" si="40"/>
        <v>122.93990571663146</v>
      </c>
      <c r="BO24" s="196">
        <f t="shared" si="74"/>
        <v>14447.429753959934</v>
      </c>
      <c r="BP24" s="197">
        <f t="shared" si="41"/>
        <v>4898.016188401446</v>
      </c>
      <c r="BQ24" s="197">
        <f t="shared" si="42"/>
        <v>47148.227822826484</v>
      </c>
      <c r="BR24" s="197">
        <f t="shared" si="43"/>
        <v>-32700.798068866548</v>
      </c>
      <c r="BS24" s="199">
        <f t="shared" si="44"/>
        <v>-27802.7818804651</v>
      </c>
      <c r="BV24" s="895">
        <v>13</v>
      </c>
      <c r="BW24" s="197">
        <f t="shared" si="45"/>
        <v>11.617000000000001</v>
      </c>
      <c r="BX24" s="197">
        <f>'Energy Inputs'!$F$58*$BX$8</f>
        <v>539</v>
      </c>
      <c r="BY24" s="197">
        <f t="shared" si="46"/>
        <v>6261.5630000000001</v>
      </c>
      <c r="BZ24" s="197">
        <f>'Margins summary'!$U$14</f>
        <v>471.64</v>
      </c>
      <c r="CA24" s="197">
        <f t="shared" si="47"/>
        <v>6733.2030000000004</v>
      </c>
      <c r="CB24" s="197"/>
      <c r="CC24" s="913">
        <f>'Energy NPV'!U77</f>
        <v>1840.1999999999998</v>
      </c>
      <c r="CD24" s="197"/>
      <c r="CE24" s="197">
        <f t="shared" si="48"/>
        <v>1840.1999999999998</v>
      </c>
      <c r="CF24" s="197">
        <f t="shared" si="6"/>
        <v>4421.3630000000003</v>
      </c>
      <c r="CG24" s="197">
        <f t="shared" si="7"/>
        <v>4893.0030000000006</v>
      </c>
      <c r="CH24" s="196">
        <f t="shared" si="49"/>
        <v>3910.9537755597016</v>
      </c>
      <c r="CI24" s="197">
        <f t="shared" si="50"/>
        <v>294.58495246394193</v>
      </c>
      <c r="CJ24" s="197">
        <f t="shared" si="51"/>
        <v>1149.3834906372358</v>
      </c>
      <c r="CK24" s="197">
        <f t="shared" si="52"/>
        <v>2761.5702849224658</v>
      </c>
      <c r="CL24" s="199">
        <f t="shared" si="53"/>
        <v>3056.1552373864079</v>
      </c>
      <c r="CM24" s="196">
        <f t="shared" si="75"/>
        <v>57789.719015839735</v>
      </c>
      <c r="CN24" s="197">
        <f t="shared" si="54"/>
        <v>4898.016188401446</v>
      </c>
      <c r="CO24" s="197">
        <f t="shared" si="55"/>
        <v>47148.227822826484</v>
      </c>
      <c r="CP24" s="197">
        <f t="shared" si="56"/>
        <v>10641.491193013257</v>
      </c>
      <c r="CQ24" s="199">
        <f t="shared" si="57"/>
        <v>15539.507381414704</v>
      </c>
      <c r="CT24" s="204">
        <f t="shared" si="76"/>
        <v>13</v>
      </c>
      <c r="CU24" s="197">
        <f t="shared" si="58"/>
        <v>11.617000000000001</v>
      </c>
      <c r="CV24" s="197">
        <f>'Energy Inputs'!$F$58*$CV$8</f>
        <v>0</v>
      </c>
      <c r="CW24" s="197">
        <f t="shared" si="59"/>
        <v>0</v>
      </c>
      <c r="CX24" s="197">
        <f>'Margins summary'!$U$14</f>
        <v>471.64</v>
      </c>
      <c r="CY24" s="197">
        <f t="shared" si="60"/>
        <v>471.64</v>
      </c>
      <c r="CZ24" s="197"/>
      <c r="DA24" s="913">
        <f>'Energy NPV'!U77</f>
        <v>1840.1999999999998</v>
      </c>
      <c r="DB24" s="197"/>
      <c r="DC24" s="197">
        <f t="shared" si="61"/>
        <v>1840.1999999999998</v>
      </c>
      <c r="DD24" s="197">
        <f t="shared" si="8"/>
        <v>-1840.1999999999998</v>
      </c>
      <c r="DE24" s="197">
        <f t="shared" si="9"/>
        <v>-1368.56</v>
      </c>
      <c r="DF24" s="196">
        <f t="shared" si="62"/>
        <v>0</v>
      </c>
      <c r="DG24" s="197">
        <f t="shared" si="63"/>
        <v>294.58495246394193</v>
      </c>
      <c r="DH24" s="197">
        <f t="shared" si="64"/>
        <v>1149.3834906372358</v>
      </c>
      <c r="DI24" s="197">
        <f t="shared" si="65"/>
        <v>-1149.3834906372358</v>
      </c>
      <c r="DJ24" s="199">
        <f t="shared" si="66"/>
        <v>-854.79853817329388</v>
      </c>
      <c r="DK24" s="196">
        <f t="shared" si="77"/>
        <v>0</v>
      </c>
      <c r="DL24" s="197">
        <f t="shared" si="67"/>
        <v>4898.016188401446</v>
      </c>
      <c r="DM24" s="197">
        <f t="shared" si="68"/>
        <v>47148.227822826484</v>
      </c>
      <c r="DN24" s="197">
        <f t="shared" si="69"/>
        <v>-47148.227822826484</v>
      </c>
      <c r="DO24" s="199">
        <f t="shared" si="70"/>
        <v>-42250.211634425032</v>
      </c>
    </row>
    <row r="25" spans="2:119" x14ac:dyDescent="0.3">
      <c r="B25" s="204">
        <f t="shared" si="71"/>
        <v>14</v>
      </c>
      <c r="C25" s="197">
        <f>'Energy NPV'!$D78</f>
        <v>11.617000000000001</v>
      </c>
      <c r="D25" s="197">
        <f>'Energy Inputs'!$F$58*$E$8</f>
        <v>269.5</v>
      </c>
      <c r="E25" s="197">
        <f t="shared" si="10"/>
        <v>3130.7815000000001</v>
      </c>
      <c r="F25" s="197">
        <f>'Margins summary'!$U$14</f>
        <v>471.64</v>
      </c>
      <c r="G25" s="197">
        <f t="shared" si="11"/>
        <v>3602.4214999999999</v>
      </c>
      <c r="H25" s="197"/>
      <c r="I25" s="913">
        <f>'Energy NPV'!U78</f>
        <v>1840.1999999999998</v>
      </c>
      <c r="J25" s="197"/>
      <c r="K25" s="197">
        <f t="shared" si="12"/>
        <v>1840.1999999999998</v>
      </c>
      <c r="L25" s="197">
        <f t="shared" si="0"/>
        <v>1290.5815000000002</v>
      </c>
      <c r="M25" s="197">
        <f t="shared" si="1"/>
        <v>1762.2215000000001</v>
      </c>
      <c r="N25" s="196">
        <f t="shared" si="13"/>
        <v>1880.2662382498565</v>
      </c>
      <c r="O25" s="197">
        <f t="shared" si="14"/>
        <v>283.25476198455954</v>
      </c>
      <c r="P25" s="197">
        <f t="shared" si="15"/>
        <v>1105.1764333050344</v>
      </c>
      <c r="Q25" s="197">
        <f t="shared" si="16"/>
        <v>775.08980494482205</v>
      </c>
      <c r="R25" s="199">
        <f t="shared" si="17"/>
        <v>1058.3445669293815</v>
      </c>
      <c r="S25" s="196">
        <f t="shared" si="72"/>
        <v>30775.125746169724</v>
      </c>
      <c r="T25" s="197">
        <f t="shared" si="18"/>
        <v>5181.270950386006</v>
      </c>
      <c r="U25" s="197">
        <f t="shared" si="18"/>
        <v>48253.404256131522</v>
      </c>
      <c r="V25" s="197">
        <f t="shared" si="18"/>
        <v>-17478.278509961787</v>
      </c>
      <c r="W25" s="199">
        <f t="shared" si="18"/>
        <v>-12297.007559575781</v>
      </c>
      <c r="Z25" s="895">
        <v>14</v>
      </c>
      <c r="AA25" s="197">
        <f t="shared" si="19"/>
        <v>11.617000000000001</v>
      </c>
      <c r="AB25" s="197">
        <f>'Energy Inputs'!$F$58*$AB$8</f>
        <v>404.25</v>
      </c>
      <c r="AC25" s="197">
        <f t="shared" si="20"/>
        <v>4696.1722500000005</v>
      </c>
      <c r="AD25" s="197">
        <f>'Margins summary'!$U$14</f>
        <v>471.64</v>
      </c>
      <c r="AE25" s="197">
        <f t="shared" si="21"/>
        <v>5167.8122500000009</v>
      </c>
      <c r="AF25" s="197"/>
      <c r="AG25" s="913">
        <f>'Energy NPV'!U78</f>
        <v>1840.1999999999998</v>
      </c>
      <c r="AH25" s="197"/>
      <c r="AI25" s="197">
        <f t="shared" si="22"/>
        <v>1840.1999999999998</v>
      </c>
      <c r="AJ25" s="197">
        <f t="shared" si="2"/>
        <v>2855.9722500000007</v>
      </c>
      <c r="AK25" s="197">
        <f t="shared" si="3"/>
        <v>3327.612250000001</v>
      </c>
      <c r="AL25" s="196">
        <f t="shared" si="23"/>
        <v>2820.3993573747848</v>
      </c>
      <c r="AM25" s="197">
        <f t="shared" si="24"/>
        <v>283.25476198455954</v>
      </c>
      <c r="AN25" s="197">
        <f t="shared" si="25"/>
        <v>1105.1764333050344</v>
      </c>
      <c r="AO25" s="197">
        <f t="shared" si="26"/>
        <v>1715.2229240697507</v>
      </c>
      <c r="AP25" s="199">
        <f t="shared" si="27"/>
        <v>1998.4776860543102</v>
      </c>
      <c r="AQ25" s="196">
        <f t="shared" si="73"/>
        <v>46162.688619254586</v>
      </c>
      <c r="AR25" s="197">
        <f t="shared" si="28"/>
        <v>5181.270950386006</v>
      </c>
      <c r="AS25" s="197">
        <f t="shared" si="29"/>
        <v>48253.404256131522</v>
      </c>
      <c r="AT25" s="197">
        <f t="shared" si="30"/>
        <v>-2090.7156368769215</v>
      </c>
      <c r="AU25" s="199">
        <f t="shared" si="31"/>
        <v>3090.5553135090868</v>
      </c>
      <c r="AX25" s="895">
        <v>14</v>
      </c>
      <c r="AY25" s="197">
        <f t="shared" si="32"/>
        <v>11.617000000000001</v>
      </c>
      <c r="AZ25" s="197">
        <f>'Energy Inputs'!$F$58*$AZ$8</f>
        <v>134.75</v>
      </c>
      <c r="BA25" s="197">
        <f t="shared" si="33"/>
        <v>1565.39075</v>
      </c>
      <c r="BB25" s="197">
        <f>'Margins summary'!$U$14</f>
        <v>471.64</v>
      </c>
      <c r="BC25" s="197">
        <f t="shared" si="34"/>
        <v>2037.0307499999999</v>
      </c>
      <c r="BD25" s="197"/>
      <c r="BE25" s="913">
        <f>'Energy NPV'!U78</f>
        <v>1840.1999999999998</v>
      </c>
      <c r="BF25" s="197"/>
      <c r="BG25" s="197">
        <f t="shared" si="35"/>
        <v>1840.1999999999998</v>
      </c>
      <c r="BH25" s="197">
        <f t="shared" si="4"/>
        <v>-274.80924999999979</v>
      </c>
      <c r="BI25" s="197">
        <f t="shared" si="5"/>
        <v>196.83075000000008</v>
      </c>
      <c r="BJ25" s="196">
        <f t="shared" si="36"/>
        <v>940.13311912492827</v>
      </c>
      <c r="BK25" s="197">
        <f t="shared" si="37"/>
        <v>283.25476198455954</v>
      </c>
      <c r="BL25" s="197">
        <f t="shared" si="38"/>
        <v>1105.1764333050344</v>
      </c>
      <c r="BM25" s="197">
        <f t="shared" si="39"/>
        <v>-165.04331418010614</v>
      </c>
      <c r="BN25" s="199">
        <f t="shared" si="40"/>
        <v>118.21144780445331</v>
      </c>
      <c r="BO25" s="196">
        <f t="shared" si="74"/>
        <v>15387.562873084862</v>
      </c>
      <c r="BP25" s="197">
        <f t="shared" si="41"/>
        <v>5181.270950386006</v>
      </c>
      <c r="BQ25" s="197">
        <f t="shared" si="42"/>
        <v>48253.404256131522</v>
      </c>
      <c r="BR25" s="197">
        <f t="shared" si="43"/>
        <v>-32865.841383046652</v>
      </c>
      <c r="BS25" s="199">
        <f t="shared" si="44"/>
        <v>-27684.570432660646</v>
      </c>
      <c r="BV25" s="895">
        <v>14</v>
      </c>
      <c r="BW25" s="197">
        <f t="shared" si="45"/>
        <v>11.617000000000001</v>
      </c>
      <c r="BX25" s="197">
        <f>'Energy Inputs'!$F$58*$BX$8</f>
        <v>539</v>
      </c>
      <c r="BY25" s="197">
        <f t="shared" si="46"/>
        <v>6261.5630000000001</v>
      </c>
      <c r="BZ25" s="197">
        <f>'Margins summary'!$U$14</f>
        <v>471.64</v>
      </c>
      <c r="CA25" s="197">
        <f t="shared" si="47"/>
        <v>6733.2030000000004</v>
      </c>
      <c r="CB25" s="197"/>
      <c r="CC25" s="913">
        <f>'Energy NPV'!U78</f>
        <v>1840.1999999999998</v>
      </c>
      <c r="CD25" s="197"/>
      <c r="CE25" s="197">
        <f t="shared" si="48"/>
        <v>1840.1999999999998</v>
      </c>
      <c r="CF25" s="197">
        <f t="shared" si="6"/>
        <v>4421.3630000000003</v>
      </c>
      <c r="CG25" s="197">
        <f t="shared" si="7"/>
        <v>4893.0030000000006</v>
      </c>
      <c r="CH25" s="196">
        <f t="shared" si="49"/>
        <v>3760.5324764997131</v>
      </c>
      <c r="CI25" s="197">
        <f t="shared" si="50"/>
        <v>283.25476198455954</v>
      </c>
      <c r="CJ25" s="197">
        <f t="shared" si="51"/>
        <v>1105.1764333050344</v>
      </c>
      <c r="CK25" s="197">
        <f t="shared" si="52"/>
        <v>2655.3560431946785</v>
      </c>
      <c r="CL25" s="199">
        <f t="shared" si="53"/>
        <v>2938.610805179238</v>
      </c>
      <c r="CM25" s="196">
        <f t="shared" si="75"/>
        <v>61550.251492339448</v>
      </c>
      <c r="CN25" s="197">
        <f t="shared" si="54"/>
        <v>5181.270950386006</v>
      </c>
      <c r="CO25" s="197">
        <f t="shared" si="55"/>
        <v>48253.404256131522</v>
      </c>
      <c r="CP25" s="197">
        <f t="shared" si="56"/>
        <v>13296.847236207936</v>
      </c>
      <c r="CQ25" s="199">
        <f t="shared" si="57"/>
        <v>18478.118186593943</v>
      </c>
      <c r="CT25" s="204">
        <f t="shared" si="76"/>
        <v>14</v>
      </c>
      <c r="CU25" s="197">
        <f t="shared" si="58"/>
        <v>11.617000000000001</v>
      </c>
      <c r="CV25" s="197">
        <f>'Energy Inputs'!$F$58*$CV$8</f>
        <v>0</v>
      </c>
      <c r="CW25" s="197">
        <f t="shared" si="59"/>
        <v>0</v>
      </c>
      <c r="CX25" s="197">
        <f>'Margins summary'!$U$14</f>
        <v>471.64</v>
      </c>
      <c r="CY25" s="197">
        <f t="shared" si="60"/>
        <v>471.64</v>
      </c>
      <c r="CZ25" s="197"/>
      <c r="DA25" s="913">
        <f>'Energy NPV'!U78</f>
        <v>1840.1999999999998</v>
      </c>
      <c r="DB25" s="197"/>
      <c r="DC25" s="197">
        <f t="shared" si="61"/>
        <v>1840.1999999999998</v>
      </c>
      <c r="DD25" s="197">
        <f t="shared" si="8"/>
        <v>-1840.1999999999998</v>
      </c>
      <c r="DE25" s="197">
        <f t="shared" si="9"/>
        <v>-1368.56</v>
      </c>
      <c r="DF25" s="196">
        <f t="shared" si="62"/>
        <v>0</v>
      </c>
      <c r="DG25" s="197">
        <f t="shared" si="63"/>
        <v>283.25476198455954</v>
      </c>
      <c r="DH25" s="197">
        <f t="shared" si="64"/>
        <v>1105.1764333050344</v>
      </c>
      <c r="DI25" s="197">
        <f t="shared" si="65"/>
        <v>-1105.1764333050344</v>
      </c>
      <c r="DJ25" s="199">
        <f t="shared" si="66"/>
        <v>-821.92167132047484</v>
      </c>
      <c r="DK25" s="196">
        <f t="shared" si="77"/>
        <v>0</v>
      </c>
      <c r="DL25" s="197">
        <f t="shared" si="67"/>
        <v>5181.270950386006</v>
      </c>
      <c r="DM25" s="197">
        <f t="shared" si="68"/>
        <v>48253.404256131522</v>
      </c>
      <c r="DN25" s="197">
        <f t="shared" si="69"/>
        <v>-48253.404256131522</v>
      </c>
      <c r="DO25" s="199">
        <f t="shared" si="70"/>
        <v>-43072.133305745505</v>
      </c>
    </row>
    <row r="26" spans="2:119" x14ac:dyDescent="0.3">
      <c r="B26" s="204">
        <f t="shared" si="71"/>
        <v>15</v>
      </c>
      <c r="C26" s="197">
        <f>'Energy NPV'!$D79</f>
        <v>11.617000000000001</v>
      </c>
      <c r="D26" s="197">
        <f>'Energy Inputs'!$F$58*$E$8</f>
        <v>269.5</v>
      </c>
      <c r="E26" s="197">
        <f t="shared" si="10"/>
        <v>3130.7815000000001</v>
      </c>
      <c r="F26" s="197">
        <f>'Margins summary'!$U$14</f>
        <v>471.64</v>
      </c>
      <c r="G26" s="197">
        <f t="shared" si="11"/>
        <v>3602.4214999999999</v>
      </c>
      <c r="H26" s="197"/>
      <c r="I26" s="913">
        <f>'Energy NPV'!U79</f>
        <v>1840.1999999999998</v>
      </c>
      <c r="J26" s="197"/>
      <c r="K26" s="197">
        <f t="shared" si="12"/>
        <v>1840.1999999999998</v>
      </c>
      <c r="L26" s="197">
        <f t="shared" si="0"/>
        <v>1290.5815000000002</v>
      </c>
      <c r="M26" s="197">
        <f t="shared" si="1"/>
        <v>1762.2215000000001</v>
      </c>
      <c r="N26" s="196">
        <f t="shared" si="13"/>
        <v>1807.9483060094774</v>
      </c>
      <c r="O26" s="197">
        <f t="shared" si="14"/>
        <v>272.36034806207647</v>
      </c>
      <c r="P26" s="197">
        <f t="shared" si="15"/>
        <v>1062.6696474086868</v>
      </c>
      <c r="Q26" s="197">
        <f t="shared" si="16"/>
        <v>745.27865860079044</v>
      </c>
      <c r="R26" s="199">
        <f t="shared" si="17"/>
        <v>1017.6390066628669</v>
      </c>
      <c r="S26" s="196">
        <f t="shared" si="72"/>
        <v>32583.074052179203</v>
      </c>
      <c r="T26" s="197">
        <f t="shared" si="18"/>
        <v>5453.6312984480828</v>
      </c>
      <c r="U26" s="197">
        <f t="shared" si="18"/>
        <v>49316.073903540208</v>
      </c>
      <c r="V26" s="197">
        <f t="shared" si="18"/>
        <v>-16732.999851360997</v>
      </c>
      <c r="W26" s="199">
        <f t="shared" si="18"/>
        <v>-11279.368552912914</v>
      </c>
      <c r="Z26" s="895">
        <v>15</v>
      </c>
      <c r="AA26" s="197">
        <f t="shared" si="19"/>
        <v>11.617000000000001</v>
      </c>
      <c r="AB26" s="197">
        <f>'Energy Inputs'!$F$58*$AB$8</f>
        <v>404.25</v>
      </c>
      <c r="AC26" s="197">
        <f t="shared" si="20"/>
        <v>4696.1722500000005</v>
      </c>
      <c r="AD26" s="197">
        <f>'Margins summary'!$U$14</f>
        <v>471.64</v>
      </c>
      <c r="AE26" s="197">
        <f t="shared" si="21"/>
        <v>5167.8122500000009</v>
      </c>
      <c r="AF26" s="197"/>
      <c r="AG26" s="913">
        <f>'Energy NPV'!U79</f>
        <v>1840.1999999999998</v>
      </c>
      <c r="AH26" s="197"/>
      <c r="AI26" s="197">
        <f t="shared" si="22"/>
        <v>1840.1999999999998</v>
      </c>
      <c r="AJ26" s="197">
        <f t="shared" si="2"/>
        <v>2855.9722500000007</v>
      </c>
      <c r="AK26" s="197">
        <f t="shared" si="3"/>
        <v>3327.612250000001</v>
      </c>
      <c r="AL26" s="196">
        <f t="shared" si="23"/>
        <v>2711.9224590142162</v>
      </c>
      <c r="AM26" s="197">
        <f t="shared" si="24"/>
        <v>272.36034806207647</v>
      </c>
      <c r="AN26" s="197">
        <f t="shared" si="25"/>
        <v>1062.6696474086868</v>
      </c>
      <c r="AO26" s="197">
        <f t="shared" si="26"/>
        <v>1649.2528116055294</v>
      </c>
      <c r="AP26" s="199">
        <f t="shared" si="27"/>
        <v>1921.6131596676062</v>
      </c>
      <c r="AQ26" s="196">
        <f t="shared" si="73"/>
        <v>48874.611078268805</v>
      </c>
      <c r="AR26" s="197">
        <f t="shared" si="28"/>
        <v>5453.6312984480828</v>
      </c>
      <c r="AS26" s="197">
        <f t="shared" si="29"/>
        <v>49316.073903540208</v>
      </c>
      <c r="AT26" s="197">
        <f t="shared" si="30"/>
        <v>-441.46282527139215</v>
      </c>
      <c r="AU26" s="199">
        <f t="shared" si="31"/>
        <v>5012.1684731766927</v>
      </c>
      <c r="AX26" s="895">
        <v>15</v>
      </c>
      <c r="AY26" s="197">
        <f t="shared" si="32"/>
        <v>11.617000000000001</v>
      </c>
      <c r="AZ26" s="197">
        <f>'Energy Inputs'!$F$58*$AZ$8</f>
        <v>134.75</v>
      </c>
      <c r="BA26" s="197">
        <f t="shared" si="33"/>
        <v>1565.39075</v>
      </c>
      <c r="BB26" s="197">
        <f>'Margins summary'!$U$14</f>
        <v>471.64</v>
      </c>
      <c r="BC26" s="197">
        <f t="shared" si="34"/>
        <v>2037.0307499999999</v>
      </c>
      <c r="BD26" s="197"/>
      <c r="BE26" s="913">
        <f>'Energy NPV'!U79</f>
        <v>1840.1999999999998</v>
      </c>
      <c r="BF26" s="197"/>
      <c r="BG26" s="197">
        <f t="shared" si="35"/>
        <v>1840.1999999999998</v>
      </c>
      <c r="BH26" s="197">
        <f t="shared" si="4"/>
        <v>-274.80924999999979</v>
      </c>
      <c r="BI26" s="197">
        <f t="shared" si="5"/>
        <v>196.83075000000008</v>
      </c>
      <c r="BJ26" s="196">
        <f t="shared" si="36"/>
        <v>903.9741530047387</v>
      </c>
      <c r="BK26" s="197">
        <f t="shared" si="37"/>
        <v>272.36034806207647</v>
      </c>
      <c r="BL26" s="197">
        <f t="shared" si="38"/>
        <v>1062.6696474086868</v>
      </c>
      <c r="BM26" s="197">
        <f t="shared" si="39"/>
        <v>-158.6954944039482</v>
      </c>
      <c r="BN26" s="199">
        <f t="shared" si="40"/>
        <v>113.66485365812819</v>
      </c>
      <c r="BO26" s="196">
        <f t="shared" si="74"/>
        <v>16291.537026089602</v>
      </c>
      <c r="BP26" s="197">
        <f t="shared" si="41"/>
        <v>5453.6312984480828</v>
      </c>
      <c r="BQ26" s="197">
        <f t="shared" si="42"/>
        <v>49316.073903540208</v>
      </c>
      <c r="BR26" s="197">
        <f t="shared" si="43"/>
        <v>-33024.536877450599</v>
      </c>
      <c r="BS26" s="199">
        <f t="shared" si="44"/>
        <v>-27570.90557900252</v>
      </c>
      <c r="BV26" s="895">
        <v>15</v>
      </c>
      <c r="BW26" s="197">
        <f t="shared" si="45"/>
        <v>11.617000000000001</v>
      </c>
      <c r="BX26" s="197">
        <f>'Energy Inputs'!$F$58*$BX$8</f>
        <v>539</v>
      </c>
      <c r="BY26" s="197">
        <f t="shared" si="46"/>
        <v>6261.5630000000001</v>
      </c>
      <c r="BZ26" s="197">
        <f>'Margins summary'!$U$14</f>
        <v>471.64</v>
      </c>
      <c r="CA26" s="197">
        <f t="shared" si="47"/>
        <v>6733.2030000000004</v>
      </c>
      <c r="CB26" s="197"/>
      <c r="CC26" s="913">
        <f>'Energy NPV'!U79</f>
        <v>1840.1999999999998</v>
      </c>
      <c r="CD26" s="197"/>
      <c r="CE26" s="197">
        <f t="shared" si="48"/>
        <v>1840.1999999999998</v>
      </c>
      <c r="CF26" s="197">
        <f t="shared" si="6"/>
        <v>4421.3630000000003</v>
      </c>
      <c r="CG26" s="197">
        <f t="shared" si="7"/>
        <v>4893.0030000000006</v>
      </c>
      <c r="CH26" s="196">
        <f t="shared" si="49"/>
        <v>3615.8966120189548</v>
      </c>
      <c r="CI26" s="197">
        <f t="shared" si="50"/>
        <v>272.36034806207647</v>
      </c>
      <c r="CJ26" s="197">
        <f t="shared" si="51"/>
        <v>1062.6696474086868</v>
      </c>
      <c r="CK26" s="197">
        <f t="shared" si="52"/>
        <v>2553.2269646102677</v>
      </c>
      <c r="CL26" s="199">
        <f t="shared" si="53"/>
        <v>2825.5873126723445</v>
      </c>
      <c r="CM26" s="196">
        <f t="shared" si="75"/>
        <v>65166.148104358406</v>
      </c>
      <c r="CN26" s="197">
        <f t="shared" si="54"/>
        <v>5453.6312984480828</v>
      </c>
      <c r="CO26" s="197">
        <f t="shared" si="55"/>
        <v>49316.073903540208</v>
      </c>
      <c r="CP26" s="197">
        <f t="shared" si="56"/>
        <v>15850.074200818202</v>
      </c>
      <c r="CQ26" s="199">
        <f t="shared" si="57"/>
        <v>21303.705499266289</v>
      </c>
      <c r="CT26" s="204">
        <f t="shared" si="76"/>
        <v>15</v>
      </c>
      <c r="CU26" s="197">
        <f t="shared" si="58"/>
        <v>11.617000000000001</v>
      </c>
      <c r="CV26" s="197">
        <f>'Energy Inputs'!$F$58*$CV$8</f>
        <v>0</v>
      </c>
      <c r="CW26" s="197">
        <f t="shared" si="59"/>
        <v>0</v>
      </c>
      <c r="CX26" s="197">
        <f>'Margins summary'!$U$14</f>
        <v>471.64</v>
      </c>
      <c r="CY26" s="197">
        <f t="shared" si="60"/>
        <v>471.64</v>
      </c>
      <c r="CZ26" s="197"/>
      <c r="DA26" s="913">
        <f>'Energy NPV'!U79</f>
        <v>1840.1999999999998</v>
      </c>
      <c r="DB26" s="197"/>
      <c r="DC26" s="197">
        <f t="shared" si="61"/>
        <v>1840.1999999999998</v>
      </c>
      <c r="DD26" s="197">
        <f t="shared" si="8"/>
        <v>-1840.1999999999998</v>
      </c>
      <c r="DE26" s="197">
        <f t="shared" si="9"/>
        <v>-1368.56</v>
      </c>
      <c r="DF26" s="196">
        <f t="shared" si="62"/>
        <v>0</v>
      </c>
      <c r="DG26" s="197">
        <f t="shared" si="63"/>
        <v>272.36034806207647</v>
      </c>
      <c r="DH26" s="197">
        <f t="shared" si="64"/>
        <v>1062.6696474086868</v>
      </c>
      <c r="DI26" s="197">
        <f t="shared" si="65"/>
        <v>-1062.6696474086868</v>
      </c>
      <c r="DJ26" s="199">
        <f t="shared" si="66"/>
        <v>-790.30929934661049</v>
      </c>
      <c r="DK26" s="196">
        <f t="shared" si="77"/>
        <v>0</v>
      </c>
      <c r="DL26" s="197">
        <f t="shared" si="67"/>
        <v>5453.6312984480828</v>
      </c>
      <c r="DM26" s="197">
        <f t="shared" si="68"/>
        <v>49316.073903540208</v>
      </c>
      <c r="DN26" s="197">
        <f t="shared" si="69"/>
        <v>-49316.073903540208</v>
      </c>
      <c r="DO26" s="199">
        <f t="shared" si="70"/>
        <v>-43862.442605092117</v>
      </c>
    </row>
    <row r="27" spans="2:119" x14ac:dyDescent="0.3">
      <c r="B27" s="206">
        <f t="shared" si="71"/>
        <v>16</v>
      </c>
      <c r="C27" s="207">
        <f>'Energy NPV'!$D80</f>
        <v>11.617000000000001</v>
      </c>
      <c r="D27" s="207">
        <f>'Energy Inputs'!$F$58*$E$8</f>
        <v>269.5</v>
      </c>
      <c r="E27" s="207">
        <f t="shared" si="10"/>
        <v>3130.7815000000001</v>
      </c>
      <c r="F27" s="207">
        <f>'Margins summary'!$U$14</f>
        <v>471.64</v>
      </c>
      <c r="G27" s="207">
        <f t="shared" si="11"/>
        <v>3602.4214999999999</v>
      </c>
      <c r="H27" s="207"/>
      <c r="I27" s="914">
        <f>'Energy NPV'!U80</f>
        <v>1350.1999999999998</v>
      </c>
      <c r="J27" s="207">
        <f>'Energy margins'!$X$67</f>
        <v>500</v>
      </c>
      <c r="K27" s="207">
        <f t="shared" si="12"/>
        <v>1850.1999999999998</v>
      </c>
      <c r="L27" s="207">
        <f t="shared" si="0"/>
        <v>1280.5815000000002</v>
      </c>
      <c r="M27" s="207">
        <f t="shared" si="1"/>
        <v>1752.2215000000001</v>
      </c>
      <c r="N27" s="208">
        <f t="shared" si="13"/>
        <v>1738.4118327014205</v>
      </c>
      <c r="O27" s="207">
        <f t="shared" si="14"/>
        <v>261.88495005968895</v>
      </c>
      <c r="P27" s="207">
        <f t="shared" si="15"/>
        <v>1027.3503829201009</v>
      </c>
      <c r="Q27" s="207">
        <f t="shared" si="16"/>
        <v>711.06144978131965</v>
      </c>
      <c r="R27" s="209">
        <f>M27/((1+$B$4)^(B27-1))</f>
        <v>972.94639984100854</v>
      </c>
      <c r="S27" s="208">
        <f t="shared" si="72"/>
        <v>34321.485884880625</v>
      </c>
      <c r="T27" s="207">
        <f t="shared" si="18"/>
        <v>5715.5162485077717</v>
      </c>
      <c r="U27" s="207">
        <f t="shared" si="18"/>
        <v>50343.424286460307</v>
      </c>
      <c r="V27" s="207">
        <f t="shared" si="18"/>
        <v>-16021.938401579677</v>
      </c>
      <c r="W27" s="209">
        <f t="shared" si="18"/>
        <v>-10306.422153071906</v>
      </c>
      <c r="Z27" s="896">
        <v>16</v>
      </c>
      <c r="AA27" s="207">
        <f t="shared" si="19"/>
        <v>11.617000000000001</v>
      </c>
      <c r="AB27" s="207">
        <f>'Energy Inputs'!$F$58*$AB$8</f>
        <v>404.25</v>
      </c>
      <c r="AC27" s="207">
        <f>AA27*AB27</f>
        <v>4696.1722500000005</v>
      </c>
      <c r="AD27" s="207">
        <f>'Margins summary'!$U$14</f>
        <v>471.64</v>
      </c>
      <c r="AE27" s="207">
        <f t="shared" si="21"/>
        <v>5167.8122500000009</v>
      </c>
      <c r="AF27" s="207"/>
      <c r="AG27" s="914">
        <f>'Energy NPV'!U80</f>
        <v>1350.1999999999998</v>
      </c>
      <c r="AH27" s="207">
        <f>'Energy margins'!$X$67</f>
        <v>500</v>
      </c>
      <c r="AI27" s="207">
        <f t="shared" si="22"/>
        <v>1850.1999999999998</v>
      </c>
      <c r="AJ27" s="207">
        <f t="shared" si="2"/>
        <v>2845.9722500000007</v>
      </c>
      <c r="AK27" s="207">
        <f t="shared" si="3"/>
        <v>3317.612250000001</v>
      </c>
      <c r="AL27" s="208">
        <f t="shared" si="23"/>
        <v>2607.6177490521313</v>
      </c>
      <c r="AM27" s="207">
        <f t="shared" si="24"/>
        <v>261.88495005968895</v>
      </c>
      <c r="AN27" s="207">
        <f t="shared" si="25"/>
        <v>1027.3503829201009</v>
      </c>
      <c r="AO27" s="207">
        <f t="shared" si="26"/>
        <v>1580.2673661320302</v>
      </c>
      <c r="AP27" s="209">
        <f>AK27/((1+$B$4)^(Z27-1))</f>
        <v>1842.1523161917194</v>
      </c>
      <c r="AQ27" s="208">
        <f t="shared" si="73"/>
        <v>51482.228827320934</v>
      </c>
      <c r="AR27" s="207">
        <f t="shared" si="28"/>
        <v>5715.5162485077717</v>
      </c>
      <c r="AS27" s="207">
        <f t="shared" si="29"/>
        <v>50343.424286460307</v>
      </c>
      <c r="AT27" s="207">
        <f t="shared" si="30"/>
        <v>1138.8045408606381</v>
      </c>
      <c r="AU27" s="209">
        <f t="shared" si="31"/>
        <v>6854.3207893684121</v>
      </c>
      <c r="AX27" s="896">
        <v>16</v>
      </c>
      <c r="AY27" s="207">
        <f t="shared" si="32"/>
        <v>11.617000000000001</v>
      </c>
      <c r="AZ27" s="207">
        <f>'Energy Inputs'!$F$58*$AZ$8</f>
        <v>134.75</v>
      </c>
      <c r="BA27" s="207">
        <f t="shared" si="33"/>
        <v>1565.39075</v>
      </c>
      <c r="BB27" s="207">
        <f>'Margins summary'!$U$14</f>
        <v>471.64</v>
      </c>
      <c r="BC27" s="207">
        <f t="shared" si="34"/>
        <v>2037.0307499999999</v>
      </c>
      <c r="BD27" s="207"/>
      <c r="BE27" s="914">
        <f>'Energy NPV'!U80</f>
        <v>1350.1999999999998</v>
      </c>
      <c r="BF27" s="207">
        <f>'Energy margins'!$X$67</f>
        <v>500</v>
      </c>
      <c r="BG27" s="207">
        <f t="shared" si="35"/>
        <v>1850.1999999999998</v>
      </c>
      <c r="BH27" s="207">
        <f t="shared" si="4"/>
        <v>-284.80924999999979</v>
      </c>
      <c r="BI27" s="207">
        <f t="shared" si="5"/>
        <v>186.83075000000008</v>
      </c>
      <c r="BJ27" s="208">
        <f t="shared" si="36"/>
        <v>869.20591635071025</v>
      </c>
      <c r="BK27" s="207">
        <f t="shared" si="37"/>
        <v>261.88495005968895</v>
      </c>
      <c r="BL27" s="207">
        <f t="shared" si="38"/>
        <v>1027.3503829201009</v>
      </c>
      <c r="BM27" s="207">
        <f t="shared" si="39"/>
        <v>-158.14446656939066</v>
      </c>
      <c r="BN27" s="209">
        <f>BI27/((1+$B$4)^(AX27-1))</f>
        <v>103.74048349029822</v>
      </c>
      <c r="BO27" s="208">
        <f t="shared" si="74"/>
        <v>17160.742942440313</v>
      </c>
      <c r="BP27" s="207">
        <f t="shared" si="41"/>
        <v>5715.5162485077717</v>
      </c>
      <c r="BQ27" s="207">
        <f t="shared" si="42"/>
        <v>50343.424286460307</v>
      </c>
      <c r="BR27" s="207">
        <f t="shared" si="43"/>
        <v>-33182.681344019991</v>
      </c>
      <c r="BS27" s="209">
        <f t="shared" si="44"/>
        <v>-27467.16509551222</v>
      </c>
      <c r="BV27" s="896">
        <v>16</v>
      </c>
      <c r="BW27" s="207">
        <f t="shared" si="45"/>
        <v>11.617000000000001</v>
      </c>
      <c r="BX27" s="207">
        <f>'Energy Inputs'!$F$58*$BX$8</f>
        <v>539</v>
      </c>
      <c r="BY27" s="207">
        <f t="shared" si="46"/>
        <v>6261.5630000000001</v>
      </c>
      <c r="BZ27" s="207">
        <f>'Margins summary'!$U$14</f>
        <v>471.64</v>
      </c>
      <c r="CA27" s="207">
        <f t="shared" si="47"/>
        <v>6733.2030000000004</v>
      </c>
      <c r="CB27" s="207"/>
      <c r="CC27" s="914">
        <f>'Energy NPV'!U80</f>
        <v>1350.1999999999998</v>
      </c>
      <c r="CD27" s="207">
        <f>'Energy margins'!$X$67</f>
        <v>500</v>
      </c>
      <c r="CE27" s="207">
        <f t="shared" si="48"/>
        <v>1850.1999999999998</v>
      </c>
      <c r="CF27" s="207">
        <f t="shared" si="6"/>
        <v>4411.3630000000003</v>
      </c>
      <c r="CG27" s="207">
        <f t="shared" si="7"/>
        <v>4883.0030000000006</v>
      </c>
      <c r="CH27" s="208">
        <f t="shared" si="49"/>
        <v>3476.823665402841</v>
      </c>
      <c r="CI27" s="207">
        <f t="shared" si="50"/>
        <v>261.88495005968895</v>
      </c>
      <c r="CJ27" s="207">
        <f t="shared" si="51"/>
        <v>1027.3503829201009</v>
      </c>
      <c r="CK27" s="207">
        <f t="shared" si="52"/>
        <v>2449.4732824827402</v>
      </c>
      <c r="CL27" s="209">
        <f>CG27/((1+$B$4)^(BV27-1))</f>
        <v>2711.3582325424295</v>
      </c>
      <c r="CM27" s="208">
        <f t="shared" si="75"/>
        <v>68642.97176976125</v>
      </c>
      <c r="CN27" s="207">
        <f t="shared" si="54"/>
        <v>5715.5162485077717</v>
      </c>
      <c r="CO27" s="207">
        <f t="shared" si="55"/>
        <v>50343.424286460307</v>
      </c>
      <c r="CP27" s="207">
        <f t="shared" si="56"/>
        <v>18299.547483300943</v>
      </c>
      <c r="CQ27" s="209">
        <f t="shared" si="57"/>
        <v>24015.063731808717</v>
      </c>
      <c r="CT27" s="206">
        <f t="shared" si="76"/>
        <v>16</v>
      </c>
      <c r="CU27" s="207">
        <f t="shared" si="58"/>
        <v>11.617000000000001</v>
      </c>
      <c r="CV27" s="207">
        <f>'Energy Inputs'!$F$58*$CV$8</f>
        <v>0</v>
      </c>
      <c r="CW27" s="207">
        <f t="shared" si="59"/>
        <v>0</v>
      </c>
      <c r="CX27" s="207">
        <f>'Margins summary'!$U$14</f>
        <v>471.64</v>
      </c>
      <c r="CY27" s="207">
        <f t="shared" si="60"/>
        <v>471.64</v>
      </c>
      <c r="CZ27" s="207"/>
      <c r="DA27" s="914">
        <f>'Energy NPV'!U80</f>
        <v>1350.1999999999998</v>
      </c>
      <c r="DB27" s="207">
        <f>'Energy margins'!$X$67</f>
        <v>500</v>
      </c>
      <c r="DC27" s="207">
        <f t="shared" si="61"/>
        <v>1850.1999999999998</v>
      </c>
      <c r="DD27" s="207">
        <f t="shared" si="8"/>
        <v>-1850.1999999999998</v>
      </c>
      <c r="DE27" s="207">
        <f t="shared" si="9"/>
        <v>-1378.56</v>
      </c>
      <c r="DF27" s="208">
        <f t="shared" si="62"/>
        <v>0</v>
      </c>
      <c r="DG27" s="207">
        <f t="shared" si="63"/>
        <v>261.88495005968895</v>
      </c>
      <c r="DH27" s="207">
        <f t="shared" si="64"/>
        <v>1027.3503829201009</v>
      </c>
      <c r="DI27" s="207">
        <f t="shared" si="65"/>
        <v>-1027.3503829201009</v>
      </c>
      <c r="DJ27" s="209">
        <f>DE27/((1+$B$4)^(CT27-1))</f>
        <v>-765.46543286041208</v>
      </c>
      <c r="DK27" s="208">
        <f t="shared" si="77"/>
        <v>0</v>
      </c>
      <c r="DL27" s="207">
        <f t="shared" si="67"/>
        <v>5715.5162485077717</v>
      </c>
      <c r="DM27" s="207">
        <f t="shared" si="68"/>
        <v>50343.424286460307</v>
      </c>
      <c r="DN27" s="207">
        <f t="shared" si="69"/>
        <v>-50343.424286460307</v>
      </c>
      <c r="DO27" s="209">
        <f t="shared" si="70"/>
        <v>-44627.908037952533</v>
      </c>
    </row>
    <row r="34" spans="2:119" x14ac:dyDescent="0.3">
      <c r="B34" s="228" t="s">
        <v>437</v>
      </c>
      <c r="C34" s="760" t="s">
        <v>386</v>
      </c>
      <c r="D34" s="269" t="s">
        <v>397</v>
      </c>
      <c r="E34" s="194">
        <v>1</v>
      </c>
      <c r="F34" s="193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Z34" s="228" t="s">
        <v>437</v>
      </c>
      <c r="AA34" s="211" t="s">
        <v>308</v>
      </c>
      <c r="AB34" s="902">
        <v>1.5</v>
      </c>
      <c r="AC34" s="194"/>
      <c r="AD34" s="193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X34" s="228" t="s">
        <v>437</v>
      </c>
      <c r="AY34" s="211" t="s">
        <v>319</v>
      </c>
      <c r="AZ34" s="903">
        <v>0.5</v>
      </c>
      <c r="BA34" s="194"/>
      <c r="BB34" s="193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  <c r="BR34" s="102"/>
      <c r="BS34" s="102"/>
      <c r="BV34" s="228" t="s">
        <v>437</v>
      </c>
      <c r="BW34" s="211" t="s">
        <v>320</v>
      </c>
      <c r="BX34" s="903">
        <v>2</v>
      </c>
      <c r="BY34" s="194"/>
      <c r="BZ34" s="193"/>
      <c r="CA34" s="102"/>
      <c r="CB34" s="102"/>
      <c r="CC34" s="102"/>
      <c r="CD34" s="102"/>
      <c r="CE34" s="102"/>
      <c r="CF34" s="102"/>
      <c r="CG34" s="102"/>
      <c r="CH34" s="102"/>
      <c r="CI34" s="102"/>
      <c r="CJ34" s="102"/>
      <c r="CK34" s="102"/>
      <c r="CL34" s="102"/>
      <c r="CM34" s="102"/>
      <c r="CN34" s="102"/>
      <c r="CO34" s="102"/>
      <c r="CP34" s="102"/>
      <c r="CQ34" s="102"/>
      <c r="CT34" s="228" t="s">
        <v>437</v>
      </c>
      <c r="CU34" s="211" t="s">
        <v>321</v>
      </c>
      <c r="CV34" s="903">
        <v>0</v>
      </c>
      <c r="CW34" s="194"/>
      <c r="CX34" s="193"/>
      <c r="CY34" s="102"/>
      <c r="CZ34" s="102"/>
      <c r="DA34" s="102"/>
      <c r="DB34" s="102"/>
      <c r="DC34" s="102"/>
      <c r="DD34" s="102"/>
      <c r="DE34" s="102"/>
      <c r="DF34" s="102"/>
      <c r="DG34" s="102"/>
      <c r="DH34" s="102"/>
      <c r="DI34" s="102"/>
      <c r="DJ34" s="102"/>
      <c r="DK34" s="102"/>
      <c r="DL34" s="102"/>
      <c r="DM34" s="102"/>
      <c r="DN34" s="102"/>
      <c r="DO34" s="102"/>
    </row>
    <row r="35" spans="2:119" x14ac:dyDescent="0.3">
      <c r="B35" s="203"/>
      <c r="C35" s="148"/>
      <c r="D35" s="148"/>
      <c r="E35" s="1082"/>
      <c r="F35" s="1082"/>
      <c r="G35" s="1082"/>
      <c r="H35" s="148"/>
      <c r="I35" s="926"/>
      <c r="J35" s="1082"/>
      <c r="K35" s="1082"/>
      <c r="L35" s="148"/>
      <c r="M35" s="148"/>
      <c r="N35" s="1083" t="s">
        <v>273</v>
      </c>
      <c r="O35" s="1084"/>
      <c r="P35" s="1084"/>
      <c r="Q35" s="1084"/>
      <c r="R35" s="1085"/>
      <c r="S35" s="1083" t="s">
        <v>274</v>
      </c>
      <c r="T35" s="1084"/>
      <c r="U35" s="1084"/>
      <c r="V35" s="1084"/>
      <c r="W35" s="1085"/>
      <c r="Z35" s="203"/>
      <c r="AA35" s="148"/>
      <c r="AB35" s="148"/>
      <c r="AC35" s="985"/>
      <c r="AD35" s="985"/>
      <c r="AE35" s="985"/>
      <c r="AF35" s="148"/>
      <c r="AG35" s="926"/>
      <c r="AH35" s="985"/>
      <c r="AI35" s="985"/>
      <c r="AJ35" s="148"/>
      <c r="AK35" s="148"/>
      <c r="AL35" s="986" t="s">
        <v>273</v>
      </c>
      <c r="AM35" s="987"/>
      <c r="AN35" s="987"/>
      <c r="AO35" s="987"/>
      <c r="AP35" s="988"/>
      <c r="AQ35" s="986" t="s">
        <v>274</v>
      </c>
      <c r="AR35" s="987"/>
      <c r="AS35" s="987"/>
      <c r="AT35" s="987"/>
      <c r="AU35" s="988"/>
      <c r="AX35" s="203"/>
      <c r="AY35" s="148"/>
      <c r="AZ35" s="148"/>
      <c r="BA35" s="985"/>
      <c r="BB35" s="985"/>
      <c r="BC35" s="985"/>
      <c r="BD35" s="148"/>
      <c r="BE35" s="926"/>
      <c r="BF35" s="985"/>
      <c r="BG35" s="985"/>
      <c r="BH35" s="148"/>
      <c r="BI35" s="148"/>
      <c r="BJ35" s="986" t="s">
        <v>273</v>
      </c>
      <c r="BK35" s="987"/>
      <c r="BL35" s="987"/>
      <c r="BM35" s="987"/>
      <c r="BN35" s="988"/>
      <c r="BO35" s="986" t="s">
        <v>274</v>
      </c>
      <c r="BP35" s="987"/>
      <c r="BQ35" s="987"/>
      <c r="BR35" s="987"/>
      <c r="BS35" s="988"/>
      <c r="BV35" s="203"/>
      <c r="BW35" s="148"/>
      <c r="BX35" s="148"/>
      <c r="BY35" s="985"/>
      <c r="BZ35" s="985"/>
      <c r="CA35" s="985"/>
      <c r="CB35" s="148"/>
      <c r="CC35" s="926"/>
      <c r="CD35" s="985"/>
      <c r="CE35" s="985"/>
      <c r="CF35" s="148"/>
      <c r="CG35" s="148"/>
      <c r="CH35" s="986" t="s">
        <v>273</v>
      </c>
      <c r="CI35" s="987"/>
      <c r="CJ35" s="987"/>
      <c r="CK35" s="987"/>
      <c r="CL35" s="988"/>
      <c r="CM35" s="986" t="s">
        <v>274</v>
      </c>
      <c r="CN35" s="987"/>
      <c r="CO35" s="987"/>
      <c r="CP35" s="987"/>
      <c r="CQ35" s="988"/>
      <c r="CT35" s="203"/>
      <c r="CU35" s="148"/>
      <c r="CV35" s="148"/>
      <c r="CW35" s="985"/>
      <c r="CX35" s="985"/>
      <c r="CY35" s="985"/>
      <c r="CZ35" s="148"/>
      <c r="DA35" s="926"/>
      <c r="DB35" s="985"/>
      <c r="DC35" s="985"/>
      <c r="DD35" s="148"/>
      <c r="DE35" s="148"/>
      <c r="DF35" s="986" t="s">
        <v>273</v>
      </c>
      <c r="DG35" s="987"/>
      <c r="DH35" s="987"/>
      <c r="DI35" s="987"/>
      <c r="DJ35" s="988"/>
      <c r="DK35" s="986" t="s">
        <v>274</v>
      </c>
      <c r="DL35" s="987"/>
      <c r="DM35" s="987"/>
      <c r="DN35" s="987"/>
      <c r="DO35" s="988"/>
    </row>
    <row r="36" spans="2:119" ht="51" x14ac:dyDescent="0.3">
      <c r="B36" s="204" t="s">
        <v>275</v>
      </c>
      <c r="C36" s="205" t="s">
        <v>293</v>
      </c>
      <c r="D36" s="205" t="s">
        <v>294</v>
      </c>
      <c r="E36" s="171" t="s">
        <v>622</v>
      </c>
      <c r="F36" s="171" t="s">
        <v>591</v>
      </c>
      <c r="G36" s="171" t="s">
        <v>623</v>
      </c>
      <c r="H36" s="205" t="s">
        <v>291</v>
      </c>
      <c r="I36" s="930" t="str">
        <f>'Energy NPV'!U89</f>
        <v>Total Recurring Costs</v>
      </c>
      <c r="J36" s="205" t="s">
        <v>295</v>
      </c>
      <c r="K36" s="171" t="s">
        <v>279</v>
      </c>
      <c r="L36" s="171" t="s">
        <v>624</v>
      </c>
      <c r="M36" s="171" t="s">
        <v>625</v>
      </c>
      <c r="N36" s="195" t="s">
        <v>280</v>
      </c>
      <c r="O36" s="171" t="s">
        <v>626</v>
      </c>
      <c r="P36" s="171" t="s">
        <v>281</v>
      </c>
      <c r="Q36" s="171" t="s">
        <v>627</v>
      </c>
      <c r="R36" s="198" t="s">
        <v>282</v>
      </c>
      <c r="S36" s="195" t="s">
        <v>283</v>
      </c>
      <c r="T36" s="171" t="s">
        <v>628</v>
      </c>
      <c r="U36" s="171" t="s">
        <v>284</v>
      </c>
      <c r="V36" s="171" t="s">
        <v>629</v>
      </c>
      <c r="W36" s="198" t="s">
        <v>285</v>
      </c>
      <c r="Z36" s="204" t="s">
        <v>275</v>
      </c>
      <c r="AA36" s="205" t="s">
        <v>293</v>
      </c>
      <c r="AB36" s="205" t="s">
        <v>294</v>
      </c>
      <c r="AC36" s="171" t="s">
        <v>622</v>
      </c>
      <c r="AD36" s="171" t="s">
        <v>591</v>
      </c>
      <c r="AE36" s="171" t="s">
        <v>623</v>
      </c>
      <c r="AF36" s="205" t="s">
        <v>291</v>
      </c>
      <c r="AG36" s="930" t="str">
        <f>'Energy NPV'!U89</f>
        <v>Total Recurring Costs</v>
      </c>
      <c r="AH36" s="205" t="s">
        <v>295</v>
      </c>
      <c r="AI36" s="171" t="s">
        <v>279</v>
      </c>
      <c r="AJ36" s="171" t="s">
        <v>624</v>
      </c>
      <c r="AK36" s="171" t="s">
        <v>625</v>
      </c>
      <c r="AL36" s="195" t="s">
        <v>280</v>
      </c>
      <c r="AM36" s="171" t="s">
        <v>626</v>
      </c>
      <c r="AN36" s="171" t="s">
        <v>281</v>
      </c>
      <c r="AO36" s="171" t="s">
        <v>627</v>
      </c>
      <c r="AP36" s="198" t="s">
        <v>282</v>
      </c>
      <c r="AQ36" s="195" t="s">
        <v>283</v>
      </c>
      <c r="AR36" s="171" t="s">
        <v>628</v>
      </c>
      <c r="AS36" s="171" t="s">
        <v>284</v>
      </c>
      <c r="AT36" s="171" t="s">
        <v>629</v>
      </c>
      <c r="AU36" s="198" t="s">
        <v>285</v>
      </c>
      <c r="AX36" s="204" t="s">
        <v>275</v>
      </c>
      <c r="AY36" s="205" t="s">
        <v>293</v>
      </c>
      <c r="AZ36" s="205" t="s">
        <v>294</v>
      </c>
      <c r="BA36" s="171" t="s">
        <v>622</v>
      </c>
      <c r="BB36" s="171" t="s">
        <v>591</v>
      </c>
      <c r="BC36" s="171" t="s">
        <v>623</v>
      </c>
      <c r="BD36" s="205" t="s">
        <v>291</v>
      </c>
      <c r="BE36" s="930" t="str">
        <f>'Energy NPV'!U89</f>
        <v>Total Recurring Costs</v>
      </c>
      <c r="BF36" s="205" t="s">
        <v>295</v>
      </c>
      <c r="BG36" s="171" t="s">
        <v>279</v>
      </c>
      <c r="BH36" s="171" t="s">
        <v>624</v>
      </c>
      <c r="BI36" s="171" t="s">
        <v>625</v>
      </c>
      <c r="BJ36" s="195" t="s">
        <v>280</v>
      </c>
      <c r="BK36" s="171" t="s">
        <v>626</v>
      </c>
      <c r="BL36" s="171" t="s">
        <v>281</v>
      </c>
      <c r="BM36" s="171" t="s">
        <v>627</v>
      </c>
      <c r="BN36" s="198" t="s">
        <v>282</v>
      </c>
      <c r="BO36" s="195" t="s">
        <v>283</v>
      </c>
      <c r="BP36" s="171" t="s">
        <v>628</v>
      </c>
      <c r="BQ36" s="171" t="s">
        <v>284</v>
      </c>
      <c r="BR36" s="171" t="s">
        <v>629</v>
      </c>
      <c r="BS36" s="198" t="s">
        <v>285</v>
      </c>
      <c r="BV36" s="204" t="s">
        <v>275</v>
      </c>
      <c r="BW36" s="205" t="s">
        <v>293</v>
      </c>
      <c r="BX36" s="205" t="s">
        <v>294</v>
      </c>
      <c r="BY36" s="171" t="s">
        <v>622</v>
      </c>
      <c r="BZ36" s="171" t="s">
        <v>591</v>
      </c>
      <c r="CA36" s="171" t="s">
        <v>623</v>
      </c>
      <c r="CB36" s="205" t="s">
        <v>291</v>
      </c>
      <c r="CC36" s="930" t="str">
        <f>'Energy NPV'!U89</f>
        <v>Total Recurring Costs</v>
      </c>
      <c r="CD36" s="205" t="s">
        <v>295</v>
      </c>
      <c r="CE36" s="171" t="s">
        <v>279</v>
      </c>
      <c r="CF36" s="171" t="s">
        <v>624</v>
      </c>
      <c r="CG36" s="171" t="s">
        <v>625</v>
      </c>
      <c r="CH36" s="195" t="s">
        <v>280</v>
      </c>
      <c r="CI36" s="171" t="s">
        <v>626</v>
      </c>
      <c r="CJ36" s="171" t="s">
        <v>281</v>
      </c>
      <c r="CK36" s="171" t="s">
        <v>627</v>
      </c>
      <c r="CL36" s="198" t="s">
        <v>282</v>
      </c>
      <c r="CM36" s="195" t="s">
        <v>283</v>
      </c>
      <c r="CN36" s="171" t="s">
        <v>628</v>
      </c>
      <c r="CO36" s="171" t="s">
        <v>284</v>
      </c>
      <c r="CP36" s="171" t="s">
        <v>629</v>
      </c>
      <c r="CQ36" s="198" t="s">
        <v>285</v>
      </c>
      <c r="CT36" s="204" t="s">
        <v>275</v>
      </c>
      <c r="CU36" s="205" t="s">
        <v>293</v>
      </c>
      <c r="CV36" s="205" t="s">
        <v>294</v>
      </c>
      <c r="CW36" s="171" t="s">
        <v>622</v>
      </c>
      <c r="CX36" s="171" t="s">
        <v>591</v>
      </c>
      <c r="CY36" s="171" t="s">
        <v>623</v>
      </c>
      <c r="CZ36" s="205" t="s">
        <v>291</v>
      </c>
      <c r="DA36" s="930" t="str">
        <f>'Energy NPV'!U89</f>
        <v>Total Recurring Costs</v>
      </c>
      <c r="DB36" s="205" t="s">
        <v>295</v>
      </c>
      <c r="DC36" s="171" t="s">
        <v>279</v>
      </c>
      <c r="DD36" s="171" t="s">
        <v>624</v>
      </c>
      <c r="DE36" s="171" t="s">
        <v>625</v>
      </c>
      <c r="DF36" s="195" t="s">
        <v>280</v>
      </c>
      <c r="DG36" s="171" t="s">
        <v>626</v>
      </c>
      <c r="DH36" s="171" t="s">
        <v>281</v>
      </c>
      <c r="DI36" s="171" t="s">
        <v>627</v>
      </c>
      <c r="DJ36" s="198" t="s">
        <v>282</v>
      </c>
      <c r="DK36" s="195" t="s">
        <v>283</v>
      </c>
      <c r="DL36" s="171" t="s">
        <v>628</v>
      </c>
      <c r="DM36" s="171" t="s">
        <v>284</v>
      </c>
      <c r="DN36" s="171" t="s">
        <v>629</v>
      </c>
      <c r="DO36" s="198" t="s">
        <v>285</v>
      </c>
    </row>
    <row r="37" spans="2:119" x14ac:dyDescent="0.3">
      <c r="B37" s="173"/>
      <c r="C37" s="226" t="s">
        <v>336</v>
      </c>
      <c r="D37" s="226" t="s">
        <v>573</v>
      </c>
      <c r="E37" s="201" t="s">
        <v>571</v>
      </c>
      <c r="F37" s="201" t="s">
        <v>571</v>
      </c>
      <c r="G37" s="201" t="s">
        <v>571</v>
      </c>
      <c r="H37" s="201" t="s">
        <v>571</v>
      </c>
      <c r="I37" s="964" t="str">
        <f>'Energy NPV'!U90</f>
        <v>(PLN ha-1)</v>
      </c>
      <c r="J37" s="201" t="s">
        <v>571</v>
      </c>
      <c r="K37" s="201" t="s">
        <v>571</v>
      </c>
      <c r="L37" s="201" t="s">
        <v>571</v>
      </c>
      <c r="M37" s="202" t="s">
        <v>571</v>
      </c>
      <c r="N37" s="201" t="s">
        <v>571</v>
      </c>
      <c r="O37" s="201" t="s">
        <v>571</v>
      </c>
      <c r="P37" s="201" t="s">
        <v>571</v>
      </c>
      <c r="Q37" s="201" t="s">
        <v>571</v>
      </c>
      <c r="R37" s="202" t="s">
        <v>571</v>
      </c>
      <c r="S37" s="201" t="s">
        <v>571</v>
      </c>
      <c r="T37" s="201" t="s">
        <v>571</v>
      </c>
      <c r="U37" s="201" t="s">
        <v>571</v>
      </c>
      <c r="V37" s="201" t="s">
        <v>571</v>
      </c>
      <c r="W37" s="202" t="s">
        <v>571</v>
      </c>
      <c r="Z37" s="173"/>
      <c r="AA37" s="226" t="s">
        <v>336</v>
      </c>
      <c r="AB37" s="226" t="s">
        <v>573</v>
      </c>
      <c r="AC37" s="201" t="s">
        <v>571</v>
      </c>
      <c r="AD37" s="201" t="s">
        <v>571</v>
      </c>
      <c r="AE37" s="201" t="s">
        <v>571</v>
      </c>
      <c r="AF37" s="201" t="s">
        <v>571</v>
      </c>
      <c r="AG37" s="964" t="str">
        <f>'Energy NPV'!U90</f>
        <v>(PLN ha-1)</v>
      </c>
      <c r="AH37" s="201" t="s">
        <v>571</v>
      </c>
      <c r="AI37" s="201" t="s">
        <v>571</v>
      </c>
      <c r="AJ37" s="201" t="s">
        <v>571</v>
      </c>
      <c r="AK37" s="202" t="s">
        <v>571</v>
      </c>
      <c r="AL37" s="201" t="s">
        <v>571</v>
      </c>
      <c r="AM37" s="201" t="s">
        <v>571</v>
      </c>
      <c r="AN37" s="201" t="s">
        <v>571</v>
      </c>
      <c r="AO37" s="201" t="s">
        <v>571</v>
      </c>
      <c r="AP37" s="202" t="s">
        <v>571</v>
      </c>
      <c r="AQ37" s="201" t="s">
        <v>571</v>
      </c>
      <c r="AR37" s="201" t="s">
        <v>571</v>
      </c>
      <c r="AS37" s="201" t="s">
        <v>571</v>
      </c>
      <c r="AT37" s="201" t="s">
        <v>571</v>
      </c>
      <c r="AU37" s="202" t="s">
        <v>571</v>
      </c>
      <c r="AX37" s="173"/>
      <c r="AY37" s="226" t="s">
        <v>336</v>
      </c>
      <c r="AZ37" s="226" t="s">
        <v>573</v>
      </c>
      <c r="BA37" s="201" t="s">
        <v>571</v>
      </c>
      <c r="BB37" s="201" t="s">
        <v>571</v>
      </c>
      <c r="BC37" s="201" t="s">
        <v>571</v>
      </c>
      <c r="BD37" s="201" t="s">
        <v>571</v>
      </c>
      <c r="BE37" s="964" t="str">
        <f>'Energy NPV'!U90</f>
        <v>(PLN ha-1)</v>
      </c>
      <c r="BF37" s="201" t="s">
        <v>571</v>
      </c>
      <c r="BG37" s="201" t="s">
        <v>571</v>
      </c>
      <c r="BH37" s="201" t="s">
        <v>571</v>
      </c>
      <c r="BI37" s="202" t="s">
        <v>571</v>
      </c>
      <c r="BJ37" s="201" t="s">
        <v>571</v>
      </c>
      <c r="BK37" s="201" t="s">
        <v>571</v>
      </c>
      <c r="BL37" s="201" t="s">
        <v>571</v>
      </c>
      <c r="BM37" s="201" t="s">
        <v>571</v>
      </c>
      <c r="BN37" s="202" t="s">
        <v>571</v>
      </c>
      <c r="BO37" s="201" t="s">
        <v>571</v>
      </c>
      <c r="BP37" s="201" t="s">
        <v>571</v>
      </c>
      <c r="BQ37" s="201" t="s">
        <v>571</v>
      </c>
      <c r="BR37" s="201" t="s">
        <v>571</v>
      </c>
      <c r="BS37" s="202" t="s">
        <v>571</v>
      </c>
      <c r="BV37" s="173"/>
      <c r="BW37" s="226" t="s">
        <v>336</v>
      </c>
      <c r="BX37" s="226" t="s">
        <v>573</v>
      </c>
      <c r="BY37" s="201" t="s">
        <v>571</v>
      </c>
      <c r="BZ37" s="201" t="s">
        <v>571</v>
      </c>
      <c r="CA37" s="201" t="s">
        <v>571</v>
      </c>
      <c r="CB37" s="201" t="s">
        <v>571</v>
      </c>
      <c r="CC37" s="964" t="str">
        <f>'Energy NPV'!U90</f>
        <v>(PLN ha-1)</v>
      </c>
      <c r="CD37" s="201" t="s">
        <v>571</v>
      </c>
      <c r="CE37" s="201" t="s">
        <v>571</v>
      </c>
      <c r="CF37" s="201" t="s">
        <v>571</v>
      </c>
      <c r="CG37" s="202" t="s">
        <v>571</v>
      </c>
      <c r="CH37" s="201" t="s">
        <v>571</v>
      </c>
      <c r="CI37" s="201" t="s">
        <v>571</v>
      </c>
      <c r="CJ37" s="201" t="s">
        <v>571</v>
      </c>
      <c r="CK37" s="201" t="s">
        <v>571</v>
      </c>
      <c r="CL37" s="202" t="s">
        <v>571</v>
      </c>
      <c r="CM37" s="201" t="s">
        <v>571</v>
      </c>
      <c r="CN37" s="201" t="s">
        <v>571</v>
      </c>
      <c r="CO37" s="201" t="s">
        <v>571</v>
      </c>
      <c r="CP37" s="201" t="s">
        <v>571</v>
      </c>
      <c r="CQ37" s="202" t="s">
        <v>571</v>
      </c>
      <c r="CT37" s="173"/>
      <c r="CU37" s="226" t="s">
        <v>336</v>
      </c>
      <c r="CV37" s="226" t="s">
        <v>573</v>
      </c>
      <c r="CW37" s="201" t="s">
        <v>571</v>
      </c>
      <c r="CX37" s="201" t="s">
        <v>571</v>
      </c>
      <c r="CY37" s="201" t="s">
        <v>571</v>
      </c>
      <c r="CZ37" s="201" t="s">
        <v>571</v>
      </c>
      <c r="DA37" s="964" t="str">
        <f>'Energy NPV'!U90</f>
        <v>(PLN ha-1)</v>
      </c>
      <c r="DB37" s="201" t="s">
        <v>571</v>
      </c>
      <c r="DC37" s="201" t="s">
        <v>571</v>
      </c>
      <c r="DD37" s="201" t="s">
        <v>571</v>
      </c>
      <c r="DE37" s="202" t="s">
        <v>571</v>
      </c>
      <c r="DF37" s="201" t="s">
        <v>571</v>
      </c>
      <c r="DG37" s="201" t="s">
        <v>571</v>
      </c>
      <c r="DH37" s="201" t="s">
        <v>571</v>
      </c>
      <c r="DI37" s="201" t="s">
        <v>571</v>
      </c>
      <c r="DJ37" s="202" t="s">
        <v>571</v>
      </c>
      <c r="DK37" s="201" t="s">
        <v>571</v>
      </c>
      <c r="DL37" s="201" t="s">
        <v>571</v>
      </c>
      <c r="DM37" s="201" t="s">
        <v>571</v>
      </c>
      <c r="DN37" s="201" t="s">
        <v>571</v>
      </c>
      <c r="DO37" s="202" t="s">
        <v>571</v>
      </c>
    </row>
    <row r="38" spans="2:119" x14ac:dyDescent="0.3">
      <c r="B38" s="204">
        <v>1</v>
      </c>
      <c r="C38" s="197">
        <f>'Energy NPV'!$D91</f>
        <v>0</v>
      </c>
      <c r="D38" s="197">
        <f>'Energy Inputs'!$G$58*$E$34</f>
        <v>269.5</v>
      </c>
      <c r="E38" s="197">
        <f>C38*D38</f>
        <v>0</v>
      </c>
      <c r="F38" s="197">
        <f>'Margins summary'!$W$14</f>
        <v>471.64</v>
      </c>
      <c r="G38" s="197">
        <f>E38+F38</f>
        <v>471.64</v>
      </c>
      <c r="H38" s="197">
        <f>'Margins summary'!$V$20</f>
        <v>10887.875</v>
      </c>
      <c r="I38" s="913">
        <f>'Energy NPV'!U91</f>
        <v>0</v>
      </c>
      <c r="J38" s="197"/>
      <c r="K38" s="197">
        <f>H38+I38+J38</f>
        <v>10887.875</v>
      </c>
      <c r="L38" s="197">
        <f t="shared" ref="L38:L53" si="78">E38-K38</f>
        <v>-10887.875</v>
      </c>
      <c r="M38" s="197">
        <f t="shared" ref="M38:M53" si="79">G38-K38</f>
        <v>-10416.235000000001</v>
      </c>
      <c r="N38" s="1014">
        <f>E38/(1+$B$4)^(B38-1)</f>
        <v>0</v>
      </c>
      <c r="O38" s="213">
        <f>F38/(1+$B$4)^(B38-1)</f>
        <v>471.64</v>
      </c>
      <c r="P38" s="213">
        <f>K38/(1+$B$4)^(B38-1)</f>
        <v>10887.875</v>
      </c>
      <c r="Q38" s="213">
        <f>L38/(1+$B$4)^(B38-1)</f>
        <v>-10887.875</v>
      </c>
      <c r="R38" s="924">
        <f>M38/(1+$B$4)^(B38-1)</f>
        <v>-10416.235000000001</v>
      </c>
      <c r="S38" s="196">
        <f>N38</f>
        <v>0</v>
      </c>
      <c r="T38" s="197">
        <f>O38</f>
        <v>471.64</v>
      </c>
      <c r="U38" s="197">
        <f>P38</f>
        <v>10887.875</v>
      </c>
      <c r="V38" s="197">
        <f>Q38</f>
        <v>-10887.875</v>
      </c>
      <c r="W38" s="199">
        <f>R38</f>
        <v>-10416.235000000001</v>
      </c>
      <c r="Z38" s="894">
        <v>1</v>
      </c>
      <c r="AA38" s="197">
        <f>$C38</f>
        <v>0</v>
      </c>
      <c r="AB38" s="197">
        <f>'Energy Inputs'!$G$58*$AB$34</f>
        <v>404.25</v>
      </c>
      <c r="AC38" s="197">
        <f>AA38*AB38</f>
        <v>0</v>
      </c>
      <c r="AD38" s="197">
        <f>'Margins summary'!$W$14</f>
        <v>471.64</v>
      </c>
      <c r="AE38" s="197">
        <f>AC38+AD38</f>
        <v>471.64</v>
      </c>
      <c r="AF38" s="197">
        <f>'Margins summary'!$V$20</f>
        <v>10887.875</v>
      </c>
      <c r="AG38" s="913">
        <f>'Energy NPV'!U91</f>
        <v>0</v>
      </c>
      <c r="AH38" s="197"/>
      <c r="AI38" s="197">
        <f>AF38+AG38+AH38</f>
        <v>10887.875</v>
      </c>
      <c r="AJ38" s="197">
        <f t="shared" ref="AJ38:AJ53" si="80">AC38-AI38</f>
        <v>-10887.875</v>
      </c>
      <c r="AK38" s="197">
        <f t="shared" ref="AK38:AK53" si="81">AE38-AI38</f>
        <v>-10416.235000000001</v>
      </c>
      <c r="AL38" s="1014">
        <f>AC38/(1+$B$4)^(Z38-1)</f>
        <v>0</v>
      </c>
      <c r="AM38" s="213">
        <f>AD38/(1+$B$4)^(Z38-1)</f>
        <v>471.64</v>
      </c>
      <c r="AN38" s="213">
        <f>AI38/(1+$B$4)^(Z38-1)</f>
        <v>10887.875</v>
      </c>
      <c r="AO38" s="213">
        <f>AJ38/(1+$B$4)^(Z38-1)</f>
        <v>-10887.875</v>
      </c>
      <c r="AP38" s="924">
        <f>AK38/(1+$B$4)^(Z38-1)</f>
        <v>-10416.235000000001</v>
      </c>
      <c r="AQ38" s="196">
        <f>AL38</f>
        <v>0</v>
      </c>
      <c r="AR38" s="197">
        <f>AM38</f>
        <v>471.64</v>
      </c>
      <c r="AS38" s="197">
        <f>AN38</f>
        <v>10887.875</v>
      </c>
      <c r="AT38" s="197">
        <f>AO38</f>
        <v>-10887.875</v>
      </c>
      <c r="AU38" s="199">
        <f>AP38</f>
        <v>-10416.235000000001</v>
      </c>
      <c r="AX38" s="894">
        <v>1</v>
      </c>
      <c r="AY38" s="197">
        <f>$C38</f>
        <v>0</v>
      </c>
      <c r="AZ38" s="197">
        <f>'Energy Inputs'!$G$58*$AZ$34</f>
        <v>134.75</v>
      </c>
      <c r="BA38" s="197">
        <f>AY38*AZ38</f>
        <v>0</v>
      </c>
      <c r="BB38" s="197">
        <f>'Margins summary'!$W$14</f>
        <v>471.64</v>
      </c>
      <c r="BC38" s="197">
        <f>BA38+BB38</f>
        <v>471.64</v>
      </c>
      <c r="BD38" s="197">
        <f>'Margins summary'!$V$20</f>
        <v>10887.875</v>
      </c>
      <c r="BE38" s="913">
        <f>'Energy NPV'!U91</f>
        <v>0</v>
      </c>
      <c r="BF38" s="197"/>
      <c r="BG38" s="197">
        <f>BD38+BE38+BF38</f>
        <v>10887.875</v>
      </c>
      <c r="BH38" s="197">
        <f t="shared" ref="BH38:BH53" si="82">BA38-BG38</f>
        <v>-10887.875</v>
      </c>
      <c r="BI38" s="197">
        <f t="shared" ref="BI38:BI53" si="83">BC38-BG38</f>
        <v>-10416.235000000001</v>
      </c>
      <c r="BJ38" s="1014">
        <f>BA38/(1+$B$4)^(AX38-1)</f>
        <v>0</v>
      </c>
      <c r="BK38" s="213">
        <f>BB38/(1+$B$4)^(AX38-1)</f>
        <v>471.64</v>
      </c>
      <c r="BL38" s="213">
        <f>BG38/(1+$B$4)^(AX38-1)</f>
        <v>10887.875</v>
      </c>
      <c r="BM38" s="213">
        <f>BH38/(1+$B$4)^(AX38-1)</f>
        <v>-10887.875</v>
      </c>
      <c r="BN38" s="924">
        <f>BI38/(1+$B$4)^(AX38-1)</f>
        <v>-10416.235000000001</v>
      </c>
      <c r="BO38" s="196">
        <f>BJ38</f>
        <v>0</v>
      </c>
      <c r="BP38" s="197">
        <f>BK38</f>
        <v>471.64</v>
      </c>
      <c r="BQ38" s="197">
        <f>BL38</f>
        <v>10887.875</v>
      </c>
      <c r="BR38" s="197">
        <f>BM38</f>
        <v>-10887.875</v>
      </c>
      <c r="BS38" s="199">
        <f>BN38</f>
        <v>-10416.235000000001</v>
      </c>
      <c r="BV38" s="894">
        <v>1</v>
      </c>
      <c r="BW38" s="197">
        <f>$C38</f>
        <v>0</v>
      </c>
      <c r="BX38" s="197">
        <f>'Energy Inputs'!$G$58*$BX$34</f>
        <v>539</v>
      </c>
      <c r="BY38" s="197">
        <f>BW38*BX38</f>
        <v>0</v>
      </c>
      <c r="BZ38" s="197">
        <f>'Margins summary'!$W$14</f>
        <v>471.64</v>
      </c>
      <c r="CA38" s="197">
        <f>BY38+BZ38</f>
        <v>471.64</v>
      </c>
      <c r="CB38" s="197">
        <f>'Margins summary'!$V$20</f>
        <v>10887.875</v>
      </c>
      <c r="CC38" s="913">
        <f>'Energy NPV'!U91</f>
        <v>0</v>
      </c>
      <c r="CD38" s="197"/>
      <c r="CE38" s="197">
        <f>CB38+CC38+CD38</f>
        <v>10887.875</v>
      </c>
      <c r="CF38" s="197">
        <f t="shared" ref="CF38:CF53" si="84">BY38-CE38</f>
        <v>-10887.875</v>
      </c>
      <c r="CG38" s="197">
        <f t="shared" ref="CG38:CG53" si="85">CA38-CE38</f>
        <v>-10416.235000000001</v>
      </c>
      <c r="CH38" s="1014">
        <f>BY38/(1+$B$4)^(BV38-1)</f>
        <v>0</v>
      </c>
      <c r="CI38" s="213">
        <f>BZ38/(1+$B$4)^(BV38-1)</f>
        <v>471.64</v>
      </c>
      <c r="CJ38" s="213">
        <f>CE38/(1+$B$4)^(BV38-1)</f>
        <v>10887.875</v>
      </c>
      <c r="CK38" s="213">
        <f>CF38/(1+$B$4)^(BV38-1)</f>
        <v>-10887.875</v>
      </c>
      <c r="CL38" s="924">
        <f>CG38/(1+$B$4)^(BV38-1)</f>
        <v>-10416.235000000001</v>
      </c>
      <c r="CM38" s="196">
        <f>CH38</f>
        <v>0</v>
      </c>
      <c r="CN38" s="197">
        <f>CI38</f>
        <v>471.64</v>
      </c>
      <c r="CO38" s="197">
        <f>CJ38</f>
        <v>10887.875</v>
      </c>
      <c r="CP38" s="197">
        <f>CK38</f>
        <v>-10887.875</v>
      </c>
      <c r="CQ38" s="199">
        <f>CL38</f>
        <v>-10416.235000000001</v>
      </c>
      <c r="CT38" s="204">
        <v>1</v>
      </c>
      <c r="CU38" s="197">
        <f>$C38</f>
        <v>0</v>
      </c>
      <c r="CV38" s="197">
        <f>'Energy Inputs'!$G$58*$CV$34</f>
        <v>0</v>
      </c>
      <c r="CW38" s="197">
        <f>CU38*CV38</f>
        <v>0</v>
      </c>
      <c r="CX38" s="197">
        <f>'Margins summary'!$W$14</f>
        <v>471.64</v>
      </c>
      <c r="CY38" s="197">
        <f>CW38+CX38</f>
        <v>471.64</v>
      </c>
      <c r="CZ38" s="197">
        <f>'Margins summary'!$V$20</f>
        <v>10887.875</v>
      </c>
      <c r="DA38" s="913">
        <f>'Energy NPV'!U91</f>
        <v>0</v>
      </c>
      <c r="DB38" s="197"/>
      <c r="DC38" s="197">
        <f>CZ38+DA38+DB38</f>
        <v>10887.875</v>
      </c>
      <c r="DD38" s="197">
        <f t="shared" ref="DD38:DD53" si="86">CW38-DC38</f>
        <v>-10887.875</v>
      </c>
      <c r="DE38" s="197">
        <f t="shared" ref="DE38:DE53" si="87">CY38-DC38</f>
        <v>-10416.235000000001</v>
      </c>
      <c r="DF38" s="1014">
        <f>CW38/(1+$B$4)^(CT38-1)</f>
        <v>0</v>
      </c>
      <c r="DG38" s="213">
        <f>CX38/(1+$B$4)^(CT38-1)</f>
        <v>471.64</v>
      </c>
      <c r="DH38" s="213">
        <f>DC38/(1+$B$4)^(CT38-1)</f>
        <v>10887.875</v>
      </c>
      <c r="DI38" s="213">
        <f>DD38/(1+$B$4)^(CT38-1)</f>
        <v>-10887.875</v>
      </c>
      <c r="DJ38" s="924">
        <f>DE38/(1+$B$4)^(CT38-1)</f>
        <v>-10416.235000000001</v>
      </c>
      <c r="DK38" s="196">
        <f>DF38</f>
        <v>0</v>
      </c>
      <c r="DL38" s="197">
        <f>DG38</f>
        <v>471.64</v>
      </c>
      <c r="DM38" s="197">
        <f>DH38</f>
        <v>10887.875</v>
      </c>
      <c r="DN38" s="197">
        <f>DI38</f>
        <v>-10887.875</v>
      </c>
      <c r="DO38" s="199">
        <f>DJ38</f>
        <v>-10416.235000000001</v>
      </c>
    </row>
    <row r="39" spans="2:119" x14ac:dyDescent="0.3">
      <c r="B39" s="204">
        <f>B38+1</f>
        <v>2</v>
      </c>
      <c r="C39" s="197">
        <f>'Energy NPV'!$D92</f>
        <v>9.9333333333333336</v>
      </c>
      <c r="D39" s="197">
        <f>'Energy Inputs'!$G$58*$E$34</f>
        <v>269.5</v>
      </c>
      <c r="E39" s="197">
        <f>C39*D39</f>
        <v>2677.0333333333333</v>
      </c>
      <c r="F39" s="197">
        <f>'Margins summary'!$W$14</f>
        <v>471.64</v>
      </c>
      <c r="G39" s="197">
        <f t="shared" ref="G39:G53" si="88">E39+F39</f>
        <v>3148.6733333333332</v>
      </c>
      <c r="H39" s="197"/>
      <c r="I39" s="913">
        <f>'Energy NPV'!U92</f>
        <v>2996.6</v>
      </c>
      <c r="J39" s="197"/>
      <c r="K39" s="197">
        <f t="shared" ref="K39:K53" si="89">H39+I39+J39</f>
        <v>2996.6</v>
      </c>
      <c r="L39" s="197">
        <f t="shared" si="78"/>
        <v>-319.56666666666661</v>
      </c>
      <c r="M39" s="197">
        <f t="shared" si="79"/>
        <v>152.07333333333327</v>
      </c>
      <c r="N39" s="196">
        <f t="shared" ref="N39:N53" si="90">E39/(1+$B$4)^(B39-1)</f>
        <v>2574.0705128205127</v>
      </c>
      <c r="O39" s="197">
        <f t="shared" ref="O39:O53" si="91">F39/(1+$B$4)^(B39-1)</f>
        <v>453.49999999999994</v>
      </c>
      <c r="P39" s="197">
        <f t="shared" ref="P39:P53" si="92">K39/(1+$B$4)^(B39-1)</f>
        <v>2881.3461538461538</v>
      </c>
      <c r="Q39" s="197">
        <f t="shared" ref="Q39:Q53" si="93">L39/(1+$B$4)^(B39-1)</f>
        <v>-307.27564102564094</v>
      </c>
      <c r="R39" s="199">
        <f t="shared" ref="R39:R52" si="94">M39/(1+$B$4)^(B39-1)</f>
        <v>146.22435897435889</v>
      </c>
      <c r="S39" s="196">
        <f>S38+N39</f>
        <v>2574.0705128205127</v>
      </c>
      <c r="T39" s="197">
        <f t="shared" ref="T39:W53" si="95">T38+O39</f>
        <v>925.13999999999987</v>
      </c>
      <c r="U39" s="197">
        <f t="shared" si="95"/>
        <v>13769.221153846154</v>
      </c>
      <c r="V39" s="197">
        <f t="shared" si="95"/>
        <v>-11195.150641025641</v>
      </c>
      <c r="W39" s="199">
        <f t="shared" si="95"/>
        <v>-10270.010641025641</v>
      </c>
      <c r="Z39" s="895">
        <v>2</v>
      </c>
      <c r="AA39" s="197">
        <f t="shared" ref="AA39:AA53" si="96">$C39</f>
        <v>9.9333333333333336</v>
      </c>
      <c r="AB39" s="197">
        <f>'Energy Inputs'!$G$58*$AB$34</f>
        <v>404.25</v>
      </c>
      <c r="AC39" s="197">
        <f>AA39*AB39</f>
        <v>4015.55</v>
      </c>
      <c r="AD39" s="197">
        <f>'Margins summary'!$W$14</f>
        <v>471.64</v>
      </c>
      <c r="AE39" s="197">
        <f t="shared" ref="AE39:AE53" si="97">AC39+AD39</f>
        <v>4487.1900000000005</v>
      </c>
      <c r="AF39" s="197"/>
      <c r="AG39" s="913">
        <f>'Energy NPV'!U92</f>
        <v>2996.6</v>
      </c>
      <c r="AH39" s="197"/>
      <c r="AI39" s="197">
        <f t="shared" ref="AI39:AI53" si="98">AF39+AG39+AH39</f>
        <v>2996.6</v>
      </c>
      <c r="AJ39" s="197">
        <f t="shared" si="80"/>
        <v>1018.9500000000003</v>
      </c>
      <c r="AK39" s="197">
        <f t="shared" si="81"/>
        <v>1490.5900000000006</v>
      </c>
      <c r="AL39" s="196">
        <f t="shared" ref="AL39:AL53" si="99">AC39/(1+$B$4)^(Z39-1)</f>
        <v>3861.1057692307691</v>
      </c>
      <c r="AM39" s="197">
        <f t="shared" ref="AM39:AM53" si="100">AD39/(1+$B$4)^(Z39-1)</f>
        <v>453.49999999999994</v>
      </c>
      <c r="AN39" s="197">
        <f t="shared" ref="AN39:AN53" si="101">AI39/(1+$B$4)^(Z39-1)</f>
        <v>2881.3461538461538</v>
      </c>
      <c r="AO39" s="197">
        <f t="shared" ref="AO39:AO53" si="102">AJ39/(1+$B$4)^(Z39-1)</f>
        <v>979.75961538461559</v>
      </c>
      <c r="AP39" s="199">
        <f t="shared" ref="AP39:AP52" si="103">AK39/(1+$B$4)^(Z39-1)</f>
        <v>1433.2596153846159</v>
      </c>
      <c r="AQ39" s="196">
        <f>AQ38+AL39</f>
        <v>3861.1057692307691</v>
      </c>
      <c r="AR39" s="197">
        <f t="shared" ref="AR39:AR53" si="104">AR38+AM39</f>
        <v>925.13999999999987</v>
      </c>
      <c r="AS39" s="197">
        <f t="shared" ref="AS39:AS53" si="105">AS38+AN39</f>
        <v>13769.221153846154</v>
      </c>
      <c r="AT39" s="197">
        <f t="shared" ref="AT39:AT53" si="106">AT38+AO39</f>
        <v>-9908.1153846153848</v>
      </c>
      <c r="AU39" s="199">
        <f t="shared" ref="AU39:AU53" si="107">AU38+AP39</f>
        <v>-8982.9753846153853</v>
      </c>
      <c r="AX39" s="895">
        <v>2</v>
      </c>
      <c r="AY39" s="197">
        <f t="shared" ref="AY39:AY53" si="108">$C39</f>
        <v>9.9333333333333336</v>
      </c>
      <c r="AZ39" s="197">
        <f>'Energy Inputs'!$G$58*$AZ$34</f>
        <v>134.75</v>
      </c>
      <c r="BA39" s="197">
        <f>AY39*AZ39</f>
        <v>1338.5166666666667</v>
      </c>
      <c r="BB39" s="197">
        <f>'Margins summary'!$W$14</f>
        <v>471.64</v>
      </c>
      <c r="BC39" s="197">
        <f t="shared" ref="BC39:BC53" si="109">BA39+BB39</f>
        <v>1810.1566666666668</v>
      </c>
      <c r="BD39" s="197"/>
      <c r="BE39" s="913">
        <f>'Energy NPV'!U92</f>
        <v>2996.6</v>
      </c>
      <c r="BF39" s="197"/>
      <c r="BG39" s="197">
        <f t="shared" ref="BG39:BG53" si="110">BD39+BE39+BF39</f>
        <v>2996.6</v>
      </c>
      <c r="BH39" s="197">
        <f t="shared" si="82"/>
        <v>-1658.0833333333333</v>
      </c>
      <c r="BI39" s="197">
        <f t="shared" si="83"/>
        <v>-1186.4433333333332</v>
      </c>
      <c r="BJ39" s="196">
        <f t="shared" ref="BJ39:BJ53" si="111">BA39/(1+$B$4)^(AX39-1)</f>
        <v>1287.0352564102564</v>
      </c>
      <c r="BK39" s="197">
        <f t="shared" ref="BK39:BK53" si="112">BB39/(1+$B$4)^(AX39-1)</f>
        <v>453.49999999999994</v>
      </c>
      <c r="BL39" s="197">
        <f t="shared" ref="BL39:BL53" si="113">BG39/(1+$B$4)^(AX39-1)</f>
        <v>2881.3461538461538</v>
      </c>
      <c r="BM39" s="197">
        <f t="shared" ref="BM39:BM53" si="114">BH39/(1+$B$4)^(AX39-1)</f>
        <v>-1594.3108974358972</v>
      </c>
      <c r="BN39" s="199">
        <f t="shared" ref="BN39:BN52" si="115">BI39/(1+$B$4)^(AX39-1)</f>
        <v>-1140.8108974358972</v>
      </c>
      <c r="BO39" s="196">
        <f>BO38+BJ39</f>
        <v>1287.0352564102564</v>
      </c>
      <c r="BP39" s="197">
        <f t="shared" ref="BP39:BP53" si="116">BP38+BK39</f>
        <v>925.13999999999987</v>
      </c>
      <c r="BQ39" s="197">
        <f t="shared" ref="BQ39:BQ53" si="117">BQ38+BL39</f>
        <v>13769.221153846154</v>
      </c>
      <c r="BR39" s="197">
        <f t="shared" ref="BR39:BR53" si="118">BR38+BM39</f>
        <v>-12482.185897435897</v>
      </c>
      <c r="BS39" s="199">
        <f t="shared" ref="BS39:BS53" si="119">BS38+BN39</f>
        <v>-11557.045897435897</v>
      </c>
      <c r="BV39" s="895">
        <v>2</v>
      </c>
      <c r="BW39" s="197">
        <f t="shared" ref="BW39:BW53" si="120">$C39</f>
        <v>9.9333333333333336</v>
      </c>
      <c r="BX39" s="197">
        <f>'Energy Inputs'!$G$58*$BX$34</f>
        <v>539</v>
      </c>
      <c r="BY39" s="197">
        <f>BW39*BX39</f>
        <v>5354.0666666666666</v>
      </c>
      <c r="BZ39" s="197">
        <f>'Margins summary'!$W$14</f>
        <v>471.64</v>
      </c>
      <c r="CA39" s="197">
        <f t="shared" ref="CA39:CA53" si="121">BY39+BZ39</f>
        <v>5825.7066666666669</v>
      </c>
      <c r="CB39" s="197"/>
      <c r="CC39" s="913">
        <f>'Energy NPV'!U92</f>
        <v>2996.6</v>
      </c>
      <c r="CD39" s="197"/>
      <c r="CE39" s="197">
        <f t="shared" ref="CE39:CE53" si="122">CB39+CC39+CD39</f>
        <v>2996.6</v>
      </c>
      <c r="CF39" s="197">
        <f t="shared" si="84"/>
        <v>2357.4666666666667</v>
      </c>
      <c r="CG39" s="197">
        <f t="shared" si="85"/>
        <v>2829.106666666667</v>
      </c>
      <c r="CH39" s="196">
        <f t="shared" ref="CH39:CH53" si="123">BY39/(1+$B$4)^(BV39-1)</f>
        <v>5148.1410256410254</v>
      </c>
      <c r="CI39" s="197">
        <f t="shared" ref="CI39:CI53" si="124">BZ39/(1+$B$4)^(BV39-1)</f>
        <v>453.49999999999994</v>
      </c>
      <c r="CJ39" s="197">
        <f t="shared" ref="CJ39:CJ53" si="125">CE39/(1+$B$4)^(BV39-1)</f>
        <v>2881.3461538461538</v>
      </c>
      <c r="CK39" s="197">
        <f t="shared" ref="CK39:CK53" si="126">CF39/(1+$B$4)^(BV39-1)</f>
        <v>2266.7948717948716</v>
      </c>
      <c r="CL39" s="199">
        <f t="shared" ref="CL39:CL52" si="127">CG39/(1+$B$4)^(BV39-1)</f>
        <v>2720.2948717948721</v>
      </c>
      <c r="CM39" s="196">
        <f>CM38+CH39</f>
        <v>5148.1410256410254</v>
      </c>
      <c r="CN39" s="197">
        <f t="shared" ref="CN39:CN53" si="128">CN38+CI39</f>
        <v>925.13999999999987</v>
      </c>
      <c r="CO39" s="197">
        <f t="shared" ref="CO39:CO53" si="129">CO38+CJ39</f>
        <v>13769.221153846154</v>
      </c>
      <c r="CP39" s="197">
        <f t="shared" ref="CP39:CP53" si="130">CP38+CK39</f>
        <v>-8621.0801282051289</v>
      </c>
      <c r="CQ39" s="199">
        <f t="shared" ref="CQ39:CQ53" si="131">CQ38+CL39</f>
        <v>-7695.9401282051285</v>
      </c>
      <c r="CT39" s="204">
        <v>2</v>
      </c>
      <c r="CU39" s="197">
        <f t="shared" ref="CU39:CU53" si="132">$C39</f>
        <v>9.9333333333333336</v>
      </c>
      <c r="CV39" s="197">
        <f>'Energy Inputs'!$G$58*$CV$34</f>
        <v>0</v>
      </c>
      <c r="CW39" s="197">
        <f>CU39*CV39</f>
        <v>0</v>
      </c>
      <c r="CX39" s="197">
        <f>'Margins summary'!$W$14</f>
        <v>471.64</v>
      </c>
      <c r="CY39" s="197">
        <f t="shared" ref="CY39:CY53" si="133">CW39+CX39</f>
        <v>471.64</v>
      </c>
      <c r="CZ39" s="197"/>
      <c r="DA39" s="913">
        <f>'Energy NPV'!U92</f>
        <v>2996.6</v>
      </c>
      <c r="DB39" s="197"/>
      <c r="DC39" s="197">
        <f t="shared" ref="DC39:DC53" si="134">CZ39+DA39+DB39</f>
        <v>2996.6</v>
      </c>
      <c r="DD39" s="197">
        <f t="shared" si="86"/>
        <v>-2996.6</v>
      </c>
      <c r="DE39" s="197">
        <f t="shared" si="87"/>
        <v>-2524.96</v>
      </c>
      <c r="DF39" s="196">
        <f t="shared" ref="DF39:DF53" si="135">CW39/(1+$B$4)^(CT39-1)</f>
        <v>0</v>
      </c>
      <c r="DG39" s="197">
        <f t="shared" ref="DG39:DG53" si="136">CX39/(1+$B$4)^(CT39-1)</f>
        <v>453.49999999999994</v>
      </c>
      <c r="DH39" s="197">
        <f t="shared" ref="DH39:DH53" si="137">DC39/(1+$B$4)^(CT39-1)</f>
        <v>2881.3461538461538</v>
      </c>
      <c r="DI39" s="197">
        <f t="shared" ref="DI39:DI53" si="138">DD39/(1+$B$4)^(CT39-1)</f>
        <v>-2881.3461538461538</v>
      </c>
      <c r="DJ39" s="199">
        <f t="shared" ref="DJ39:DJ52" si="139">DE39/(1+$B$4)^(CT39-1)</f>
        <v>-2427.8461538461538</v>
      </c>
      <c r="DK39" s="196">
        <f>DK38+DF39</f>
        <v>0</v>
      </c>
      <c r="DL39" s="197">
        <f t="shared" ref="DL39:DL53" si="140">DL38+DG39</f>
        <v>925.13999999999987</v>
      </c>
      <c r="DM39" s="197">
        <f t="shared" ref="DM39:DM53" si="141">DM38+DH39</f>
        <v>13769.221153846154</v>
      </c>
      <c r="DN39" s="197">
        <f t="shared" ref="DN39:DN53" si="142">DN38+DI39</f>
        <v>-13769.221153846154</v>
      </c>
      <c r="DO39" s="199">
        <f t="shared" ref="DO39:DO53" si="143">DO38+DJ39</f>
        <v>-12844.081153846155</v>
      </c>
    </row>
    <row r="40" spans="2:119" x14ac:dyDescent="0.3">
      <c r="B40" s="204">
        <f t="shared" ref="B40:B53" si="144">B39+1</f>
        <v>3</v>
      </c>
      <c r="C40" s="197">
        <f>'Energy NPV'!$D93</f>
        <v>14.700000000000001</v>
      </c>
      <c r="D40" s="197">
        <f>'Energy Inputs'!$G$58*$E$34</f>
        <v>269.5</v>
      </c>
      <c r="E40" s="197">
        <f t="shared" ref="E40:E53" si="145">C40*D40</f>
        <v>3961.65</v>
      </c>
      <c r="F40" s="197">
        <f>'Margins summary'!$W$14</f>
        <v>471.64</v>
      </c>
      <c r="G40" s="197">
        <f t="shared" si="88"/>
        <v>4433.29</v>
      </c>
      <c r="H40" s="197"/>
      <c r="I40" s="913">
        <f>'Energy NPV'!U93</f>
        <v>2996.6</v>
      </c>
      <c r="J40" s="197"/>
      <c r="K40" s="197">
        <f t="shared" si="89"/>
        <v>2996.6</v>
      </c>
      <c r="L40" s="197">
        <f t="shared" si="78"/>
        <v>965.05000000000018</v>
      </c>
      <c r="M40" s="197">
        <f t="shared" si="79"/>
        <v>1436.69</v>
      </c>
      <c r="N40" s="196">
        <f t="shared" si="90"/>
        <v>3662.768121301775</v>
      </c>
      <c r="O40" s="197">
        <f t="shared" si="91"/>
        <v>436.05769230769226</v>
      </c>
      <c r="P40" s="197">
        <f t="shared" si="92"/>
        <v>2770.5251479289936</v>
      </c>
      <c r="Q40" s="197">
        <f t="shared" si="93"/>
        <v>892.24297337278119</v>
      </c>
      <c r="R40" s="199">
        <f t="shared" si="94"/>
        <v>1328.3006656804732</v>
      </c>
      <c r="S40" s="196">
        <f t="shared" ref="S40:S53" si="146">S39+N40</f>
        <v>6236.8386341222877</v>
      </c>
      <c r="T40" s="197">
        <f t="shared" si="95"/>
        <v>1361.1976923076923</v>
      </c>
      <c r="U40" s="197">
        <f t="shared" si="95"/>
        <v>16539.746301775147</v>
      </c>
      <c r="V40" s="197">
        <f t="shared" si="95"/>
        <v>-10302.90766765286</v>
      </c>
      <c r="W40" s="199">
        <f t="shared" si="95"/>
        <v>-8941.7099753451675</v>
      </c>
      <c r="Z40" s="895">
        <v>3</v>
      </c>
      <c r="AA40" s="197">
        <f t="shared" si="96"/>
        <v>14.700000000000001</v>
      </c>
      <c r="AB40" s="197">
        <f>'Energy Inputs'!$G$58*$AB$34</f>
        <v>404.25</v>
      </c>
      <c r="AC40" s="197">
        <f t="shared" ref="AC40:AC53" si="147">AA40*AB40</f>
        <v>5942.4750000000004</v>
      </c>
      <c r="AD40" s="197">
        <f>'Margins summary'!$W$14</f>
        <v>471.64</v>
      </c>
      <c r="AE40" s="197">
        <f t="shared" si="97"/>
        <v>6414.1150000000007</v>
      </c>
      <c r="AF40" s="197"/>
      <c r="AG40" s="913">
        <f>'Energy NPV'!U93</f>
        <v>2996.6</v>
      </c>
      <c r="AH40" s="197"/>
      <c r="AI40" s="197">
        <f t="shared" si="98"/>
        <v>2996.6</v>
      </c>
      <c r="AJ40" s="197">
        <f t="shared" si="80"/>
        <v>2945.8750000000005</v>
      </c>
      <c r="AK40" s="197">
        <f t="shared" si="81"/>
        <v>3417.5150000000008</v>
      </c>
      <c r="AL40" s="196">
        <f t="shared" si="99"/>
        <v>5494.1521819526624</v>
      </c>
      <c r="AM40" s="197">
        <f t="shared" si="100"/>
        <v>436.05769230769226</v>
      </c>
      <c r="AN40" s="197">
        <f t="shared" si="101"/>
        <v>2770.5251479289936</v>
      </c>
      <c r="AO40" s="197">
        <f t="shared" si="102"/>
        <v>2723.6270340236688</v>
      </c>
      <c r="AP40" s="199">
        <f t="shared" si="103"/>
        <v>3159.6847263313612</v>
      </c>
      <c r="AQ40" s="196">
        <f t="shared" ref="AQ40:AQ52" si="148">AQ39+AL40</f>
        <v>9355.2579511834319</v>
      </c>
      <c r="AR40" s="197">
        <f t="shared" si="104"/>
        <v>1361.1976923076923</v>
      </c>
      <c r="AS40" s="197">
        <f t="shared" si="105"/>
        <v>16539.746301775147</v>
      </c>
      <c r="AT40" s="197">
        <f t="shared" si="106"/>
        <v>-7184.488350591716</v>
      </c>
      <c r="AU40" s="199">
        <f t="shared" si="107"/>
        <v>-5823.2906582840242</v>
      </c>
      <c r="AX40" s="895">
        <v>3</v>
      </c>
      <c r="AY40" s="197">
        <f t="shared" si="108"/>
        <v>14.700000000000001</v>
      </c>
      <c r="AZ40" s="197">
        <f>'Energy Inputs'!$G$58*$AZ$34</f>
        <v>134.75</v>
      </c>
      <c r="BA40" s="197">
        <f t="shared" ref="BA40:BA53" si="149">AY40*AZ40</f>
        <v>1980.825</v>
      </c>
      <c r="BB40" s="197">
        <f>'Margins summary'!$W$14</f>
        <v>471.64</v>
      </c>
      <c r="BC40" s="197">
        <f t="shared" si="109"/>
        <v>2452.4650000000001</v>
      </c>
      <c r="BD40" s="197"/>
      <c r="BE40" s="913">
        <f>'Energy NPV'!U93</f>
        <v>2996.6</v>
      </c>
      <c r="BF40" s="197"/>
      <c r="BG40" s="197">
        <f t="shared" si="110"/>
        <v>2996.6</v>
      </c>
      <c r="BH40" s="197">
        <f t="shared" si="82"/>
        <v>-1015.7749999999999</v>
      </c>
      <c r="BI40" s="197">
        <f t="shared" si="83"/>
        <v>-544.13499999999976</v>
      </c>
      <c r="BJ40" s="196">
        <f t="shared" si="111"/>
        <v>1831.3840606508875</v>
      </c>
      <c r="BK40" s="197">
        <f t="shared" si="112"/>
        <v>436.05769230769226</v>
      </c>
      <c r="BL40" s="197">
        <f t="shared" si="113"/>
        <v>2770.5251479289936</v>
      </c>
      <c r="BM40" s="197">
        <f t="shared" si="114"/>
        <v>-939.14108727810628</v>
      </c>
      <c r="BN40" s="199">
        <f t="shared" si="115"/>
        <v>-503.08339497041391</v>
      </c>
      <c r="BO40" s="196">
        <f t="shared" ref="BO40:BO53" si="150">BO39+BJ40</f>
        <v>3118.4193170611438</v>
      </c>
      <c r="BP40" s="197">
        <f t="shared" si="116"/>
        <v>1361.1976923076923</v>
      </c>
      <c r="BQ40" s="197">
        <f t="shared" si="117"/>
        <v>16539.746301775147</v>
      </c>
      <c r="BR40" s="197">
        <f t="shared" si="118"/>
        <v>-13421.326984714004</v>
      </c>
      <c r="BS40" s="199">
        <f t="shared" si="119"/>
        <v>-12060.129292406311</v>
      </c>
      <c r="BV40" s="895">
        <v>3</v>
      </c>
      <c r="BW40" s="197">
        <f t="shared" si="120"/>
        <v>14.700000000000001</v>
      </c>
      <c r="BX40" s="197">
        <f>'Energy Inputs'!$G$58*$BX$34</f>
        <v>539</v>
      </c>
      <c r="BY40" s="197">
        <f t="shared" ref="BY40:BY53" si="151">BW40*BX40</f>
        <v>7923.3</v>
      </c>
      <c r="BZ40" s="197">
        <f>'Margins summary'!$W$14</f>
        <v>471.64</v>
      </c>
      <c r="CA40" s="197">
        <f t="shared" si="121"/>
        <v>8394.94</v>
      </c>
      <c r="CB40" s="197"/>
      <c r="CC40" s="913">
        <f>'Energy NPV'!U93</f>
        <v>2996.6</v>
      </c>
      <c r="CD40" s="197"/>
      <c r="CE40" s="197">
        <f t="shared" si="122"/>
        <v>2996.6</v>
      </c>
      <c r="CF40" s="197">
        <f t="shared" si="84"/>
        <v>4926.7000000000007</v>
      </c>
      <c r="CG40" s="197">
        <f t="shared" si="85"/>
        <v>5398.34</v>
      </c>
      <c r="CH40" s="196">
        <f t="shared" si="123"/>
        <v>7325.5362426035499</v>
      </c>
      <c r="CI40" s="197">
        <f t="shared" si="124"/>
        <v>436.05769230769226</v>
      </c>
      <c r="CJ40" s="197">
        <f t="shared" si="125"/>
        <v>2770.5251479289936</v>
      </c>
      <c r="CK40" s="197">
        <f t="shared" si="126"/>
        <v>4555.0110946745563</v>
      </c>
      <c r="CL40" s="199">
        <f t="shared" si="127"/>
        <v>4991.0687869822477</v>
      </c>
      <c r="CM40" s="196">
        <f t="shared" ref="CM40:CM53" si="152">CM39+CH40</f>
        <v>12473.677268244575</v>
      </c>
      <c r="CN40" s="197">
        <f t="shared" si="128"/>
        <v>1361.1976923076923</v>
      </c>
      <c r="CO40" s="197">
        <f t="shared" si="129"/>
        <v>16539.746301775147</v>
      </c>
      <c r="CP40" s="197">
        <f t="shared" si="130"/>
        <v>-4066.0690335305726</v>
      </c>
      <c r="CQ40" s="199">
        <f t="shared" si="131"/>
        <v>-2704.8713412228808</v>
      </c>
      <c r="CT40" s="204">
        <f t="shared" ref="CT40:CT53" si="153">CT39+1</f>
        <v>3</v>
      </c>
      <c r="CU40" s="197">
        <f t="shared" si="132"/>
        <v>14.700000000000001</v>
      </c>
      <c r="CV40" s="197">
        <f>'Energy Inputs'!$G$58*$CV$34</f>
        <v>0</v>
      </c>
      <c r="CW40" s="197">
        <f t="shared" ref="CW40:CW53" si="154">CU40*CV40</f>
        <v>0</v>
      </c>
      <c r="CX40" s="197">
        <f>'Margins summary'!$W$14</f>
        <v>471.64</v>
      </c>
      <c r="CY40" s="197">
        <f t="shared" si="133"/>
        <v>471.64</v>
      </c>
      <c r="CZ40" s="197"/>
      <c r="DA40" s="913">
        <f>'Energy NPV'!U93</f>
        <v>2996.6</v>
      </c>
      <c r="DB40" s="197"/>
      <c r="DC40" s="197">
        <f t="shared" si="134"/>
        <v>2996.6</v>
      </c>
      <c r="DD40" s="197">
        <f t="shared" si="86"/>
        <v>-2996.6</v>
      </c>
      <c r="DE40" s="197">
        <f t="shared" si="87"/>
        <v>-2524.96</v>
      </c>
      <c r="DF40" s="196">
        <f t="shared" si="135"/>
        <v>0</v>
      </c>
      <c r="DG40" s="197">
        <f t="shared" si="136"/>
        <v>436.05769230769226</v>
      </c>
      <c r="DH40" s="197">
        <f t="shared" si="137"/>
        <v>2770.5251479289936</v>
      </c>
      <c r="DI40" s="197">
        <f t="shared" si="138"/>
        <v>-2770.5251479289936</v>
      </c>
      <c r="DJ40" s="199">
        <f t="shared" si="139"/>
        <v>-2334.4674556213017</v>
      </c>
      <c r="DK40" s="196">
        <f t="shared" ref="DK40:DK53" si="155">DK39+DF40</f>
        <v>0</v>
      </c>
      <c r="DL40" s="197">
        <f t="shared" si="140"/>
        <v>1361.1976923076923</v>
      </c>
      <c r="DM40" s="197">
        <f t="shared" si="141"/>
        <v>16539.746301775147</v>
      </c>
      <c r="DN40" s="197">
        <f t="shared" si="142"/>
        <v>-16539.746301775147</v>
      </c>
      <c r="DO40" s="199">
        <f t="shared" si="143"/>
        <v>-15178.548609467456</v>
      </c>
    </row>
    <row r="41" spans="2:119" x14ac:dyDescent="0.3">
      <c r="B41" s="204">
        <f t="shared" si="144"/>
        <v>4</v>
      </c>
      <c r="C41" s="197">
        <f>'Energy NPV'!$D94</f>
        <v>15.733333333333334</v>
      </c>
      <c r="D41" s="197">
        <f>'Energy Inputs'!$G$58*$E$34</f>
        <v>269.5</v>
      </c>
      <c r="E41" s="197">
        <f t="shared" si="145"/>
        <v>4240.1333333333332</v>
      </c>
      <c r="F41" s="197">
        <f>'Margins summary'!$W$14</f>
        <v>471.64</v>
      </c>
      <c r="G41" s="197">
        <f t="shared" si="88"/>
        <v>4711.7733333333335</v>
      </c>
      <c r="H41" s="197"/>
      <c r="I41" s="913">
        <f>'Energy NPV'!U94</f>
        <v>2207.6999999999998</v>
      </c>
      <c r="J41" s="197"/>
      <c r="K41" s="197">
        <f t="shared" si="89"/>
        <v>2207.6999999999998</v>
      </c>
      <c r="L41" s="197">
        <f t="shared" si="78"/>
        <v>2032.4333333333334</v>
      </c>
      <c r="M41" s="197">
        <f t="shared" si="79"/>
        <v>2504.0733333333337</v>
      </c>
      <c r="N41" s="196">
        <f t="shared" si="90"/>
        <v>3769.4630936125013</v>
      </c>
      <c r="O41" s="197">
        <f t="shared" si="91"/>
        <v>419.28624260355025</v>
      </c>
      <c r="P41" s="197">
        <f t="shared" si="92"/>
        <v>1962.6372610377784</v>
      </c>
      <c r="Q41" s="197">
        <f t="shared" si="93"/>
        <v>1806.8258325747231</v>
      </c>
      <c r="R41" s="199">
        <f t="shared" si="94"/>
        <v>2226.1120751782737</v>
      </c>
      <c r="S41" s="196">
        <f t="shared" si="146"/>
        <v>10006.30172773479</v>
      </c>
      <c r="T41" s="197">
        <f t="shared" si="95"/>
        <v>1780.4839349112426</v>
      </c>
      <c r="U41" s="197">
        <f t="shared" si="95"/>
        <v>18502.383562812924</v>
      </c>
      <c r="V41" s="197">
        <f t="shared" si="95"/>
        <v>-8496.0818350781374</v>
      </c>
      <c r="W41" s="199">
        <f t="shared" si="95"/>
        <v>-6715.5979001668939</v>
      </c>
      <c r="Z41" s="895">
        <v>4</v>
      </c>
      <c r="AA41" s="197">
        <f t="shared" si="96"/>
        <v>15.733333333333334</v>
      </c>
      <c r="AB41" s="197">
        <f>'Energy Inputs'!$G$58*$AB$34</f>
        <v>404.25</v>
      </c>
      <c r="AC41" s="197">
        <f t="shared" si="147"/>
        <v>6360.2000000000007</v>
      </c>
      <c r="AD41" s="197">
        <f>'Margins summary'!$W$14</f>
        <v>471.64</v>
      </c>
      <c r="AE41" s="197">
        <f t="shared" si="97"/>
        <v>6831.8400000000011</v>
      </c>
      <c r="AF41" s="197"/>
      <c r="AG41" s="913">
        <f>'Energy NPV'!U94</f>
        <v>2207.6999999999998</v>
      </c>
      <c r="AH41" s="197"/>
      <c r="AI41" s="197">
        <f t="shared" si="98"/>
        <v>2207.6999999999998</v>
      </c>
      <c r="AJ41" s="197">
        <f t="shared" si="80"/>
        <v>4152.5000000000009</v>
      </c>
      <c r="AK41" s="197">
        <f t="shared" si="81"/>
        <v>4624.1400000000012</v>
      </c>
      <c r="AL41" s="196">
        <f t="shared" si="99"/>
        <v>5654.1946404187529</v>
      </c>
      <c r="AM41" s="197">
        <f t="shared" si="100"/>
        <v>419.28624260355025</v>
      </c>
      <c r="AN41" s="197">
        <f t="shared" si="101"/>
        <v>1962.6372610377784</v>
      </c>
      <c r="AO41" s="197">
        <f t="shared" si="102"/>
        <v>3691.5573793809745</v>
      </c>
      <c r="AP41" s="199">
        <f t="shared" si="103"/>
        <v>4110.8436219845253</v>
      </c>
      <c r="AQ41" s="196">
        <f t="shared" si="148"/>
        <v>15009.452591602185</v>
      </c>
      <c r="AR41" s="197">
        <f t="shared" si="104"/>
        <v>1780.4839349112426</v>
      </c>
      <c r="AS41" s="197">
        <f t="shared" si="105"/>
        <v>18502.383562812924</v>
      </c>
      <c r="AT41" s="197">
        <f t="shared" si="106"/>
        <v>-3492.9309712107415</v>
      </c>
      <c r="AU41" s="199">
        <f t="shared" si="107"/>
        <v>-1712.4470362994989</v>
      </c>
      <c r="AX41" s="895">
        <v>4</v>
      </c>
      <c r="AY41" s="197">
        <f t="shared" si="108"/>
        <v>15.733333333333334</v>
      </c>
      <c r="AZ41" s="197">
        <f>'Energy Inputs'!$G$58*$AZ$34</f>
        <v>134.75</v>
      </c>
      <c r="BA41" s="197">
        <f t="shared" si="149"/>
        <v>2120.0666666666666</v>
      </c>
      <c r="BB41" s="197">
        <f>'Margins summary'!$W$14</f>
        <v>471.64</v>
      </c>
      <c r="BC41" s="197">
        <f t="shared" si="109"/>
        <v>2591.7066666666665</v>
      </c>
      <c r="BD41" s="197"/>
      <c r="BE41" s="913">
        <f>'Energy NPV'!U94</f>
        <v>2207.6999999999998</v>
      </c>
      <c r="BF41" s="197"/>
      <c r="BG41" s="197">
        <f t="shared" si="110"/>
        <v>2207.6999999999998</v>
      </c>
      <c r="BH41" s="197">
        <f t="shared" si="82"/>
        <v>-87.633333333333212</v>
      </c>
      <c r="BI41" s="197">
        <f t="shared" si="83"/>
        <v>384.00666666666666</v>
      </c>
      <c r="BJ41" s="196">
        <f t="shared" si="111"/>
        <v>1884.7315468062507</v>
      </c>
      <c r="BK41" s="197">
        <f t="shared" si="112"/>
        <v>419.28624260355025</v>
      </c>
      <c r="BL41" s="197">
        <f t="shared" si="113"/>
        <v>1962.6372610377784</v>
      </c>
      <c r="BM41" s="197">
        <f t="shared" si="114"/>
        <v>-77.905714231527725</v>
      </c>
      <c r="BN41" s="199">
        <f t="shared" si="115"/>
        <v>341.38052837202241</v>
      </c>
      <c r="BO41" s="196">
        <f t="shared" si="150"/>
        <v>5003.1508638673949</v>
      </c>
      <c r="BP41" s="197">
        <f t="shared" si="116"/>
        <v>1780.4839349112426</v>
      </c>
      <c r="BQ41" s="197">
        <f t="shared" si="117"/>
        <v>18502.383562812924</v>
      </c>
      <c r="BR41" s="197">
        <f t="shared" si="118"/>
        <v>-13499.232698945531</v>
      </c>
      <c r="BS41" s="199">
        <f t="shared" si="119"/>
        <v>-11718.748764034288</v>
      </c>
      <c r="BV41" s="895">
        <v>4</v>
      </c>
      <c r="BW41" s="197">
        <f t="shared" si="120"/>
        <v>15.733333333333334</v>
      </c>
      <c r="BX41" s="197">
        <f>'Energy Inputs'!$G$58*$BX$34</f>
        <v>539</v>
      </c>
      <c r="BY41" s="197">
        <f t="shared" si="151"/>
        <v>8480.2666666666664</v>
      </c>
      <c r="BZ41" s="197">
        <f>'Margins summary'!$W$14</f>
        <v>471.64</v>
      </c>
      <c r="CA41" s="197">
        <f t="shared" si="121"/>
        <v>8951.9066666666658</v>
      </c>
      <c r="CB41" s="197"/>
      <c r="CC41" s="913">
        <f>'Energy NPV'!U94</f>
        <v>2207.6999999999998</v>
      </c>
      <c r="CD41" s="197"/>
      <c r="CE41" s="197">
        <f t="shared" si="122"/>
        <v>2207.6999999999998</v>
      </c>
      <c r="CF41" s="197">
        <f t="shared" si="84"/>
        <v>6272.5666666666666</v>
      </c>
      <c r="CG41" s="197">
        <f t="shared" si="85"/>
        <v>6744.206666666666</v>
      </c>
      <c r="CH41" s="196">
        <f t="shared" si="123"/>
        <v>7538.9261872250026</v>
      </c>
      <c r="CI41" s="197">
        <f t="shared" si="124"/>
        <v>419.28624260355025</v>
      </c>
      <c r="CJ41" s="197">
        <f t="shared" si="125"/>
        <v>1962.6372610377784</v>
      </c>
      <c r="CK41" s="197">
        <f t="shared" si="126"/>
        <v>5576.2889261872242</v>
      </c>
      <c r="CL41" s="199">
        <f t="shared" si="127"/>
        <v>5995.5751687907741</v>
      </c>
      <c r="CM41" s="196">
        <f t="shared" si="152"/>
        <v>20012.60345546958</v>
      </c>
      <c r="CN41" s="197">
        <f t="shared" si="128"/>
        <v>1780.4839349112426</v>
      </c>
      <c r="CO41" s="197">
        <f t="shared" si="129"/>
        <v>18502.383562812924</v>
      </c>
      <c r="CP41" s="197">
        <f t="shared" si="130"/>
        <v>1510.2198926566516</v>
      </c>
      <c r="CQ41" s="199">
        <f t="shared" si="131"/>
        <v>3290.7038275678933</v>
      </c>
      <c r="CT41" s="204">
        <f t="shared" si="153"/>
        <v>4</v>
      </c>
      <c r="CU41" s="197">
        <f t="shared" si="132"/>
        <v>15.733333333333334</v>
      </c>
      <c r="CV41" s="197">
        <f>'Energy Inputs'!$G$58*$CV$34</f>
        <v>0</v>
      </c>
      <c r="CW41" s="197">
        <f t="shared" si="154"/>
        <v>0</v>
      </c>
      <c r="CX41" s="197">
        <f>'Margins summary'!$W$14</f>
        <v>471.64</v>
      </c>
      <c r="CY41" s="197">
        <f t="shared" si="133"/>
        <v>471.64</v>
      </c>
      <c r="CZ41" s="197"/>
      <c r="DA41" s="913">
        <f>'Energy NPV'!U94</f>
        <v>2207.6999999999998</v>
      </c>
      <c r="DB41" s="197"/>
      <c r="DC41" s="197">
        <f t="shared" si="134"/>
        <v>2207.6999999999998</v>
      </c>
      <c r="DD41" s="197">
        <f t="shared" si="86"/>
        <v>-2207.6999999999998</v>
      </c>
      <c r="DE41" s="197">
        <f t="shared" si="87"/>
        <v>-1736.06</v>
      </c>
      <c r="DF41" s="196">
        <f t="shared" si="135"/>
        <v>0</v>
      </c>
      <c r="DG41" s="197">
        <f t="shared" si="136"/>
        <v>419.28624260355025</v>
      </c>
      <c r="DH41" s="197">
        <f t="shared" si="137"/>
        <v>1962.6372610377784</v>
      </c>
      <c r="DI41" s="197">
        <f t="shared" si="138"/>
        <v>-1962.6372610377784</v>
      </c>
      <c r="DJ41" s="199">
        <f t="shared" si="139"/>
        <v>-1543.3510184342283</v>
      </c>
      <c r="DK41" s="196">
        <f t="shared" si="155"/>
        <v>0</v>
      </c>
      <c r="DL41" s="197">
        <f t="shared" si="140"/>
        <v>1780.4839349112426</v>
      </c>
      <c r="DM41" s="197">
        <f t="shared" si="141"/>
        <v>18502.383562812924</v>
      </c>
      <c r="DN41" s="197">
        <f t="shared" si="142"/>
        <v>-18502.383562812924</v>
      </c>
      <c r="DO41" s="199">
        <f t="shared" si="143"/>
        <v>-16721.899627901683</v>
      </c>
    </row>
    <row r="42" spans="2:119" x14ac:dyDescent="0.3">
      <c r="B42" s="204">
        <f t="shared" si="144"/>
        <v>5</v>
      </c>
      <c r="C42" s="197">
        <f>'Energy NPV'!$D95</f>
        <v>16.3</v>
      </c>
      <c r="D42" s="197">
        <f>'Energy Inputs'!$G$58*$E$34</f>
        <v>269.5</v>
      </c>
      <c r="E42" s="197">
        <f t="shared" si="145"/>
        <v>4392.8500000000004</v>
      </c>
      <c r="F42" s="197">
        <f>'Margins summary'!$W$14</f>
        <v>471.64</v>
      </c>
      <c r="G42" s="197">
        <f t="shared" si="88"/>
        <v>4864.4900000000007</v>
      </c>
      <c r="H42" s="197"/>
      <c r="I42" s="913">
        <f>'Energy NPV'!U95</f>
        <v>2207.6999999999998</v>
      </c>
      <c r="J42" s="197"/>
      <c r="K42" s="197">
        <f t="shared" si="89"/>
        <v>2207.6999999999998</v>
      </c>
      <c r="L42" s="197">
        <f t="shared" si="78"/>
        <v>2185.1500000000005</v>
      </c>
      <c r="M42" s="197">
        <f t="shared" si="79"/>
        <v>2656.7900000000009</v>
      </c>
      <c r="N42" s="196">
        <f t="shared" si="90"/>
        <v>3755.0265905649308</v>
      </c>
      <c r="O42" s="197">
        <f t="shared" si="91"/>
        <v>403.15984865725983</v>
      </c>
      <c r="P42" s="197">
        <f t="shared" si="92"/>
        <v>1887.1512125363251</v>
      </c>
      <c r="Q42" s="197">
        <f t="shared" si="93"/>
        <v>1867.8753780286056</v>
      </c>
      <c r="R42" s="199">
        <f t="shared" si="94"/>
        <v>2271.0352266858658</v>
      </c>
      <c r="S42" s="196">
        <f t="shared" si="146"/>
        <v>13761.32831829972</v>
      </c>
      <c r="T42" s="197">
        <f t="shared" si="95"/>
        <v>2183.6437835685024</v>
      </c>
      <c r="U42" s="197">
        <f t="shared" si="95"/>
        <v>20389.53477534925</v>
      </c>
      <c r="V42" s="197">
        <f t="shared" si="95"/>
        <v>-6628.2064570495313</v>
      </c>
      <c r="W42" s="199">
        <f t="shared" si="95"/>
        <v>-4444.5626734810285</v>
      </c>
      <c r="Z42" s="895">
        <v>5</v>
      </c>
      <c r="AA42" s="197">
        <f t="shared" si="96"/>
        <v>16.3</v>
      </c>
      <c r="AB42" s="197">
        <f>'Energy Inputs'!$G$58*$AB$34</f>
        <v>404.25</v>
      </c>
      <c r="AC42" s="197">
        <f t="shared" si="147"/>
        <v>6589.2750000000005</v>
      </c>
      <c r="AD42" s="197">
        <f>'Margins summary'!$W$14</f>
        <v>471.64</v>
      </c>
      <c r="AE42" s="197">
        <f t="shared" si="97"/>
        <v>7060.9150000000009</v>
      </c>
      <c r="AF42" s="197"/>
      <c r="AG42" s="913">
        <f>'Energy NPV'!U95</f>
        <v>2207.6999999999998</v>
      </c>
      <c r="AH42" s="197"/>
      <c r="AI42" s="197">
        <f t="shared" si="98"/>
        <v>2207.6999999999998</v>
      </c>
      <c r="AJ42" s="197">
        <f t="shared" si="80"/>
        <v>4381.5750000000007</v>
      </c>
      <c r="AK42" s="197">
        <f t="shared" si="81"/>
        <v>4853.2150000000011</v>
      </c>
      <c r="AL42" s="196">
        <f t="shared" si="99"/>
        <v>5632.5398858473964</v>
      </c>
      <c r="AM42" s="197">
        <f t="shared" si="100"/>
        <v>403.15984865725983</v>
      </c>
      <c r="AN42" s="197">
        <f t="shared" si="101"/>
        <v>1887.1512125363251</v>
      </c>
      <c r="AO42" s="197">
        <f t="shared" si="102"/>
        <v>3745.3886733110708</v>
      </c>
      <c r="AP42" s="199">
        <f t="shared" si="103"/>
        <v>4148.5485219683314</v>
      </c>
      <c r="AQ42" s="196">
        <f t="shared" si="148"/>
        <v>20641.992477449581</v>
      </c>
      <c r="AR42" s="197">
        <f t="shared" si="104"/>
        <v>2183.6437835685024</v>
      </c>
      <c r="AS42" s="197">
        <f t="shared" si="105"/>
        <v>20389.53477534925</v>
      </c>
      <c r="AT42" s="197">
        <f t="shared" si="106"/>
        <v>252.45770210032924</v>
      </c>
      <c r="AU42" s="199">
        <f t="shared" si="107"/>
        <v>2436.1014856688325</v>
      </c>
      <c r="AX42" s="895">
        <v>5</v>
      </c>
      <c r="AY42" s="197">
        <f t="shared" si="108"/>
        <v>16.3</v>
      </c>
      <c r="AZ42" s="197">
        <f>'Energy Inputs'!$G$58*$AZ$34</f>
        <v>134.75</v>
      </c>
      <c r="BA42" s="197">
        <f t="shared" si="149"/>
        <v>2196.4250000000002</v>
      </c>
      <c r="BB42" s="197">
        <f>'Margins summary'!$W$14</f>
        <v>471.64</v>
      </c>
      <c r="BC42" s="197">
        <f t="shared" si="109"/>
        <v>2668.0650000000001</v>
      </c>
      <c r="BD42" s="197"/>
      <c r="BE42" s="913">
        <f>'Energy NPV'!U95</f>
        <v>2207.6999999999998</v>
      </c>
      <c r="BF42" s="197"/>
      <c r="BG42" s="197">
        <f t="shared" si="110"/>
        <v>2207.6999999999998</v>
      </c>
      <c r="BH42" s="197">
        <f t="shared" si="82"/>
        <v>-11.274999999999636</v>
      </c>
      <c r="BI42" s="197">
        <f t="shared" si="83"/>
        <v>460.36500000000024</v>
      </c>
      <c r="BJ42" s="196">
        <f t="shared" si="111"/>
        <v>1877.5132952824654</v>
      </c>
      <c r="BK42" s="197">
        <f t="shared" si="112"/>
        <v>403.15984865725983</v>
      </c>
      <c r="BL42" s="197">
        <f t="shared" si="113"/>
        <v>1887.1512125363251</v>
      </c>
      <c r="BM42" s="197">
        <f t="shared" si="114"/>
        <v>-9.6379172538598468</v>
      </c>
      <c r="BN42" s="199">
        <f t="shared" si="115"/>
        <v>393.52193140339989</v>
      </c>
      <c r="BO42" s="196">
        <f t="shared" si="150"/>
        <v>6880.6641591498601</v>
      </c>
      <c r="BP42" s="197">
        <f t="shared" si="116"/>
        <v>2183.6437835685024</v>
      </c>
      <c r="BQ42" s="197">
        <f t="shared" si="117"/>
        <v>20389.53477534925</v>
      </c>
      <c r="BR42" s="197">
        <f t="shared" si="118"/>
        <v>-13508.87061619939</v>
      </c>
      <c r="BS42" s="199">
        <f t="shared" si="119"/>
        <v>-11325.226832630888</v>
      </c>
      <c r="BV42" s="895">
        <v>5</v>
      </c>
      <c r="BW42" s="197">
        <f t="shared" si="120"/>
        <v>16.3</v>
      </c>
      <c r="BX42" s="197">
        <f>'Energy Inputs'!$G$58*$BX$34</f>
        <v>539</v>
      </c>
      <c r="BY42" s="197">
        <f t="shared" si="151"/>
        <v>8785.7000000000007</v>
      </c>
      <c r="BZ42" s="197">
        <f>'Margins summary'!$W$14</f>
        <v>471.64</v>
      </c>
      <c r="CA42" s="197">
        <f t="shared" si="121"/>
        <v>9257.34</v>
      </c>
      <c r="CB42" s="197"/>
      <c r="CC42" s="913">
        <f>'Energy NPV'!U95</f>
        <v>2207.6999999999998</v>
      </c>
      <c r="CD42" s="197"/>
      <c r="CE42" s="197">
        <f t="shared" si="122"/>
        <v>2207.6999999999998</v>
      </c>
      <c r="CF42" s="197">
        <f t="shared" si="84"/>
        <v>6578.0000000000009</v>
      </c>
      <c r="CG42" s="197">
        <f t="shared" si="85"/>
        <v>7049.64</v>
      </c>
      <c r="CH42" s="196">
        <f t="shared" si="123"/>
        <v>7510.0531811298615</v>
      </c>
      <c r="CI42" s="197">
        <f t="shared" si="124"/>
        <v>403.15984865725983</v>
      </c>
      <c r="CJ42" s="197">
        <f t="shared" si="125"/>
        <v>1887.1512125363251</v>
      </c>
      <c r="CK42" s="197">
        <f t="shared" si="126"/>
        <v>5622.9019685935364</v>
      </c>
      <c r="CL42" s="199">
        <f t="shared" si="127"/>
        <v>6026.0618172507957</v>
      </c>
      <c r="CM42" s="196">
        <f t="shared" si="152"/>
        <v>27522.65663659944</v>
      </c>
      <c r="CN42" s="197">
        <f t="shared" si="128"/>
        <v>2183.6437835685024</v>
      </c>
      <c r="CO42" s="197">
        <f t="shared" si="129"/>
        <v>20389.53477534925</v>
      </c>
      <c r="CP42" s="197">
        <f t="shared" si="130"/>
        <v>7133.121861250188</v>
      </c>
      <c r="CQ42" s="199">
        <f t="shared" si="131"/>
        <v>9316.7656448186899</v>
      </c>
      <c r="CT42" s="204">
        <f t="shared" si="153"/>
        <v>5</v>
      </c>
      <c r="CU42" s="197">
        <f t="shared" si="132"/>
        <v>16.3</v>
      </c>
      <c r="CV42" s="197">
        <f>'Energy Inputs'!$G$58*$CV$34</f>
        <v>0</v>
      </c>
      <c r="CW42" s="197">
        <f t="shared" si="154"/>
        <v>0</v>
      </c>
      <c r="CX42" s="197">
        <f>'Margins summary'!$W$14</f>
        <v>471.64</v>
      </c>
      <c r="CY42" s="197">
        <f t="shared" si="133"/>
        <v>471.64</v>
      </c>
      <c r="CZ42" s="197"/>
      <c r="DA42" s="913">
        <f>'Energy NPV'!U95</f>
        <v>2207.6999999999998</v>
      </c>
      <c r="DB42" s="197"/>
      <c r="DC42" s="197">
        <f t="shared" si="134"/>
        <v>2207.6999999999998</v>
      </c>
      <c r="DD42" s="197">
        <f t="shared" si="86"/>
        <v>-2207.6999999999998</v>
      </c>
      <c r="DE42" s="197">
        <f t="shared" si="87"/>
        <v>-1736.06</v>
      </c>
      <c r="DF42" s="196">
        <f t="shared" si="135"/>
        <v>0</v>
      </c>
      <c r="DG42" s="197">
        <f t="shared" si="136"/>
        <v>403.15984865725983</v>
      </c>
      <c r="DH42" s="197">
        <f t="shared" si="137"/>
        <v>1887.1512125363251</v>
      </c>
      <c r="DI42" s="197">
        <f t="shared" si="138"/>
        <v>-1887.1512125363251</v>
      </c>
      <c r="DJ42" s="199">
        <f t="shared" si="139"/>
        <v>-1483.9913638790656</v>
      </c>
      <c r="DK42" s="196">
        <f t="shared" si="155"/>
        <v>0</v>
      </c>
      <c r="DL42" s="197">
        <f t="shared" si="140"/>
        <v>2183.6437835685024</v>
      </c>
      <c r="DM42" s="197">
        <f t="shared" si="141"/>
        <v>20389.53477534925</v>
      </c>
      <c r="DN42" s="197">
        <f t="shared" si="142"/>
        <v>-20389.53477534925</v>
      </c>
      <c r="DO42" s="199">
        <f t="shared" si="143"/>
        <v>-18205.890991780747</v>
      </c>
    </row>
    <row r="43" spans="2:119" x14ac:dyDescent="0.3">
      <c r="B43" s="204">
        <f t="shared" si="144"/>
        <v>6</v>
      </c>
      <c r="C43" s="197">
        <f>'Energy NPV'!$D96</f>
        <v>16.3</v>
      </c>
      <c r="D43" s="197">
        <f>'Energy Inputs'!$G$58*$E$34</f>
        <v>269.5</v>
      </c>
      <c r="E43" s="197">
        <f t="shared" si="145"/>
        <v>4392.8500000000004</v>
      </c>
      <c r="F43" s="197">
        <f>'Margins summary'!$W$14</f>
        <v>471.64</v>
      </c>
      <c r="G43" s="197">
        <f t="shared" si="88"/>
        <v>4864.4900000000007</v>
      </c>
      <c r="H43" s="197"/>
      <c r="I43" s="913">
        <f>'Energy NPV'!U96</f>
        <v>2207.6999999999998</v>
      </c>
      <c r="J43" s="197"/>
      <c r="K43" s="197">
        <f t="shared" si="89"/>
        <v>2207.6999999999998</v>
      </c>
      <c r="L43" s="197">
        <f t="shared" si="78"/>
        <v>2185.1500000000005</v>
      </c>
      <c r="M43" s="197">
        <f t="shared" si="79"/>
        <v>2656.7900000000009</v>
      </c>
      <c r="N43" s="196">
        <f t="shared" si="90"/>
        <v>3610.6024909278176</v>
      </c>
      <c r="O43" s="197">
        <f t="shared" si="91"/>
        <v>387.65370063198054</v>
      </c>
      <c r="P43" s="197">
        <f t="shared" si="92"/>
        <v>1814.5684735926202</v>
      </c>
      <c r="Q43" s="197">
        <f t="shared" si="93"/>
        <v>1796.0340173351974</v>
      </c>
      <c r="R43" s="199">
        <f t="shared" si="94"/>
        <v>2183.6877179671783</v>
      </c>
      <c r="S43" s="196">
        <f t="shared" si="146"/>
        <v>17371.930809227539</v>
      </c>
      <c r="T43" s="197">
        <f t="shared" si="95"/>
        <v>2571.2974842004828</v>
      </c>
      <c r="U43" s="197">
        <f t="shared" si="95"/>
        <v>22204.103248941869</v>
      </c>
      <c r="V43" s="197">
        <f t="shared" si="95"/>
        <v>-4832.1724397143334</v>
      </c>
      <c r="W43" s="199">
        <f t="shared" si="95"/>
        <v>-2260.8749555138502</v>
      </c>
      <c r="Z43" s="895">
        <v>6</v>
      </c>
      <c r="AA43" s="197">
        <f t="shared" si="96"/>
        <v>16.3</v>
      </c>
      <c r="AB43" s="197">
        <f>'Energy Inputs'!$G$58*$AB$34</f>
        <v>404.25</v>
      </c>
      <c r="AC43" s="197">
        <f t="shared" si="147"/>
        <v>6589.2750000000005</v>
      </c>
      <c r="AD43" s="197">
        <f>'Margins summary'!$W$14</f>
        <v>471.64</v>
      </c>
      <c r="AE43" s="197">
        <f t="shared" si="97"/>
        <v>7060.9150000000009</v>
      </c>
      <c r="AF43" s="197"/>
      <c r="AG43" s="913">
        <f>'Energy NPV'!U96</f>
        <v>2207.6999999999998</v>
      </c>
      <c r="AH43" s="197"/>
      <c r="AI43" s="197">
        <f t="shared" si="98"/>
        <v>2207.6999999999998</v>
      </c>
      <c r="AJ43" s="197">
        <f t="shared" si="80"/>
        <v>4381.5750000000007</v>
      </c>
      <c r="AK43" s="197">
        <f t="shared" si="81"/>
        <v>4853.2150000000011</v>
      </c>
      <c r="AL43" s="196">
        <f t="shared" si="99"/>
        <v>5415.9037363917269</v>
      </c>
      <c r="AM43" s="197">
        <f t="shared" si="100"/>
        <v>387.65370063198054</v>
      </c>
      <c r="AN43" s="197">
        <f t="shared" si="101"/>
        <v>1814.5684735926202</v>
      </c>
      <c r="AO43" s="197">
        <f t="shared" si="102"/>
        <v>3601.3352627991062</v>
      </c>
      <c r="AP43" s="199">
        <f t="shared" si="103"/>
        <v>3988.9889634310871</v>
      </c>
      <c r="AQ43" s="196">
        <f t="shared" si="148"/>
        <v>26057.896213841308</v>
      </c>
      <c r="AR43" s="197">
        <f t="shared" si="104"/>
        <v>2571.2974842004828</v>
      </c>
      <c r="AS43" s="197">
        <f t="shared" si="105"/>
        <v>22204.103248941869</v>
      </c>
      <c r="AT43" s="197">
        <f t="shared" si="106"/>
        <v>3853.7929648994354</v>
      </c>
      <c r="AU43" s="199">
        <f t="shared" si="107"/>
        <v>6425.0904490999201</v>
      </c>
      <c r="AX43" s="895">
        <v>6</v>
      </c>
      <c r="AY43" s="197">
        <f t="shared" si="108"/>
        <v>16.3</v>
      </c>
      <c r="AZ43" s="197">
        <f>'Energy Inputs'!$G$58*$AZ$34</f>
        <v>134.75</v>
      </c>
      <c r="BA43" s="197">
        <f t="shared" si="149"/>
        <v>2196.4250000000002</v>
      </c>
      <c r="BB43" s="197">
        <f>'Margins summary'!$W$14</f>
        <v>471.64</v>
      </c>
      <c r="BC43" s="197">
        <f t="shared" si="109"/>
        <v>2668.0650000000001</v>
      </c>
      <c r="BD43" s="197"/>
      <c r="BE43" s="913">
        <f>'Energy NPV'!U96</f>
        <v>2207.6999999999998</v>
      </c>
      <c r="BF43" s="197"/>
      <c r="BG43" s="197">
        <f t="shared" si="110"/>
        <v>2207.6999999999998</v>
      </c>
      <c r="BH43" s="197">
        <f t="shared" si="82"/>
        <v>-11.274999999999636</v>
      </c>
      <c r="BI43" s="197">
        <f t="shared" si="83"/>
        <v>460.36500000000024</v>
      </c>
      <c r="BJ43" s="196">
        <f t="shared" si="111"/>
        <v>1805.3012454639088</v>
      </c>
      <c r="BK43" s="197">
        <f t="shared" si="112"/>
        <v>387.65370063198054</v>
      </c>
      <c r="BL43" s="197">
        <f t="shared" si="113"/>
        <v>1814.5684735926202</v>
      </c>
      <c r="BM43" s="197">
        <f t="shared" si="114"/>
        <v>-9.2672281287113893</v>
      </c>
      <c r="BN43" s="199">
        <f t="shared" si="115"/>
        <v>378.38647250326909</v>
      </c>
      <c r="BO43" s="196">
        <f t="shared" si="150"/>
        <v>8685.9654046137694</v>
      </c>
      <c r="BP43" s="197">
        <f t="shared" si="116"/>
        <v>2571.2974842004828</v>
      </c>
      <c r="BQ43" s="197">
        <f t="shared" si="117"/>
        <v>22204.103248941869</v>
      </c>
      <c r="BR43" s="197">
        <f t="shared" si="118"/>
        <v>-13518.137844328101</v>
      </c>
      <c r="BS43" s="199">
        <f t="shared" si="119"/>
        <v>-10946.840360127619</v>
      </c>
      <c r="BV43" s="895">
        <v>6</v>
      </c>
      <c r="BW43" s="197">
        <f t="shared" si="120"/>
        <v>16.3</v>
      </c>
      <c r="BX43" s="197">
        <f>'Energy Inputs'!$G$58*$BX$34</f>
        <v>539</v>
      </c>
      <c r="BY43" s="197">
        <f t="shared" si="151"/>
        <v>8785.7000000000007</v>
      </c>
      <c r="BZ43" s="197">
        <f>'Margins summary'!$W$14</f>
        <v>471.64</v>
      </c>
      <c r="CA43" s="197">
        <f t="shared" si="121"/>
        <v>9257.34</v>
      </c>
      <c r="CB43" s="197"/>
      <c r="CC43" s="913">
        <f>'Energy NPV'!U96</f>
        <v>2207.6999999999998</v>
      </c>
      <c r="CD43" s="197"/>
      <c r="CE43" s="197">
        <f t="shared" si="122"/>
        <v>2207.6999999999998</v>
      </c>
      <c r="CF43" s="197">
        <f t="shared" si="84"/>
        <v>6578.0000000000009</v>
      </c>
      <c r="CG43" s="197">
        <f t="shared" si="85"/>
        <v>7049.64</v>
      </c>
      <c r="CH43" s="196">
        <f t="shared" si="123"/>
        <v>7221.2049818556352</v>
      </c>
      <c r="CI43" s="197">
        <f t="shared" si="124"/>
        <v>387.65370063198054</v>
      </c>
      <c r="CJ43" s="197">
        <f t="shared" si="125"/>
        <v>1814.5684735926202</v>
      </c>
      <c r="CK43" s="197">
        <f t="shared" si="126"/>
        <v>5406.6365082630155</v>
      </c>
      <c r="CL43" s="199">
        <f t="shared" si="127"/>
        <v>5794.290208894995</v>
      </c>
      <c r="CM43" s="196">
        <f t="shared" si="152"/>
        <v>34743.861618455077</v>
      </c>
      <c r="CN43" s="197">
        <f t="shared" si="128"/>
        <v>2571.2974842004828</v>
      </c>
      <c r="CO43" s="197">
        <f t="shared" si="129"/>
        <v>22204.103248941869</v>
      </c>
      <c r="CP43" s="197">
        <f t="shared" si="130"/>
        <v>12539.758369513203</v>
      </c>
      <c r="CQ43" s="199">
        <f t="shared" si="131"/>
        <v>15111.055853713686</v>
      </c>
      <c r="CT43" s="204">
        <f t="shared" si="153"/>
        <v>6</v>
      </c>
      <c r="CU43" s="197">
        <f t="shared" si="132"/>
        <v>16.3</v>
      </c>
      <c r="CV43" s="197">
        <f>'Energy Inputs'!$G$58*$CV$34</f>
        <v>0</v>
      </c>
      <c r="CW43" s="197">
        <f t="shared" si="154"/>
        <v>0</v>
      </c>
      <c r="CX43" s="197">
        <f>'Margins summary'!$W$14</f>
        <v>471.64</v>
      </c>
      <c r="CY43" s="197">
        <f t="shared" si="133"/>
        <v>471.64</v>
      </c>
      <c r="CZ43" s="197"/>
      <c r="DA43" s="913">
        <f>'Energy NPV'!U96</f>
        <v>2207.6999999999998</v>
      </c>
      <c r="DB43" s="197"/>
      <c r="DC43" s="197">
        <f t="shared" si="134"/>
        <v>2207.6999999999998</v>
      </c>
      <c r="DD43" s="197">
        <f t="shared" si="86"/>
        <v>-2207.6999999999998</v>
      </c>
      <c r="DE43" s="197">
        <f t="shared" si="87"/>
        <v>-1736.06</v>
      </c>
      <c r="DF43" s="196">
        <f t="shared" si="135"/>
        <v>0</v>
      </c>
      <c r="DG43" s="197">
        <f t="shared" si="136"/>
        <v>387.65370063198054</v>
      </c>
      <c r="DH43" s="197">
        <f t="shared" si="137"/>
        <v>1814.5684735926202</v>
      </c>
      <c r="DI43" s="197">
        <f t="shared" si="138"/>
        <v>-1814.5684735926202</v>
      </c>
      <c r="DJ43" s="199">
        <f t="shared" si="139"/>
        <v>-1426.9147729606398</v>
      </c>
      <c r="DK43" s="196">
        <f t="shared" si="155"/>
        <v>0</v>
      </c>
      <c r="DL43" s="197">
        <f t="shared" si="140"/>
        <v>2571.2974842004828</v>
      </c>
      <c r="DM43" s="197">
        <f t="shared" si="141"/>
        <v>22204.103248941869</v>
      </c>
      <c r="DN43" s="197">
        <f t="shared" si="142"/>
        <v>-22204.103248941869</v>
      </c>
      <c r="DO43" s="199">
        <f t="shared" si="143"/>
        <v>-19632.805764741388</v>
      </c>
    </row>
    <row r="44" spans="2:119" x14ac:dyDescent="0.3">
      <c r="B44" s="204">
        <f t="shared" si="144"/>
        <v>7</v>
      </c>
      <c r="C44" s="197">
        <f>'Energy NPV'!$D97</f>
        <v>16.3</v>
      </c>
      <c r="D44" s="197">
        <f>'Energy Inputs'!$G$58*$E$34</f>
        <v>269.5</v>
      </c>
      <c r="E44" s="197">
        <f t="shared" si="145"/>
        <v>4392.8500000000004</v>
      </c>
      <c r="F44" s="197">
        <f>'Margins summary'!$W$14</f>
        <v>471.64</v>
      </c>
      <c r="G44" s="197">
        <f t="shared" si="88"/>
        <v>4864.4900000000007</v>
      </c>
      <c r="H44" s="197"/>
      <c r="I44" s="913">
        <f>'Energy NPV'!U97</f>
        <v>2207.6999999999998</v>
      </c>
      <c r="J44" s="197"/>
      <c r="K44" s="197">
        <f t="shared" si="89"/>
        <v>2207.6999999999998</v>
      </c>
      <c r="L44" s="197">
        <f t="shared" si="78"/>
        <v>2185.1500000000005</v>
      </c>
      <c r="M44" s="197">
        <f t="shared" si="79"/>
        <v>2656.7900000000009</v>
      </c>
      <c r="N44" s="196">
        <f t="shared" si="90"/>
        <v>3471.7331643536709</v>
      </c>
      <c r="O44" s="197">
        <f t="shared" si="91"/>
        <v>372.74394291536589</v>
      </c>
      <c r="P44" s="197">
        <f t="shared" si="92"/>
        <v>1744.7773784544424</v>
      </c>
      <c r="Q44" s="197">
        <f t="shared" si="93"/>
        <v>1726.9557858992284</v>
      </c>
      <c r="R44" s="199">
        <f t="shared" si="94"/>
        <v>2099.6997288145944</v>
      </c>
      <c r="S44" s="196">
        <f t="shared" si="146"/>
        <v>20843.66397358121</v>
      </c>
      <c r="T44" s="197">
        <f t="shared" si="95"/>
        <v>2944.0414271158488</v>
      </c>
      <c r="U44" s="197">
        <f t="shared" si="95"/>
        <v>23948.880627396313</v>
      </c>
      <c r="V44" s="197">
        <f t="shared" si="95"/>
        <v>-3105.216653815105</v>
      </c>
      <c r="W44" s="199">
        <f t="shared" si="95"/>
        <v>-161.17522669925575</v>
      </c>
      <c r="Z44" s="895">
        <v>7</v>
      </c>
      <c r="AA44" s="197">
        <f t="shared" si="96"/>
        <v>16.3</v>
      </c>
      <c r="AB44" s="197">
        <f>'Energy Inputs'!$G$58*$AB$34</f>
        <v>404.25</v>
      </c>
      <c r="AC44" s="197">
        <f t="shared" si="147"/>
        <v>6589.2750000000005</v>
      </c>
      <c r="AD44" s="197">
        <f>'Margins summary'!$W$14</f>
        <v>471.64</v>
      </c>
      <c r="AE44" s="197">
        <f t="shared" si="97"/>
        <v>7060.9150000000009</v>
      </c>
      <c r="AF44" s="197"/>
      <c r="AG44" s="913">
        <f>'Energy NPV'!U97</f>
        <v>2207.6999999999998</v>
      </c>
      <c r="AH44" s="197"/>
      <c r="AI44" s="197">
        <f t="shared" si="98"/>
        <v>2207.6999999999998</v>
      </c>
      <c r="AJ44" s="197">
        <f t="shared" si="80"/>
        <v>4381.5750000000007</v>
      </c>
      <c r="AK44" s="197">
        <f t="shared" si="81"/>
        <v>4853.2150000000011</v>
      </c>
      <c r="AL44" s="196">
        <f t="shared" si="99"/>
        <v>5207.5997465305063</v>
      </c>
      <c r="AM44" s="197">
        <f t="shared" si="100"/>
        <v>372.74394291536589</v>
      </c>
      <c r="AN44" s="197">
        <f t="shared" si="101"/>
        <v>1744.7773784544424</v>
      </c>
      <c r="AO44" s="197">
        <f t="shared" si="102"/>
        <v>3462.8223680760639</v>
      </c>
      <c r="AP44" s="199">
        <f t="shared" si="103"/>
        <v>3835.5663109914299</v>
      </c>
      <c r="AQ44" s="196">
        <f t="shared" si="148"/>
        <v>31265.495960371816</v>
      </c>
      <c r="AR44" s="197">
        <f t="shared" si="104"/>
        <v>2944.0414271158488</v>
      </c>
      <c r="AS44" s="197">
        <f t="shared" si="105"/>
        <v>23948.880627396313</v>
      </c>
      <c r="AT44" s="197">
        <f t="shared" si="106"/>
        <v>7316.6153329754998</v>
      </c>
      <c r="AU44" s="199">
        <f t="shared" si="107"/>
        <v>10260.656760091349</v>
      </c>
      <c r="AX44" s="895">
        <v>7</v>
      </c>
      <c r="AY44" s="197">
        <f t="shared" si="108"/>
        <v>16.3</v>
      </c>
      <c r="AZ44" s="197">
        <f>'Energy Inputs'!$G$58*$AZ$34</f>
        <v>134.75</v>
      </c>
      <c r="BA44" s="197">
        <f t="shared" si="149"/>
        <v>2196.4250000000002</v>
      </c>
      <c r="BB44" s="197">
        <f>'Margins summary'!$W$14</f>
        <v>471.64</v>
      </c>
      <c r="BC44" s="197">
        <f t="shared" si="109"/>
        <v>2668.0650000000001</v>
      </c>
      <c r="BD44" s="197"/>
      <c r="BE44" s="913">
        <f>'Energy NPV'!U97</f>
        <v>2207.6999999999998</v>
      </c>
      <c r="BF44" s="197"/>
      <c r="BG44" s="197">
        <f t="shared" si="110"/>
        <v>2207.6999999999998</v>
      </c>
      <c r="BH44" s="197">
        <f t="shared" si="82"/>
        <v>-11.274999999999636</v>
      </c>
      <c r="BI44" s="197">
        <f t="shared" si="83"/>
        <v>460.36500000000024</v>
      </c>
      <c r="BJ44" s="196">
        <f t="shared" si="111"/>
        <v>1735.8665821768354</v>
      </c>
      <c r="BK44" s="197">
        <f t="shared" si="112"/>
        <v>372.74394291536589</v>
      </c>
      <c r="BL44" s="197">
        <f t="shared" si="113"/>
        <v>1744.7773784544424</v>
      </c>
      <c r="BM44" s="197">
        <f t="shared" si="114"/>
        <v>-8.9107962776071048</v>
      </c>
      <c r="BN44" s="199">
        <f t="shared" si="115"/>
        <v>363.83314663775872</v>
      </c>
      <c r="BO44" s="196">
        <f t="shared" si="150"/>
        <v>10421.831986790605</v>
      </c>
      <c r="BP44" s="197">
        <f t="shared" si="116"/>
        <v>2944.0414271158488</v>
      </c>
      <c r="BQ44" s="197">
        <f t="shared" si="117"/>
        <v>23948.880627396313</v>
      </c>
      <c r="BR44" s="197">
        <f t="shared" si="118"/>
        <v>-13527.048640605708</v>
      </c>
      <c r="BS44" s="199">
        <f t="shared" si="119"/>
        <v>-10583.00721348986</v>
      </c>
      <c r="BV44" s="895">
        <v>7</v>
      </c>
      <c r="BW44" s="197">
        <f t="shared" si="120"/>
        <v>16.3</v>
      </c>
      <c r="BX44" s="197">
        <f>'Energy Inputs'!$G$58*$BX$34</f>
        <v>539</v>
      </c>
      <c r="BY44" s="197">
        <f t="shared" si="151"/>
        <v>8785.7000000000007</v>
      </c>
      <c r="BZ44" s="197">
        <f>'Margins summary'!$W$14</f>
        <v>471.64</v>
      </c>
      <c r="CA44" s="197">
        <f t="shared" si="121"/>
        <v>9257.34</v>
      </c>
      <c r="CB44" s="197"/>
      <c r="CC44" s="913">
        <f>'Energy NPV'!U97</f>
        <v>2207.6999999999998</v>
      </c>
      <c r="CD44" s="197"/>
      <c r="CE44" s="197">
        <f t="shared" si="122"/>
        <v>2207.6999999999998</v>
      </c>
      <c r="CF44" s="197">
        <f t="shared" si="84"/>
        <v>6578.0000000000009</v>
      </c>
      <c r="CG44" s="197">
        <f t="shared" si="85"/>
        <v>7049.64</v>
      </c>
      <c r="CH44" s="196">
        <f t="shared" si="123"/>
        <v>6943.4663287073417</v>
      </c>
      <c r="CI44" s="197">
        <f t="shared" si="124"/>
        <v>372.74394291536589</v>
      </c>
      <c r="CJ44" s="197">
        <f t="shared" si="125"/>
        <v>1744.7773784544424</v>
      </c>
      <c r="CK44" s="197">
        <f t="shared" si="126"/>
        <v>5198.6889502528993</v>
      </c>
      <c r="CL44" s="199">
        <f t="shared" si="127"/>
        <v>5571.4328931682649</v>
      </c>
      <c r="CM44" s="196">
        <f t="shared" si="152"/>
        <v>41687.327947162419</v>
      </c>
      <c r="CN44" s="197">
        <f t="shared" si="128"/>
        <v>2944.0414271158488</v>
      </c>
      <c r="CO44" s="197">
        <f t="shared" si="129"/>
        <v>23948.880627396313</v>
      </c>
      <c r="CP44" s="197">
        <f t="shared" si="130"/>
        <v>17738.447319766103</v>
      </c>
      <c r="CQ44" s="199">
        <f t="shared" si="131"/>
        <v>20682.488746881951</v>
      </c>
      <c r="CT44" s="204">
        <f t="shared" si="153"/>
        <v>7</v>
      </c>
      <c r="CU44" s="197">
        <f t="shared" si="132"/>
        <v>16.3</v>
      </c>
      <c r="CV44" s="197">
        <f>'Energy Inputs'!$G$58*$CV$34</f>
        <v>0</v>
      </c>
      <c r="CW44" s="197">
        <f t="shared" si="154"/>
        <v>0</v>
      </c>
      <c r="CX44" s="197">
        <f>'Margins summary'!$W$14</f>
        <v>471.64</v>
      </c>
      <c r="CY44" s="197">
        <f t="shared" si="133"/>
        <v>471.64</v>
      </c>
      <c r="CZ44" s="197"/>
      <c r="DA44" s="913">
        <f>'Energy NPV'!U97</f>
        <v>2207.6999999999998</v>
      </c>
      <c r="DB44" s="197"/>
      <c r="DC44" s="197">
        <f t="shared" si="134"/>
        <v>2207.6999999999998</v>
      </c>
      <c r="DD44" s="197">
        <f t="shared" si="86"/>
        <v>-2207.6999999999998</v>
      </c>
      <c r="DE44" s="197">
        <f t="shared" si="87"/>
        <v>-1736.06</v>
      </c>
      <c r="DF44" s="196">
        <f t="shared" si="135"/>
        <v>0</v>
      </c>
      <c r="DG44" s="197">
        <f t="shared" si="136"/>
        <v>372.74394291536589</v>
      </c>
      <c r="DH44" s="197">
        <f t="shared" si="137"/>
        <v>1744.7773784544424</v>
      </c>
      <c r="DI44" s="197">
        <f t="shared" si="138"/>
        <v>-1744.7773784544424</v>
      </c>
      <c r="DJ44" s="199">
        <f t="shared" si="139"/>
        <v>-1372.0334355390767</v>
      </c>
      <c r="DK44" s="196">
        <f t="shared" si="155"/>
        <v>0</v>
      </c>
      <c r="DL44" s="197">
        <f t="shared" si="140"/>
        <v>2944.0414271158488</v>
      </c>
      <c r="DM44" s="197">
        <f t="shared" si="141"/>
        <v>23948.880627396313</v>
      </c>
      <c r="DN44" s="197">
        <f t="shared" si="142"/>
        <v>-23948.880627396313</v>
      </c>
      <c r="DO44" s="199">
        <f t="shared" si="143"/>
        <v>-21004.839200280465</v>
      </c>
    </row>
    <row r="45" spans="2:119" x14ac:dyDescent="0.3">
      <c r="B45" s="204">
        <f t="shared" si="144"/>
        <v>8</v>
      </c>
      <c r="C45" s="197">
        <f>'Energy NPV'!$D98</f>
        <v>16.3</v>
      </c>
      <c r="D45" s="197">
        <f>'Energy Inputs'!$G$58*$E$34</f>
        <v>269.5</v>
      </c>
      <c r="E45" s="197">
        <f t="shared" si="145"/>
        <v>4392.8500000000004</v>
      </c>
      <c r="F45" s="197">
        <f>'Margins summary'!$W$14</f>
        <v>471.64</v>
      </c>
      <c r="G45" s="197">
        <f t="shared" si="88"/>
        <v>4864.4900000000007</v>
      </c>
      <c r="H45" s="197"/>
      <c r="I45" s="913">
        <f>'Energy NPV'!U98</f>
        <v>2207.6999999999998</v>
      </c>
      <c r="J45" s="197"/>
      <c r="K45" s="197">
        <f t="shared" si="89"/>
        <v>2207.6999999999998</v>
      </c>
      <c r="L45" s="197">
        <f t="shared" si="78"/>
        <v>2185.1500000000005</v>
      </c>
      <c r="M45" s="197">
        <f t="shared" si="79"/>
        <v>2656.7900000000009</v>
      </c>
      <c r="N45" s="196">
        <f t="shared" si="90"/>
        <v>3338.2049657246839</v>
      </c>
      <c r="O45" s="197">
        <f t="shared" si="91"/>
        <v>358.40763741862111</v>
      </c>
      <c r="P45" s="197">
        <f t="shared" si="92"/>
        <v>1677.670556206195</v>
      </c>
      <c r="Q45" s="197">
        <f t="shared" si="93"/>
        <v>1660.5344095184889</v>
      </c>
      <c r="R45" s="199">
        <f t="shared" si="94"/>
        <v>2018.9420469371103</v>
      </c>
      <c r="S45" s="196">
        <f t="shared" si="146"/>
        <v>24181.868939305892</v>
      </c>
      <c r="T45" s="197">
        <f t="shared" si="95"/>
        <v>3302.4490645344699</v>
      </c>
      <c r="U45" s="197">
        <f t="shared" si="95"/>
        <v>25626.551183602507</v>
      </c>
      <c r="V45" s="197">
        <f t="shared" si="95"/>
        <v>-1444.6822442966161</v>
      </c>
      <c r="W45" s="199">
        <f t="shared" si="95"/>
        <v>1857.7668202378545</v>
      </c>
      <c r="Z45" s="895">
        <v>8</v>
      </c>
      <c r="AA45" s="197">
        <f t="shared" si="96"/>
        <v>16.3</v>
      </c>
      <c r="AB45" s="197">
        <f>'Energy Inputs'!$G$58*$AB$34</f>
        <v>404.25</v>
      </c>
      <c r="AC45" s="197">
        <f t="shared" si="147"/>
        <v>6589.2750000000005</v>
      </c>
      <c r="AD45" s="197">
        <f>'Margins summary'!$W$14</f>
        <v>471.64</v>
      </c>
      <c r="AE45" s="197">
        <f t="shared" si="97"/>
        <v>7060.9150000000009</v>
      </c>
      <c r="AF45" s="197"/>
      <c r="AG45" s="913">
        <f>'Energy NPV'!U98</f>
        <v>2207.6999999999998</v>
      </c>
      <c r="AH45" s="197"/>
      <c r="AI45" s="197">
        <f t="shared" si="98"/>
        <v>2207.6999999999998</v>
      </c>
      <c r="AJ45" s="197">
        <f t="shared" si="80"/>
        <v>4381.5750000000007</v>
      </c>
      <c r="AK45" s="197">
        <f t="shared" si="81"/>
        <v>4853.2150000000011</v>
      </c>
      <c r="AL45" s="196">
        <f t="shared" si="99"/>
        <v>5007.3074485870256</v>
      </c>
      <c r="AM45" s="197">
        <f t="shared" si="100"/>
        <v>358.40763741862111</v>
      </c>
      <c r="AN45" s="197">
        <f t="shared" si="101"/>
        <v>1677.670556206195</v>
      </c>
      <c r="AO45" s="197">
        <f t="shared" si="102"/>
        <v>3329.6368923808309</v>
      </c>
      <c r="AP45" s="199">
        <f t="shared" si="103"/>
        <v>3688.0445297994524</v>
      </c>
      <c r="AQ45" s="196">
        <f t="shared" si="148"/>
        <v>36272.80340895884</v>
      </c>
      <c r="AR45" s="197">
        <f t="shared" si="104"/>
        <v>3302.4490645344699</v>
      </c>
      <c r="AS45" s="197">
        <f t="shared" si="105"/>
        <v>25626.551183602507</v>
      </c>
      <c r="AT45" s="197">
        <f t="shared" si="106"/>
        <v>10646.252225356331</v>
      </c>
      <c r="AU45" s="199">
        <f t="shared" si="107"/>
        <v>13948.701289890801</v>
      </c>
      <c r="AX45" s="895">
        <v>8</v>
      </c>
      <c r="AY45" s="197">
        <f t="shared" si="108"/>
        <v>16.3</v>
      </c>
      <c r="AZ45" s="197">
        <f>'Energy Inputs'!$G$58*$AZ$34</f>
        <v>134.75</v>
      </c>
      <c r="BA45" s="197">
        <f t="shared" si="149"/>
        <v>2196.4250000000002</v>
      </c>
      <c r="BB45" s="197">
        <f>'Margins summary'!$W$14</f>
        <v>471.64</v>
      </c>
      <c r="BC45" s="197">
        <f t="shared" si="109"/>
        <v>2668.0650000000001</v>
      </c>
      <c r="BD45" s="197"/>
      <c r="BE45" s="913">
        <f>'Energy NPV'!U98</f>
        <v>2207.6999999999998</v>
      </c>
      <c r="BF45" s="197"/>
      <c r="BG45" s="197">
        <f t="shared" si="110"/>
        <v>2207.6999999999998</v>
      </c>
      <c r="BH45" s="197">
        <f t="shared" si="82"/>
        <v>-11.274999999999636</v>
      </c>
      <c r="BI45" s="197">
        <f t="shared" si="83"/>
        <v>460.36500000000024</v>
      </c>
      <c r="BJ45" s="196">
        <f t="shared" si="111"/>
        <v>1669.102482862342</v>
      </c>
      <c r="BK45" s="197">
        <f t="shared" si="112"/>
        <v>358.40763741862111</v>
      </c>
      <c r="BL45" s="197">
        <f t="shared" si="113"/>
        <v>1677.670556206195</v>
      </c>
      <c r="BM45" s="197">
        <f t="shared" si="114"/>
        <v>-8.568073343852987</v>
      </c>
      <c r="BN45" s="199">
        <f t="shared" si="115"/>
        <v>349.83956407476802</v>
      </c>
      <c r="BO45" s="196">
        <f t="shared" si="150"/>
        <v>12090.934469652946</v>
      </c>
      <c r="BP45" s="197">
        <f t="shared" si="116"/>
        <v>3302.4490645344699</v>
      </c>
      <c r="BQ45" s="197">
        <f t="shared" si="117"/>
        <v>25626.551183602507</v>
      </c>
      <c r="BR45" s="197">
        <f t="shared" si="118"/>
        <v>-13535.616713949561</v>
      </c>
      <c r="BS45" s="199">
        <f t="shared" si="119"/>
        <v>-10233.167649415092</v>
      </c>
      <c r="BV45" s="895">
        <v>8</v>
      </c>
      <c r="BW45" s="197">
        <f t="shared" si="120"/>
        <v>16.3</v>
      </c>
      <c r="BX45" s="197">
        <f>'Energy Inputs'!$G$58*$BX$34</f>
        <v>539</v>
      </c>
      <c r="BY45" s="197">
        <f t="shared" si="151"/>
        <v>8785.7000000000007</v>
      </c>
      <c r="BZ45" s="197">
        <f>'Margins summary'!$W$14</f>
        <v>471.64</v>
      </c>
      <c r="CA45" s="197">
        <f t="shared" si="121"/>
        <v>9257.34</v>
      </c>
      <c r="CB45" s="197"/>
      <c r="CC45" s="913">
        <f>'Energy NPV'!U98</f>
        <v>2207.6999999999998</v>
      </c>
      <c r="CD45" s="197"/>
      <c r="CE45" s="197">
        <f t="shared" si="122"/>
        <v>2207.6999999999998</v>
      </c>
      <c r="CF45" s="197">
        <f t="shared" si="84"/>
        <v>6578.0000000000009</v>
      </c>
      <c r="CG45" s="197">
        <f t="shared" si="85"/>
        <v>7049.64</v>
      </c>
      <c r="CH45" s="196">
        <f t="shared" si="123"/>
        <v>6676.4099314493678</v>
      </c>
      <c r="CI45" s="197">
        <f t="shared" si="124"/>
        <v>358.40763741862111</v>
      </c>
      <c r="CJ45" s="197">
        <f t="shared" si="125"/>
        <v>1677.670556206195</v>
      </c>
      <c r="CK45" s="197">
        <f t="shared" si="126"/>
        <v>4998.7393752431726</v>
      </c>
      <c r="CL45" s="199">
        <f t="shared" si="127"/>
        <v>5357.1470126617933</v>
      </c>
      <c r="CM45" s="196">
        <f t="shared" si="152"/>
        <v>48363.737878611784</v>
      </c>
      <c r="CN45" s="197">
        <f t="shared" si="128"/>
        <v>3302.4490645344699</v>
      </c>
      <c r="CO45" s="197">
        <f t="shared" si="129"/>
        <v>25626.551183602507</v>
      </c>
      <c r="CP45" s="197">
        <f t="shared" si="130"/>
        <v>22737.186695009274</v>
      </c>
      <c r="CQ45" s="199">
        <f t="shared" si="131"/>
        <v>26039.635759543744</v>
      </c>
      <c r="CT45" s="204">
        <f t="shared" si="153"/>
        <v>8</v>
      </c>
      <c r="CU45" s="197">
        <f t="shared" si="132"/>
        <v>16.3</v>
      </c>
      <c r="CV45" s="197">
        <f>'Energy Inputs'!$G$58*$CV$34</f>
        <v>0</v>
      </c>
      <c r="CW45" s="197">
        <f t="shared" si="154"/>
        <v>0</v>
      </c>
      <c r="CX45" s="197">
        <f>'Margins summary'!$W$14</f>
        <v>471.64</v>
      </c>
      <c r="CY45" s="197">
        <f t="shared" si="133"/>
        <v>471.64</v>
      </c>
      <c r="CZ45" s="197"/>
      <c r="DA45" s="913">
        <f>'Energy NPV'!U98</f>
        <v>2207.6999999999998</v>
      </c>
      <c r="DB45" s="197"/>
      <c r="DC45" s="197">
        <f t="shared" si="134"/>
        <v>2207.6999999999998</v>
      </c>
      <c r="DD45" s="197">
        <f t="shared" si="86"/>
        <v>-2207.6999999999998</v>
      </c>
      <c r="DE45" s="197">
        <f t="shared" si="87"/>
        <v>-1736.06</v>
      </c>
      <c r="DF45" s="196">
        <f t="shared" si="135"/>
        <v>0</v>
      </c>
      <c r="DG45" s="197">
        <f t="shared" si="136"/>
        <v>358.40763741862111</v>
      </c>
      <c r="DH45" s="197">
        <f t="shared" si="137"/>
        <v>1677.670556206195</v>
      </c>
      <c r="DI45" s="197">
        <f t="shared" si="138"/>
        <v>-1677.670556206195</v>
      </c>
      <c r="DJ45" s="199">
        <f t="shared" si="139"/>
        <v>-1319.2629187875739</v>
      </c>
      <c r="DK45" s="196">
        <f t="shared" si="155"/>
        <v>0</v>
      </c>
      <c r="DL45" s="197">
        <f t="shared" si="140"/>
        <v>3302.4490645344699</v>
      </c>
      <c r="DM45" s="197">
        <f t="shared" si="141"/>
        <v>25626.551183602507</v>
      </c>
      <c r="DN45" s="197">
        <f t="shared" si="142"/>
        <v>-25626.551183602507</v>
      </c>
      <c r="DO45" s="199">
        <f t="shared" si="143"/>
        <v>-22324.10211906804</v>
      </c>
    </row>
    <row r="46" spans="2:119" x14ac:dyDescent="0.3">
      <c r="B46" s="204">
        <f t="shared" si="144"/>
        <v>9</v>
      </c>
      <c r="C46" s="197">
        <f>'Energy NPV'!$D99</f>
        <v>16.3</v>
      </c>
      <c r="D46" s="197">
        <f>'Energy Inputs'!$G$58*$E$34</f>
        <v>269.5</v>
      </c>
      <c r="E46" s="197">
        <f t="shared" si="145"/>
        <v>4392.8500000000004</v>
      </c>
      <c r="F46" s="197">
        <f>'Margins summary'!$W$14</f>
        <v>471.64</v>
      </c>
      <c r="G46" s="197">
        <f t="shared" si="88"/>
        <v>4864.4900000000007</v>
      </c>
      <c r="H46" s="197"/>
      <c r="I46" s="913">
        <f>'Energy NPV'!U99</f>
        <v>2207.6999999999998</v>
      </c>
      <c r="J46" s="197"/>
      <c r="K46" s="197">
        <f t="shared" si="89"/>
        <v>2207.6999999999998</v>
      </c>
      <c r="L46" s="197">
        <f t="shared" si="78"/>
        <v>2185.1500000000005</v>
      </c>
      <c r="M46" s="197">
        <f t="shared" si="79"/>
        <v>2656.7900000000009</v>
      </c>
      <c r="N46" s="196">
        <f t="shared" si="90"/>
        <v>3209.8124670429647</v>
      </c>
      <c r="O46" s="197">
        <f t="shared" si="91"/>
        <v>344.6227282871356</v>
      </c>
      <c r="P46" s="197">
        <f t="shared" si="92"/>
        <v>1613.1447655828795</v>
      </c>
      <c r="Q46" s="197">
        <f t="shared" si="93"/>
        <v>1596.6677014600853</v>
      </c>
      <c r="R46" s="199">
        <f t="shared" si="94"/>
        <v>1941.2904297472212</v>
      </c>
      <c r="S46" s="196">
        <f t="shared" si="146"/>
        <v>27391.681406348856</v>
      </c>
      <c r="T46" s="197">
        <f t="shared" si="95"/>
        <v>3647.0717928216054</v>
      </c>
      <c r="U46" s="197">
        <f t="shared" si="95"/>
        <v>27239.695949185385</v>
      </c>
      <c r="V46" s="197">
        <f t="shared" si="95"/>
        <v>151.98545716346916</v>
      </c>
      <c r="W46" s="199">
        <f t="shared" si="95"/>
        <v>3799.0572499850759</v>
      </c>
      <c r="Z46" s="895">
        <v>9</v>
      </c>
      <c r="AA46" s="197">
        <f t="shared" si="96"/>
        <v>16.3</v>
      </c>
      <c r="AB46" s="197">
        <f>'Energy Inputs'!$G$58*$AB$34</f>
        <v>404.25</v>
      </c>
      <c r="AC46" s="197">
        <f t="shared" si="147"/>
        <v>6589.2750000000005</v>
      </c>
      <c r="AD46" s="197">
        <f>'Margins summary'!$W$14</f>
        <v>471.64</v>
      </c>
      <c r="AE46" s="197">
        <f t="shared" si="97"/>
        <v>7060.9150000000009</v>
      </c>
      <c r="AF46" s="197"/>
      <c r="AG46" s="913">
        <f>'Energy NPV'!U99</f>
        <v>2207.6999999999998</v>
      </c>
      <c r="AH46" s="197"/>
      <c r="AI46" s="197">
        <f t="shared" si="98"/>
        <v>2207.6999999999998</v>
      </c>
      <c r="AJ46" s="197">
        <f t="shared" si="80"/>
        <v>4381.5750000000007</v>
      </c>
      <c r="AK46" s="197">
        <f t="shared" si="81"/>
        <v>4853.2150000000011</v>
      </c>
      <c r="AL46" s="196">
        <f t="shared" si="99"/>
        <v>4814.7187005644473</v>
      </c>
      <c r="AM46" s="197">
        <f t="shared" si="100"/>
        <v>344.6227282871356</v>
      </c>
      <c r="AN46" s="197">
        <f t="shared" si="101"/>
        <v>1613.1447655828795</v>
      </c>
      <c r="AO46" s="197">
        <f t="shared" si="102"/>
        <v>3201.5739349815676</v>
      </c>
      <c r="AP46" s="199">
        <f t="shared" si="103"/>
        <v>3546.1966632687036</v>
      </c>
      <c r="AQ46" s="196">
        <f t="shared" si="148"/>
        <v>41087.522109523285</v>
      </c>
      <c r="AR46" s="197">
        <f t="shared" si="104"/>
        <v>3647.0717928216054</v>
      </c>
      <c r="AS46" s="197">
        <f t="shared" si="105"/>
        <v>27239.695949185385</v>
      </c>
      <c r="AT46" s="197">
        <f t="shared" si="106"/>
        <v>13847.8261603379</v>
      </c>
      <c r="AU46" s="199">
        <f t="shared" si="107"/>
        <v>17494.897953159503</v>
      </c>
      <c r="AX46" s="895">
        <v>9</v>
      </c>
      <c r="AY46" s="197">
        <f t="shared" si="108"/>
        <v>16.3</v>
      </c>
      <c r="AZ46" s="197">
        <f>'Energy Inputs'!$G$58*$AZ$34</f>
        <v>134.75</v>
      </c>
      <c r="BA46" s="197">
        <f t="shared" si="149"/>
        <v>2196.4250000000002</v>
      </c>
      <c r="BB46" s="197">
        <f>'Margins summary'!$W$14</f>
        <v>471.64</v>
      </c>
      <c r="BC46" s="197">
        <f t="shared" si="109"/>
        <v>2668.0650000000001</v>
      </c>
      <c r="BD46" s="197"/>
      <c r="BE46" s="913">
        <f>'Energy NPV'!U99</f>
        <v>2207.6999999999998</v>
      </c>
      <c r="BF46" s="197"/>
      <c r="BG46" s="197">
        <f t="shared" si="110"/>
        <v>2207.6999999999998</v>
      </c>
      <c r="BH46" s="197">
        <f t="shared" si="82"/>
        <v>-11.274999999999636</v>
      </c>
      <c r="BI46" s="197">
        <f t="shared" si="83"/>
        <v>460.36500000000024</v>
      </c>
      <c r="BJ46" s="196">
        <f t="shared" si="111"/>
        <v>1604.9062335214824</v>
      </c>
      <c r="BK46" s="197">
        <f t="shared" si="112"/>
        <v>344.6227282871356</v>
      </c>
      <c r="BL46" s="197">
        <f t="shared" si="113"/>
        <v>1613.1447655828795</v>
      </c>
      <c r="BM46" s="197">
        <f t="shared" si="114"/>
        <v>-8.2385320613971018</v>
      </c>
      <c r="BN46" s="199">
        <f t="shared" si="115"/>
        <v>336.38419622573844</v>
      </c>
      <c r="BO46" s="196">
        <f t="shared" si="150"/>
        <v>13695.840703174428</v>
      </c>
      <c r="BP46" s="197">
        <f t="shared" si="116"/>
        <v>3647.0717928216054</v>
      </c>
      <c r="BQ46" s="197">
        <f t="shared" si="117"/>
        <v>27239.695949185385</v>
      </c>
      <c r="BR46" s="197">
        <f t="shared" si="118"/>
        <v>-13543.855246010959</v>
      </c>
      <c r="BS46" s="199">
        <f t="shared" si="119"/>
        <v>-9896.7834531893532</v>
      </c>
      <c r="BV46" s="895">
        <v>9</v>
      </c>
      <c r="BW46" s="197">
        <f t="shared" si="120"/>
        <v>16.3</v>
      </c>
      <c r="BX46" s="197">
        <f>'Energy Inputs'!$G$58*$BX$34</f>
        <v>539</v>
      </c>
      <c r="BY46" s="197">
        <f t="shared" si="151"/>
        <v>8785.7000000000007</v>
      </c>
      <c r="BZ46" s="197">
        <f>'Margins summary'!$W$14</f>
        <v>471.64</v>
      </c>
      <c r="CA46" s="197">
        <f t="shared" si="121"/>
        <v>9257.34</v>
      </c>
      <c r="CB46" s="197"/>
      <c r="CC46" s="913">
        <f>'Energy NPV'!U99</f>
        <v>2207.6999999999998</v>
      </c>
      <c r="CD46" s="197"/>
      <c r="CE46" s="197">
        <f t="shared" si="122"/>
        <v>2207.6999999999998</v>
      </c>
      <c r="CF46" s="197">
        <f t="shared" si="84"/>
        <v>6578.0000000000009</v>
      </c>
      <c r="CG46" s="197">
        <f t="shared" si="85"/>
        <v>7049.64</v>
      </c>
      <c r="CH46" s="196">
        <f t="shared" si="123"/>
        <v>6419.6249340859295</v>
      </c>
      <c r="CI46" s="197">
        <f t="shared" si="124"/>
        <v>344.6227282871356</v>
      </c>
      <c r="CJ46" s="197">
        <f t="shared" si="125"/>
        <v>1613.1447655828795</v>
      </c>
      <c r="CK46" s="197">
        <f t="shared" si="126"/>
        <v>4806.4801685030498</v>
      </c>
      <c r="CL46" s="199">
        <f t="shared" si="127"/>
        <v>5151.1028967901848</v>
      </c>
      <c r="CM46" s="196">
        <f t="shared" si="152"/>
        <v>54783.362812697713</v>
      </c>
      <c r="CN46" s="197">
        <f t="shared" si="128"/>
        <v>3647.0717928216054</v>
      </c>
      <c r="CO46" s="197">
        <f t="shared" si="129"/>
        <v>27239.695949185385</v>
      </c>
      <c r="CP46" s="197">
        <f t="shared" si="130"/>
        <v>27543.666863512324</v>
      </c>
      <c r="CQ46" s="199">
        <f t="shared" si="131"/>
        <v>31190.738656333928</v>
      </c>
      <c r="CT46" s="204">
        <f t="shared" si="153"/>
        <v>9</v>
      </c>
      <c r="CU46" s="197">
        <f t="shared" si="132"/>
        <v>16.3</v>
      </c>
      <c r="CV46" s="197">
        <f>'Energy Inputs'!$G$58*$CV$34</f>
        <v>0</v>
      </c>
      <c r="CW46" s="197">
        <f t="shared" si="154"/>
        <v>0</v>
      </c>
      <c r="CX46" s="197">
        <f>'Margins summary'!$W$14</f>
        <v>471.64</v>
      </c>
      <c r="CY46" s="197">
        <f t="shared" si="133"/>
        <v>471.64</v>
      </c>
      <c r="CZ46" s="197"/>
      <c r="DA46" s="913">
        <f>'Energy NPV'!U99</f>
        <v>2207.6999999999998</v>
      </c>
      <c r="DB46" s="197"/>
      <c r="DC46" s="197">
        <f t="shared" si="134"/>
        <v>2207.6999999999998</v>
      </c>
      <c r="DD46" s="197">
        <f t="shared" si="86"/>
        <v>-2207.6999999999998</v>
      </c>
      <c r="DE46" s="197">
        <f t="shared" si="87"/>
        <v>-1736.06</v>
      </c>
      <c r="DF46" s="196">
        <f t="shared" si="135"/>
        <v>0</v>
      </c>
      <c r="DG46" s="197">
        <f t="shared" si="136"/>
        <v>344.6227282871356</v>
      </c>
      <c r="DH46" s="197">
        <f t="shared" si="137"/>
        <v>1613.1447655828795</v>
      </c>
      <c r="DI46" s="197">
        <f t="shared" si="138"/>
        <v>-1613.1447655828795</v>
      </c>
      <c r="DJ46" s="199">
        <f t="shared" si="139"/>
        <v>-1268.522037295744</v>
      </c>
      <c r="DK46" s="196">
        <f t="shared" si="155"/>
        <v>0</v>
      </c>
      <c r="DL46" s="197">
        <f t="shared" si="140"/>
        <v>3647.0717928216054</v>
      </c>
      <c r="DM46" s="197">
        <f t="shared" si="141"/>
        <v>27239.695949185385</v>
      </c>
      <c r="DN46" s="197">
        <f t="shared" si="142"/>
        <v>-27239.695949185385</v>
      </c>
      <c r="DO46" s="199">
        <f t="shared" si="143"/>
        <v>-23592.624156363785</v>
      </c>
    </row>
    <row r="47" spans="2:119" x14ac:dyDescent="0.3">
      <c r="B47" s="204">
        <f t="shared" si="144"/>
        <v>10</v>
      </c>
      <c r="C47" s="197">
        <f>'Energy NPV'!$D100</f>
        <v>16.3</v>
      </c>
      <c r="D47" s="197">
        <f>'Energy Inputs'!$G$58*$E$34</f>
        <v>269.5</v>
      </c>
      <c r="E47" s="197">
        <f t="shared" si="145"/>
        <v>4392.8500000000004</v>
      </c>
      <c r="F47" s="197">
        <f>'Margins summary'!$W$14</f>
        <v>471.64</v>
      </c>
      <c r="G47" s="197">
        <f t="shared" si="88"/>
        <v>4864.4900000000007</v>
      </c>
      <c r="H47" s="197"/>
      <c r="I47" s="913">
        <f>'Energy NPV'!U100</f>
        <v>2207.6999999999998</v>
      </c>
      <c r="J47" s="197"/>
      <c r="K47" s="197">
        <f t="shared" si="89"/>
        <v>2207.6999999999998</v>
      </c>
      <c r="L47" s="197">
        <f t="shared" si="78"/>
        <v>2185.1500000000005</v>
      </c>
      <c r="M47" s="197">
        <f t="shared" si="79"/>
        <v>2656.7900000000009</v>
      </c>
      <c r="N47" s="196">
        <f t="shared" si="90"/>
        <v>3086.3581413874658</v>
      </c>
      <c r="O47" s="197">
        <f t="shared" si="91"/>
        <v>331.36800796839958</v>
      </c>
      <c r="P47" s="197">
        <f t="shared" si="92"/>
        <v>1551.100736137384</v>
      </c>
      <c r="Q47" s="197">
        <f t="shared" si="93"/>
        <v>1535.2574052500818</v>
      </c>
      <c r="R47" s="199">
        <f t="shared" si="94"/>
        <v>1866.6254132184818</v>
      </c>
      <c r="S47" s="196">
        <f t="shared" si="146"/>
        <v>30478.039547736324</v>
      </c>
      <c r="T47" s="197">
        <f t="shared" si="95"/>
        <v>3978.4398007900049</v>
      </c>
      <c r="U47" s="197">
        <f t="shared" si="95"/>
        <v>28790.79668532277</v>
      </c>
      <c r="V47" s="197">
        <f t="shared" si="95"/>
        <v>1687.2428624135509</v>
      </c>
      <c r="W47" s="199">
        <f t="shared" si="95"/>
        <v>5665.6826632035572</v>
      </c>
      <c r="Z47" s="895">
        <v>10</v>
      </c>
      <c r="AA47" s="197">
        <f t="shared" si="96"/>
        <v>16.3</v>
      </c>
      <c r="AB47" s="197">
        <f>'Energy Inputs'!$G$58*$AB$34</f>
        <v>404.25</v>
      </c>
      <c r="AC47" s="197">
        <f t="shared" si="147"/>
        <v>6589.2750000000005</v>
      </c>
      <c r="AD47" s="197">
        <f>'Margins summary'!$W$14</f>
        <v>471.64</v>
      </c>
      <c r="AE47" s="197">
        <f t="shared" si="97"/>
        <v>7060.9150000000009</v>
      </c>
      <c r="AF47" s="197"/>
      <c r="AG47" s="913">
        <f>'Energy NPV'!U100</f>
        <v>2207.6999999999998</v>
      </c>
      <c r="AH47" s="197"/>
      <c r="AI47" s="197">
        <f t="shared" si="98"/>
        <v>2207.6999999999998</v>
      </c>
      <c r="AJ47" s="197">
        <f t="shared" si="80"/>
        <v>4381.5750000000007</v>
      </c>
      <c r="AK47" s="197">
        <f t="shared" si="81"/>
        <v>4853.2150000000011</v>
      </c>
      <c r="AL47" s="196">
        <f t="shared" si="99"/>
        <v>4629.537212081199</v>
      </c>
      <c r="AM47" s="197">
        <f t="shared" si="100"/>
        <v>331.36800796839958</v>
      </c>
      <c r="AN47" s="197">
        <f t="shared" si="101"/>
        <v>1551.100736137384</v>
      </c>
      <c r="AO47" s="197">
        <f t="shared" si="102"/>
        <v>3078.4364759438149</v>
      </c>
      <c r="AP47" s="199">
        <f t="shared" si="103"/>
        <v>3409.8044839122144</v>
      </c>
      <c r="AQ47" s="196">
        <f t="shared" si="148"/>
        <v>45717.05932160448</v>
      </c>
      <c r="AR47" s="197">
        <f t="shared" si="104"/>
        <v>3978.4398007900049</v>
      </c>
      <c r="AS47" s="197">
        <f t="shared" si="105"/>
        <v>28790.79668532277</v>
      </c>
      <c r="AT47" s="197">
        <f t="shared" si="106"/>
        <v>16926.262636281714</v>
      </c>
      <c r="AU47" s="199">
        <f t="shared" si="107"/>
        <v>20904.702437071719</v>
      </c>
      <c r="AX47" s="895">
        <v>10</v>
      </c>
      <c r="AY47" s="197">
        <f t="shared" si="108"/>
        <v>16.3</v>
      </c>
      <c r="AZ47" s="197">
        <f>'Energy Inputs'!$G$58*$AZ$34</f>
        <v>134.75</v>
      </c>
      <c r="BA47" s="197">
        <f t="shared" si="149"/>
        <v>2196.4250000000002</v>
      </c>
      <c r="BB47" s="197">
        <f>'Margins summary'!$W$14</f>
        <v>471.64</v>
      </c>
      <c r="BC47" s="197">
        <f t="shared" si="109"/>
        <v>2668.0650000000001</v>
      </c>
      <c r="BD47" s="197"/>
      <c r="BE47" s="913">
        <f>'Energy NPV'!U100</f>
        <v>2207.6999999999998</v>
      </c>
      <c r="BF47" s="197"/>
      <c r="BG47" s="197">
        <f t="shared" si="110"/>
        <v>2207.6999999999998</v>
      </c>
      <c r="BH47" s="197">
        <f t="shared" si="82"/>
        <v>-11.274999999999636</v>
      </c>
      <c r="BI47" s="197">
        <f t="shared" si="83"/>
        <v>460.36500000000024</v>
      </c>
      <c r="BJ47" s="196">
        <f t="shared" si="111"/>
        <v>1543.1790706937329</v>
      </c>
      <c r="BK47" s="197">
        <f t="shared" si="112"/>
        <v>331.36800796839958</v>
      </c>
      <c r="BL47" s="197">
        <f t="shared" si="113"/>
        <v>1551.100736137384</v>
      </c>
      <c r="BM47" s="197">
        <f t="shared" si="114"/>
        <v>-7.9216654436510581</v>
      </c>
      <c r="BN47" s="199">
        <f t="shared" si="115"/>
        <v>323.44634252474845</v>
      </c>
      <c r="BO47" s="196">
        <f t="shared" si="150"/>
        <v>15239.019773868162</v>
      </c>
      <c r="BP47" s="197">
        <f t="shared" si="116"/>
        <v>3978.4398007900049</v>
      </c>
      <c r="BQ47" s="197">
        <f t="shared" si="117"/>
        <v>28790.79668532277</v>
      </c>
      <c r="BR47" s="197">
        <f t="shared" si="118"/>
        <v>-13551.77691145461</v>
      </c>
      <c r="BS47" s="199">
        <f t="shared" si="119"/>
        <v>-9573.3371106646046</v>
      </c>
      <c r="BV47" s="895">
        <v>10</v>
      </c>
      <c r="BW47" s="197">
        <f t="shared" si="120"/>
        <v>16.3</v>
      </c>
      <c r="BX47" s="197">
        <f>'Energy Inputs'!$G$58*$BX$34</f>
        <v>539</v>
      </c>
      <c r="BY47" s="197">
        <f t="shared" si="151"/>
        <v>8785.7000000000007</v>
      </c>
      <c r="BZ47" s="197">
        <f>'Margins summary'!$W$14</f>
        <v>471.64</v>
      </c>
      <c r="CA47" s="197">
        <f t="shared" si="121"/>
        <v>9257.34</v>
      </c>
      <c r="CB47" s="197"/>
      <c r="CC47" s="913">
        <f>'Energy NPV'!U100</f>
        <v>2207.6999999999998</v>
      </c>
      <c r="CD47" s="197"/>
      <c r="CE47" s="197">
        <f t="shared" si="122"/>
        <v>2207.6999999999998</v>
      </c>
      <c r="CF47" s="197">
        <f t="shared" si="84"/>
        <v>6578.0000000000009</v>
      </c>
      <c r="CG47" s="197">
        <f t="shared" si="85"/>
        <v>7049.64</v>
      </c>
      <c r="CH47" s="196">
        <f t="shared" si="123"/>
        <v>6172.7162827749316</v>
      </c>
      <c r="CI47" s="197">
        <f t="shared" si="124"/>
        <v>331.36800796839958</v>
      </c>
      <c r="CJ47" s="197">
        <f t="shared" si="125"/>
        <v>1551.100736137384</v>
      </c>
      <c r="CK47" s="197">
        <f t="shared" si="126"/>
        <v>4621.6155466375476</v>
      </c>
      <c r="CL47" s="199">
        <f t="shared" si="127"/>
        <v>4952.9835546059467</v>
      </c>
      <c r="CM47" s="196">
        <f t="shared" si="152"/>
        <v>60956.079095472647</v>
      </c>
      <c r="CN47" s="197">
        <f t="shared" si="128"/>
        <v>3978.4398007900049</v>
      </c>
      <c r="CO47" s="197">
        <f t="shared" si="129"/>
        <v>28790.79668532277</v>
      </c>
      <c r="CP47" s="197">
        <f t="shared" si="130"/>
        <v>32165.28241014987</v>
      </c>
      <c r="CQ47" s="199">
        <f t="shared" si="131"/>
        <v>36143.722210939872</v>
      </c>
      <c r="CT47" s="204">
        <f t="shared" si="153"/>
        <v>10</v>
      </c>
      <c r="CU47" s="197">
        <f t="shared" si="132"/>
        <v>16.3</v>
      </c>
      <c r="CV47" s="197">
        <f>'Energy Inputs'!$G$58*$CV$34</f>
        <v>0</v>
      </c>
      <c r="CW47" s="197">
        <f t="shared" si="154"/>
        <v>0</v>
      </c>
      <c r="CX47" s="197">
        <f>'Margins summary'!$W$14</f>
        <v>471.64</v>
      </c>
      <c r="CY47" s="197">
        <f t="shared" si="133"/>
        <v>471.64</v>
      </c>
      <c r="CZ47" s="197"/>
      <c r="DA47" s="913">
        <f>'Energy NPV'!U100</f>
        <v>2207.6999999999998</v>
      </c>
      <c r="DB47" s="197"/>
      <c r="DC47" s="197">
        <f t="shared" si="134"/>
        <v>2207.6999999999998</v>
      </c>
      <c r="DD47" s="197">
        <f t="shared" si="86"/>
        <v>-2207.6999999999998</v>
      </c>
      <c r="DE47" s="197">
        <f t="shared" si="87"/>
        <v>-1736.06</v>
      </c>
      <c r="DF47" s="196">
        <f t="shared" si="135"/>
        <v>0</v>
      </c>
      <c r="DG47" s="197">
        <f t="shared" si="136"/>
        <v>331.36800796839958</v>
      </c>
      <c r="DH47" s="197">
        <f t="shared" si="137"/>
        <v>1551.100736137384</v>
      </c>
      <c r="DI47" s="197">
        <f t="shared" si="138"/>
        <v>-1551.100736137384</v>
      </c>
      <c r="DJ47" s="199">
        <f t="shared" si="139"/>
        <v>-1219.7327281689845</v>
      </c>
      <c r="DK47" s="196">
        <f t="shared" si="155"/>
        <v>0</v>
      </c>
      <c r="DL47" s="197">
        <f t="shared" si="140"/>
        <v>3978.4398007900049</v>
      </c>
      <c r="DM47" s="197">
        <f t="shared" si="141"/>
        <v>28790.79668532277</v>
      </c>
      <c r="DN47" s="197">
        <f t="shared" si="142"/>
        <v>-28790.79668532277</v>
      </c>
      <c r="DO47" s="199">
        <f t="shared" si="143"/>
        <v>-24812.356884532768</v>
      </c>
    </row>
    <row r="48" spans="2:119" x14ac:dyDescent="0.3">
      <c r="B48" s="204">
        <f t="shared" si="144"/>
        <v>11</v>
      </c>
      <c r="C48" s="197">
        <f>'Energy NPV'!$D101</f>
        <v>16.3</v>
      </c>
      <c r="D48" s="197">
        <f>'Energy Inputs'!$G$58*$E$34</f>
        <v>269.5</v>
      </c>
      <c r="E48" s="197">
        <f t="shared" si="145"/>
        <v>4392.8500000000004</v>
      </c>
      <c r="F48" s="197">
        <f>'Margins summary'!$W$14</f>
        <v>471.64</v>
      </c>
      <c r="G48" s="197">
        <f t="shared" si="88"/>
        <v>4864.4900000000007</v>
      </c>
      <c r="H48" s="197"/>
      <c r="I48" s="913">
        <f>'Energy NPV'!U101</f>
        <v>2207.6999999999998</v>
      </c>
      <c r="J48" s="197"/>
      <c r="K48" s="197">
        <f t="shared" si="89"/>
        <v>2207.6999999999998</v>
      </c>
      <c r="L48" s="197">
        <f t="shared" si="78"/>
        <v>2185.1500000000005</v>
      </c>
      <c r="M48" s="197">
        <f t="shared" si="79"/>
        <v>2656.7900000000009</v>
      </c>
      <c r="N48" s="196">
        <f t="shared" si="90"/>
        <v>2967.6520590264095</v>
      </c>
      <c r="O48" s="197">
        <f t="shared" si="91"/>
        <v>318.62308458499962</v>
      </c>
      <c r="P48" s="197">
        <f t="shared" si="92"/>
        <v>1491.4430155167154</v>
      </c>
      <c r="Q48" s="197">
        <f t="shared" si="93"/>
        <v>1476.2090435096941</v>
      </c>
      <c r="R48" s="199">
        <f t="shared" si="94"/>
        <v>1794.8321280946939</v>
      </c>
      <c r="S48" s="196">
        <f t="shared" si="146"/>
        <v>33445.691606762732</v>
      </c>
      <c r="T48" s="197">
        <f t="shared" si="95"/>
        <v>4297.062885375005</v>
      </c>
      <c r="U48" s="197">
        <f t="shared" si="95"/>
        <v>30282.239700839484</v>
      </c>
      <c r="V48" s="197">
        <f t="shared" si="95"/>
        <v>3163.4519059232452</v>
      </c>
      <c r="W48" s="199">
        <f t="shared" si="95"/>
        <v>7460.5147912982511</v>
      </c>
      <c r="Z48" s="895">
        <v>11</v>
      </c>
      <c r="AA48" s="197">
        <f t="shared" si="96"/>
        <v>16.3</v>
      </c>
      <c r="AB48" s="197">
        <f>'Energy Inputs'!$G$58*$AB$34</f>
        <v>404.25</v>
      </c>
      <c r="AC48" s="197">
        <f t="shared" si="147"/>
        <v>6589.2750000000005</v>
      </c>
      <c r="AD48" s="197">
        <f>'Margins summary'!$W$14</f>
        <v>471.64</v>
      </c>
      <c r="AE48" s="197">
        <f t="shared" si="97"/>
        <v>7060.9150000000009</v>
      </c>
      <c r="AF48" s="197"/>
      <c r="AG48" s="913">
        <f>'Energy NPV'!U101</f>
        <v>2207.6999999999998</v>
      </c>
      <c r="AH48" s="197"/>
      <c r="AI48" s="197">
        <f t="shared" si="98"/>
        <v>2207.6999999999998</v>
      </c>
      <c r="AJ48" s="197">
        <f t="shared" si="80"/>
        <v>4381.5750000000007</v>
      </c>
      <c r="AK48" s="197">
        <f t="shared" si="81"/>
        <v>4853.2150000000011</v>
      </c>
      <c r="AL48" s="196">
        <f t="shared" si="99"/>
        <v>4451.478088539614</v>
      </c>
      <c r="AM48" s="197">
        <f t="shared" si="100"/>
        <v>318.62308458499962</v>
      </c>
      <c r="AN48" s="197">
        <f t="shared" si="101"/>
        <v>1491.4430155167154</v>
      </c>
      <c r="AO48" s="197">
        <f t="shared" si="102"/>
        <v>2960.0350730228988</v>
      </c>
      <c r="AP48" s="199">
        <f t="shared" si="103"/>
        <v>3278.6581576078988</v>
      </c>
      <c r="AQ48" s="196">
        <f t="shared" si="148"/>
        <v>50168.537410144098</v>
      </c>
      <c r="AR48" s="197">
        <f t="shared" si="104"/>
        <v>4297.062885375005</v>
      </c>
      <c r="AS48" s="197">
        <f t="shared" si="105"/>
        <v>30282.239700839484</v>
      </c>
      <c r="AT48" s="197">
        <f t="shared" si="106"/>
        <v>19886.297709304614</v>
      </c>
      <c r="AU48" s="199">
        <f t="shared" si="107"/>
        <v>24183.360594679616</v>
      </c>
      <c r="AX48" s="895">
        <v>11</v>
      </c>
      <c r="AY48" s="197">
        <f t="shared" si="108"/>
        <v>16.3</v>
      </c>
      <c r="AZ48" s="197">
        <f>'Energy Inputs'!$G$58*$AZ$34</f>
        <v>134.75</v>
      </c>
      <c r="BA48" s="197">
        <f t="shared" si="149"/>
        <v>2196.4250000000002</v>
      </c>
      <c r="BB48" s="197">
        <f>'Margins summary'!$W$14</f>
        <v>471.64</v>
      </c>
      <c r="BC48" s="197">
        <f t="shared" si="109"/>
        <v>2668.0650000000001</v>
      </c>
      <c r="BD48" s="197"/>
      <c r="BE48" s="913">
        <f>'Energy NPV'!U101</f>
        <v>2207.6999999999998</v>
      </c>
      <c r="BF48" s="197"/>
      <c r="BG48" s="197">
        <f t="shared" si="110"/>
        <v>2207.6999999999998</v>
      </c>
      <c r="BH48" s="197">
        <f t="shared" si="82"/>
        <v>-11.274999999999636</v>
      </c>
      <c r="BI48" s="197">
        <f t="shared" si="83"/>
        <v>460.36500000000024</v>
      </c>
      <c r="BJ48" s="196">
        <f t="shared" si="111"/>
        <v>1483.8260295132047</v>
      </c>
      <c r="BK48" s="197">
        <f t="shared" si="112"/>
        <v>318.62308458499962</v>
      </c>
      <c r="BL48" s="197">
        <f t="shared" si="113"/>
        <v>1491.4430155167154</v>
      </c>
      <c r="BM48" s="197">
        <f t="shared" si="114"/>
        <v>-7.6169860035106325</v>
      </c>
      <c r="BN48" s="199">
        <f t="shared" si="115"/>
        <v>311.00609858148891</v>
      </c>
      <c r="BO48" s="196">
        <f t="shared" si="150"/>
        <v>16722.845803381366</v>
      </c>
      <c r="BP48" s="197">
        <f t="shared" si="116"/>
        <v>4297.062885375005</v>
      </c>
      <c r="BQ48" s="197">
        <f t="shared" si="117"/>
        <v>30282.239700839484</v>
      </c>
      <c r="BR48" s="197">
        <f t="shared" si="118"/>
        <v>-13559.39389745812</v>
      </c>
      <c r="BS48" s="199">
        <f t="shared" si="119"/>
        <v>-9262.3310120831156</v>
      </c>
      <c r="BV48" s="895">
        <v>11</v>
      </c>
      <c r="BW48" s="197">
        <f t="shared" si="120"/>
        <v>16.3</v>
      </c>
      <c r="BX48" s="197">
        <f>'Energy Inputs'!$G$58*$BX$34</f>
        <v>539</v>
      </c>
      <c r="BY48" s="197">
        <f t="shared" si="151"/>
        <v>8785.7000000000007</v>
      </c>
      <c r="BZ48" s="197">
        <f>'Margins summary'!$W$14</f>
        <v>471.64</v>
      </c>
      <c r="CA48" s="197">
        <f t="shared" si="121"/>
        <v>9257.34</v>
      </c>
      <c r="CB48" s="197"/>
      <c r="CC48" s="913">
        <f>'Energy NPV'!U101</f>
        <v>2207.6999999999998</v>
      </c>
      <c r="CD48" s="197"/>
      <c r="CE48" s="197">
        <f t="shared" si="122"/>
        <v>2207.6999999999998</v>
      </c>
      <c r="CF48" s="197">
        <f t="shared" si="84"/>
        <v>6578.0000000000009</v>
      </c>
      <c r="CG48" s="197">
        <f t="shared" si="85"/>
        <v>7049.64</v>
      </c>
      <c r="CH48" s="196">
        <f t="shared" si="123"/>
        <v>5935.3041180528189</v>
      </c>
      <c r="CI48" s="197">
        <f t="shared" si="124"/>
        <v>318.62308458499962</v>
      </c>
      <c r="CJ48" s="197">
        <f t="shared" si="125"/>
        <v>1491.4430155167154</v>
      </c>
      <c r="CK48" s="197">
        <f t="shared" si="126"/>
        <v>4443.8611025361033</v>
      </c>
      <c r="CL48" s="199">
        <f t="shared" si="127"/>
        <v>4762.4841871211029</v>
      </c>
      <c r="CM48" s="196">
        <f t="shared" si="152"/>
        <v>66891.383213525463</v>
      </c>
      <c r="CN48" s="197">
        <f t="shared" si="128"/>
        <v>4297.062885375005</v>
      </c>
      <c r="CO48" s="197">
        <f t="shared" si="129"/>
        <v>30282.239700839484</v>
      </c>
      <c r="CP48" s="197">
        <f t="shared" si="130"/>
        <v>36609.143512685972</v>
      </c>
      <c r="CQ48" s="199">
        <f t="shared" si="131"/>
        <v>40906.206398060975</v>
      </c>
      <c r="CT48" s="204">
        <f t="shared" si="153"/>
        <v>11</v>
      </c>
      <c r="CU48" s="197">
        <f t="shared" si="132"/>
        <v>16.3</v>
      </c>
      <c r="CV48" s="197">
        <f>'Energy Inputs'!$G$58*$CV$34</f>
        <v>0</v>
      </c>
      <c r="CW48" s="197">
        <f t="shared" si="154"/>
        <v>0</v>
      </c>
      <c r="CX48" s="197">
        <f>'Margins summary'!$W$14</f>
        <v>471.64</v>
      </c>
      <c r="CY48" s="197">
        <f t="shared" si="133"/>
        <v>471.64</v>
      </c>
      <c r="CZ48" s="197"/>
      <c r="DA48" s="913">
        <f>'Energy NPV'!U101</f>
        <v>2207.6999999999998</v>
      </c>
      <c r="DB48" s="197"/>
      <c r="DC48" s="197">
        <f t="shared" si="134"/>
        <v>2207.6999999999998</v>
      </c>
      <c r="DD48" s="197">
        <f t="shared" si="86"/>
        <v>-2207.6999999999998</v>
      </c>
      <c r="DE48" s="197">
        <f t="shared" si="87"/>
        <v>-1736.06</v>
      </c>
      <c r="DF48" s="196">
        <f t="shared" si="135"/>
        <v>0</v>
      </c>
      <c r="DG48" s="197">
        <f t="shared" si="136"/>
        <v>318.62308458499962</v>
      </c>
      <c r="DH48" s="197">
        <f t="shared" si="137"/>
        <v>1491.4430155167154</v>
      </c>
      <c r="DI48" s="197">
        <f t="shared" si="138"/>
        <v>-1491.4430155167154</v>
      </c>
      <c r="DJ48" s="199">
        <f t="shared" si="139"/>
        <v>-1172.8199309317158</v>
      </c>
      <c r="DK48" s="196">
        <f t="shared" si="155"/>
        <v>0</v>
      </c>
      <c r="DL48" s="197">
        <f t="shared" si="140"/>
        <v>4297.062885375005</v>
      </c>
      <c r="DM48" s="197">
        <f t="shared" si="141"/>
        <v>30282.239700839484</v>
      </c>
      <c r="DN48" s="197">
        <f t="shared" si="142"/>
        <v>-30282.239700839484</v>
      </c>
      <c r="DO48" s="199">
        <f t="shared" si="143"/>
        <v>-25985.176815464485</v>
      </c>
    </row>
    <row r="49" spans="2:129" x14ac:dyDescent="0.3">
      <c r="B49" s="204">
        <f t="shared" si="144"/>
        <v>12</v>
      </c>
      <c r="C49" s="197">
        <f>'Energy NPV'!$D102</f>
        <v>16.3</v>
      </c>
      <c r="D49" s="197">
        <f>'Energy Inputs'!$G$58*$E$34</f>
        <v>269.5</v>
      </c>
      <c r="E49" s="197">
        <f t="shared" si="145"/>
        <v>4392.8500000000004</v>
      </c>
      <c r="F49" s="197">
        <f>'Margins summary'!$W$14</f>
        <v>471.64</v>
      </c>
      <c r="G49" s="197">
        <f t="shared" si="88"/>
        <v>4864.4900000000007</v>
      </c>
      <c r="H49" s="197"/>
      <c r="I49" s="913">
        <f>'Energy NPV'!U102</f>
        <v>2207.6999999999998</v>
      </c>
      <c r="J49" s="197"/>
      <c r="K49" s="197">
        <f t="shared" si="89"/>
        <v>2207.6999999999998</v>
      </c>
      <c r="L49" s="197">
        <f t="shared" si="78"/>
        <v>2185.1500000000005</v>
      </c>
      <c r="M49" s="197">
        <f t="shared" si="79"/>
        <v>2656.7900000000009</v>
      </c>
      <c r="N49" s="196">
        <f t="shared" si="90"/>
        <v>2853.5115952177016</v>
      </c>
      <c r="O49" s="197">
        <f t="shared" si="91"/>
        <v>306.36835056249964</v>
      </c>
      <c r="P49" s="197">
        <f t="shared" si="92"/>
        <v>1434.0798226122265</v>
      </c>
      <c r="Q49" s="197">
        <f t="shared" si="93"/>
        <v>1419.4317726054751</v>
      </c>
      <c r="R49" s="199">
        <f t="shared" si="94"/>
        <v>1725.800123167975</v>
      </c>
      <c r="S49" s="196">
        <f t="shared" si="146"/>
        <v>36299.203201980432</v>
      </c>
      <c r="T49" s="197">
        <f t="shared" si="95"/>
        <v>4603.4312359375044</v>
      </c>
      <c r="U49" s="197">
        <f t="shared" si="95"/>
        <v>31716.319523451712</v>
      </c>
      <c r="V49" s="197">
        <f t="shared" si="95"/>
        <v>4582.8836785287203</v>
      </c>
      <c r="W49" s="199">
        <f t="shared" si="95"/>
        <v>9186.3149144662257</v>
      </c>
      <c r="Z49" s="895">
        <v>12</v>
      </c>
      <c r="AA49" s="197">
        <f t="shared" si="96"/>
        <v>16.3</v>
      </c>
      <c r="AB49" s="197">
        <f>'Energy Inputs'!$G$58*$AB$34</f>
        <v>404.25</v>
      </c>
      <c r="AC49" s="197">
        <f t="shared" si="147"/>
        <v>6589.2750000000005</v>
      </c>
      <c r="AD49" s="197">
        <f>'Margins summary'!$W$14</f>
        <v>471.64</v>
      </c>
      <c r="AE49" s="197">
        <f t="shared" si="97"/>
        <v>7060.9150000000009</v>
      </c>
      <c r="AF49" s="197"/>
      <c r="AG49" s="913">
        <f>'Energy NPV'!U102</f>
        <v>2207.6999999999998</v>
      </c>
      <c r="AH49" s="197"/>
      <c r="AI49" s="197">
        <f t="shared" si="98"/>
        <v>2207.6999999999998</v>
      </c>
      <c r="AJ49" s="197">
        <f t="shared" si="80"/>
        <v>4381.5750000000007</v>
      </c>
      <c r="AK49" s="197">
        <f t="shared" si="81"/>
        <v>4853.2150000000011</v>
      </c>
      <c r="AL49" s="196">
        <f t="shared" si="99"/>
        <v>4280.2673928265522</v>
      </c>
      <c r="AM49" s="197">
        <f t="shared" si="100"/>
        <v>306.36835056249964</v>
      </c>
      <c r="AN49" s="197">
        <f t="shared" si="101"/>
        <v>1434.0798226122265</v>
      </c>
      <c r="AO49" s="197">
        <f t="shared" si="102"/>
        <v>2846.1875702143261</v>
      </c>
      <c r="AP49" s="199">
        <f t="shared" si="103"/>
        <v>3152.555920776826</v>
      </c>
      <c r="AQ49" s="196">
        <f t="shared" si="148"/>
        <v>54448.804802970648</v>
      </c>
      <c r="AR49" s="197">
        <f t="shared" si="104"/>
        <v>4603.4312359375044</v>
      </c>
      <c r="AS49" s="197">
        <f t="shared" si="105"/>
        <v>31716.319523451712</v>
      </c>
      <c r="AT49" s="197">
        <f t="shared" si="106"/>
        <v>22732.48527951894</v>
      </c>
      <c r="AU49" s="199">
        <f t="shared" si="107"/>
        <v>27335.916515456443</v>
      </c>
      <c r="AX49" s="895">
        <v>12</v>
      </c>
      <c r="AY49" s="197">
        <f t="shared" si="108"/>
        <v>16.3</v>
      </c>
      <c r="AZ49" s="197">
        <f>'Energy Inputs'!$G$58*$AZ$34</f>
        <v>134.75</v>
      </c>
      <c r="BA49" s="197">
        <f t="shared" si="149"/>
        <v>2196.4250000000002</v>
      </c>
      <c r="BB49" s="197">
        <f>'Margins summary'!$W$14</f>
        <v>471.64</v>
      </c>
      <c r="BC49" s="197">
        <f t="shared" si="109"/>
        <v>2668.0650000000001</v>
      </c>
      <c r="BD49" s="197"/>
      <c r="BE49" s="913">
        <f>'Energy NPV'!U102</f>
        <v>2207.6999999999998</v>
      </c>
      <c r="BF49" s="197"/>
      <c r="BG49" s="197">
        <f t="shared" si="110"/>
        <v>2207.6999999999998</v>
      </c>
      <c r="BH49" s="197">
        <f t="shared" si="82"/>
        <v>-11.274999999999636</v>
      </c>
      <c r="BI49" s="197">
        <f t="shared" si="83"/>
        <v>460.36500000000024</v>
      </c>
      <c r="BJ49" s="196">
        <f t="shared" si="111"/>
        <v>1426.7557976088508</v>
      </c>
      <c r="BK49" s="197">
        <f t="shared" si="112"/>
        <v>306.36835056249964</v>
      </c>
      <c r="BL49" s="197">
        <f t="shared" si="113"/>
        <v>1434.0798226122265</v>
      </c>
      <c r="BM49" s="197">
        <f t="shared" si="114"/>
        <v>-7.3240250033756089</v>
      </c>
      <c r="BN49" s="199">
        <f t="shared" si="115"/>
        <v>299.04432555912399</v>
      </c>
      <c r="BO49" s="196">
        <f t="shared" si="150"/>
        <v>18149.601600990216</v>
      </c>
      <c r="BP49" s="197">
        <f t="shared" si="116"/>
        <v>4603.4312359375044</v>
      </c>
      <c r="BQ49" s="197">
        <f t="shared" si="117"/>
        <v>31716.319523451712</v>
      </c>
      <c r="BR49" s="197">
        <f t="shared" si="118"/>
        <v>-13566.717922461496</v>
      </c>
      <c r="BS49" s="199">
        <f t="shared" si="119"/>
        <v>-8963.2866865239921</v>
      </c>
      <c r="BV49" s="895">
        <v>12</v>
      </c>
      <c r="BW49" s="197">
        <f t="shared" si="120"/>
        <v>16.3</v>
      </c>
      <c r="BX49" s="197">
        <f>'Energy Inputs'!$G$58*$BX$34</f>
        <v>539</v>
      </c>
      <c r="BY49" s="197">
        <f t="shared" si="151"/>
        <v>8785.7000000000007</v>
      </c>
      <c r="BZ49" s="197">
        <f>'Margins summary'!$W$14</f>
        <v>471.64</v>
      </c>
      <c r="CA49" s="197">
        <f t="shared" si="121"/>
        <v>9257.34</v>
      </c>
      <c r="CB49" s="197"/>
      <c r="CC49" s="913">
        <f>'Energy NPV'!U102</f>
        <v>2207.6999999999998</v>
      </c>
      <c r="CD49" s="197"/>
      <c r="CE49" s="197">
        <f t="shared" si="122"/>
        <v>2207.6999999999998</v>
      </c>
      <c r="CF49" s="197">
        <f t="shared" si="84"/>
        <v>6578.0000000000009</v>
      </c>
      <c r="CG49" s="197">
        <f t="shared" si="85"/>
        <v>7049.64</v>
      </c>
      <c r="CH49" s="196">
        <f t="shared" si="123"/>
        <v>5707.0231904354032</v>
      </c>
      <c r="CI49" s="197">
        <f t="shared" si="124"/>
        <v>306.36835056249964</v>
      </c>
      <c r="CJ49" s="197">
        <f t="shared" si="125"/>
        <v>1434.0798226122265</v>
      </c>
      <c r="CK49" s="197">
        <f t="shared" si="126"/>
        <v>4272.9433678231771</v>
      </c>
      <c r="CL49" s="199">
        <f t="shared" si="127"/>
        <v>4579.3117183856757</v>
      </c>
      <c r="CM49" s="196">
        <f t="shared" si="152"/>
        <v>72598.406403960864</v>
      </c>
      <c r="CN49" s="197">
        <f t="shared" si="128"/>
        <v>4603.4312359375044</v>
      </c>
      <c r="CO49" s="197">
        <f t="shared" si="129"/>
        <v>31716.319523451712</v>
      </c>
      <c r="CP49" s="197">
        <f t="shared" si="130"/>
        <v>40882.086880509152</v>
      </c>
      <c r="CQ49" s="199">
        <f t="shared" si="131"/>
        <v>45485.518116446648</v>
      </c>
      <c r="CT49" s="204">
        <f t="shared" si="153"/>
        <v>12</v>
      </c>
      <c r="CU49" s="197">
        <f t="shared" si="132"/>
        <v>16.3</v>
      </c>
      <c r="CV49" s="197">
        <f>'Energy Inputs'!$G$58*$CV$34</f>
        <v>0</v>
      </c>
      <c r="CW49" s="197">
        <f t="shared" si="154"/>
        <v>0</v>
      </c>
      <c r="CX49" s="197">
        <f>'Margins summary'!$W$14</f>
        <v>471.64</v>
      </c>
      <c r="CY49" s="197">
        <f t="shared" si="133"/>
        <v>471.64</v>
      </c>
      <c r="CZ49" s="197"/>
      <c r="DA49" s="913">
        <f>'Energy NPV'!U102</f>
        <v>2207.6999999999998</v>
      </c>
      <c r="DB49" s="197"/>
      <c r="DC49" s="197">
        <f t="shared" si="134"/>
        <v>2207.6999999999998</v>
      </c>
      <c r="DD49" s="197">
        <f t="shared" si="86"/>
        <v>-2207.6999999999998</v>
      </c>
      <c r="DE49" s="197">
        <f t="shared" si="87"/>
        <v>-1736.06</v>
      </c>
      <c r="DF49" s="196">
        <f t="shared" si="135"/>
        <v>0</v>
      </c>
      <c r="DG49" s="197">
        <f t="shared" si="136"/>
        <v>306.36835056249964</v>
      </c>
      <c r="DH49" s="197">
        <f t="shared" si="137"/>
        <v>1434.0798226122265</v>
      </c>
      <c r="DI49" s="197">
        <f t="shared" si="138"/>
        <v>-1434.0798226122265</v>
      </c>
      <c r="DJ49" s="199">
        <f t="shared" si="139"/>
        <v>-1127.7114720497268</v>
      </c>
      <c r="DK49" s="196">
        <f t="shared" si="155"/>
        <v>0</v>
      </c>
      <c r="DL49" s="197">
        <f t="shared" si="140"/>
        <v>4603.4312359375044</v>
      </c>
      <c r="DM49" s="197">
        <f t="shared" si="141"/>
        <v>31716.319523451712</v>
      </c>
      <c r="DN49" s="197">
        <f t="shared" si="142"/>
        <v>-31716.319523451712</v>
      </c>
      <c r="DO49" s="199">
        <f t="shared" si="143"/>
        <v>-27112.888287514212</v>
      </c>
    </row>
    <row r="50" spans="2:129" x14ac:dyDescent="0.3">
      <c r="B50" s="204">
        <f t="shared" si="144"/>
        <v>13</v>
      </c>
      <c r="C50" s="197">
        <f>'Energy NPV'!$D103</f>
        <v>16.3</v>
      </c>
      <c r="D50" s="197">
        <f>'Energy Inputs'!$G$58*$E$34</f>
        <v>269.5</v>
      </c>
      <c r="E50" s="197">
        <f t="shared" si="145"/>
        <v>4392.8500000000004</v>
      </c>
      <c r="F50" s="197">
        <f>'Margins summary'!$W$14</f>
        <v>471.64</v>
      </c>
      <c r="G50" s="197">
        <f t="shared" si="88"/>
        <v>4864.4900000000007</v>
      </c>
      <c r="H50" s="197"/>
      <c r="I50" s="913">
        <f>'Energy NPV'!U103</f>
        <v>2207.6999999999998</v>
      </c>
      <c r="J50" s="197"/>
      <c r="K50" s="197">
        <f t="shared" si="89"/>
        <v>2207.6999999999998</v>
      </c>
      <c r="L50" s="197">
        <f t="shared" si="78"/>
        <v>2185.1500000000005</v>
      </c>
      <c r="M50" s="197">
        <f t="shared" si="79"/>
        <v>2656.7900000000009</v>
      </c>
      <c r="N50" s="196">
        <f t="shared" si="90"/>
        <v>2743.7611492477895</v>
      </c>
      <c r="O50" s="197">
        <f t="shared" si="91"/>
        <v>294.58495246394193</v>
      </c>
      <c r="P50" s="197">
        <f t="shared" si="92"/>
        <v>1378.9229063579096</v>
      </c>
      <c r="Q50" s="197">
        <f t="shared" si="93"/>
        <v>1364.8382428898797</v>
      </c>
      <c r="R50" s="199">
        <f t="shared" si="94"/>
        <v>1659.4231953538217</v>
      </c>
      <c r="S50" s="196">
        <f t="shared" si="146"/>
        <v>39042.96435122822</v>
      </c>
      <c r="T50" s="197">
        <f t="shared" si="95"/>
        <v>4898.016188401446</v>
      </c>
      <c r="U50" s="197">
        <f t="shared" si="95"/>
        <v>33095.242429809623</v>
      </c>
      <c r="V50" s="197">
        <f t="shared" si="95"/>
        <v>5947.7219214185998</v>
      </c>
      <c r="W50" s="199">
        <f t="shared" si="95"/>
        <v>10845.738109820048</v>
      </c>
      <c r="Z50" s="895">
        <v>13</v>
      </c>
      <c r="AA50" s="197">
        <f t="shared" si="96"/>
        <v>16.3</v>
      </c>
      <c r="AB50" s="197">
        <f>'Energy Inputs'!$G$58*$AB$34</f>
        <v>404.25</v>
      </c>
      <c r="AC50" s="197">
        <f t="shared" si="147"/>
        <v>6589.2750000000005</v>
      </c>
      <c r="AD50" s="197">
        <f>'Margins summary'!$W$14</f>
        <v>471.64</v>
      </c>
      <c r="AE50" s="197">
        <f t="shared" si="97"/>
        <v>7060.9150000000009</v>
      </c>
      <c r="AF50" s="197"/>
      <c r="AG50" s="913">
        <f>'Energy NPV'!U103</f>
        <v>2207.6999999999998</v>
      </c>
      <c r="AH50" s="197"/>
      <c r="AI50" s="197">
        <f t="shared" si="98"/>
        <v>2207.6999999999998</v>
      </c>
      <c r="AJ50" s="197">
        <f t="shared" si="80"/>
        <v>4381.5750000000007</v>
      </c>
      <c r="AK50" s="197">
        <f t="shared" si="81"/>
        <v>4853.2150000000011</v>
      </c>
      <c r="AL50" s="196">
        <f t="shared" si="99"/>
        <v>4115.641723871684</v>
      </c>
      <c r="AM50" s="197">
        <f t="shared" si="100"/>
        <v>294.58495246394193</v>
      </c>
      <c r="AN50" s="197">
        <f t="shared" si="101"/>
        <v>1378.9229063579096</v>
      </c>
      <c r="AO50" s="197">
        <f t="shared" si="102"/>
        <v>2736.7188175137744</v>
      </c>
      <c r="AP50" s="199">
        <f t="shared" si="103"/>
        <v>3031.3037699777165</v>
      </c>
      <c r="AQ50" s="196">
        <f t="shared" si="148"/>
        <v>58564.44652684233</v>
      </c>
      <c r="AR50" s="197">
        <f t="shared" si="104"/>
        <v>4898.016188401446</v>
      </c>
      <c r="AS50" s="197">
        <f t="shared" si="105"/>
        <v>33095.242429809623</v>
      </c>
      <c r="AT50" s="197">
        <f t="shared" si="106"/>
        <v>25469.204097032714</v>
      </c>
      <c r="AU50" s="199">
        <f t="shared" si="107"/>
        <v>30367.220285434159</v>
      </c>
      <c r="AX50" s="895">
        <v>13</v>
      </c>
      <c r="AY50" s="197">
        <f t="shared" si="108"/>
        <v>16.3</v>
      </c>
      <c r="AZ50" s="197">
        <f>'Energy Inputs'!$G$58*$AZ$34</f>
        <v>134.75</v>
      </c>
      <c r="BA50" s="197">
        <f t="shared" si="149"/>
        <v>2196.4250000000002</v>
      </c>
      <c r="BB50" s="197">
        <f>'Margins summary'!$W$14</f>
        <v>471.64</v>
      </c>
      <c r="BC50" s="197">
        <f t="shared" si="109"/>
        <v>2668.0650000000001</v>
      </c>
      <c r="BD50" s="197"/>
      <c r="BE50" s="913">
        <f>'Energy NPV'!U103</f>
        <v>2207.6999999999998</v>
      </c>
      <c r="BF50" s="197"/>
      <c r="BG50" s="197">
        <f t="shared" si="110"/>
        <v>2207.6999999999998</v>
      </c>
      <c r="BH50" s="197">
        <f t="shared" si="82"/>
        <v>-11.274999999999636</v>
      </c>
      <c r="BI50" s="197">
        <f t="shared" si="83"/>
        <v>460.36500000000024</v>
      </c>
      <c r="BJ50" s="196">
        <f t="shared" si="111"/>
        <v>1371.8805746238947</v>
      </c>
      <c r="BK50" s="197">
        <f t="shared" si="112"/>
        <v>294.58495246394193</v>
      </c>
      <c r="BL50" s="197">
        <f t="shared" si="113"/>
        <v>1378.9229063579096</v>
      </c>
      <c r="BM50" s="197">
        <f t="shared" si="114"/>
        <v>-7.0423317340150069</v>
      </c>
      <c r="BN50" s="199">
        <f t="shared" si="115"/>
        <v>287.54262072992685</v>
      </c>
      <c r="BO50" s="196">
        <f t="shared" si="150"/>
        <v>19521.48217561411</v>
      </c>
      <c r="BP50" s="197">
        <f t="shared" si="116"/>
        <v>4898.016188401446</v>
      </c>
      <c r="BQ50" s="197">
        <f t="shared" si="117"/>
        <v>33095.242429809623</v>
      </c>
      <c r="BR50" s="197">
        <f t="shared" si="118"/>
        <v>-13573.760254195511</v>
      </c>
      <c r="BS50" s="199">
        <f t="shared" si="119"/>
        <v>-8675.744065794066</v>
      </c>
      <c r="BV50" s="895">
        <v>13</v>
      </c>
      <c r="BW50" s="197">
        <f t="shared" si="120"/>
        <v>16.3</v>
      </c>
      <c r="BX50" s="197">
        <f>'Energy Inputs'!$G$58*$BX$34</f>
        <v>539</v>
      </c>
      <c r="BY50" s="197">
        <f t="shared" si="151"/>
        <v>8785.7000000000007</v>
      </c>
      <c r="BZ50" s="197">
        <f>'Margins summary'!$W$14</f>
        <v>471.64</v>
      </c>
      <c r="CA50" s="197">
        <f t="shared" si="121"/>
        <v>9257.34</v>
      </c>
      <c r="CB50" s="197"/>
      <c r="CC50" s="913">
        <f>'Energy NPV'!U103</f>
        <v>2207.6999999999998</v>
      </c>
      <c r="CD50" s="197"/>
      <c r="CE50" s="197">
        <f t="shared" si="122"/>
        <v>2207.6999999999998</v>
      </c>
      <c r="CF50" s="197">
        <f t="shared" si="84"/>
        <v>6578.0000000000009</v>
      </c>
      <c r="CG50" s="197">
        <f t="shared" si="85"/>
        <v>7049.64</v>
      </c>
      <c r="CH50" s="196">
        <f t="shared" si="123"/>
        <v>5487.522298495579</v>
      </c>
      <c r="CI50" s="197">
        <f t="shared" si="124"/>
        <v>294.58495246394193</v>
      </c>
      <c r="CJ50" s="197">
        <f t="shared" si="125"/>
        <v>1378.9229063579096</v>
      </c>
      <c r="CK50" s="197">
        <f t="shared" si="126"/>
        <v>4108.5993921376694</v>
      </c>
      <c r="CL50" s="199">
        <f t="shared" si="127"/>
        <v>4403.184344601611</v>
      </c>
      <c r="CM50" s="196">
        <f t="shared" si="152"/>
        <v>78085.92870245644</v>
      </c>
      <c r="CN50" s="197">
        <f t="shared" si="128"/>
        <v>4898.016188401446</v>
      </c>
      <c r="CO50" s="197">
        <f t="shared" si="129"/>
        <v>33095.242429809623</v>
      </c>
      <c r="CP50" s="197">
        <f t="shared" si="130"/>
        <v>44990.686272646824</v>
      </c>
      <c r="CQ50" s="199">
        <f t="shared" si="131"/>
        <v>49888.702461048262</v>
      </c>
      <c r="CT50" s="204">
        <f t="shared" si="153"/>
        <v>13</v>
      </c>
      <c r="CU50" s="197">
        <f t="shared" si="132"/>
        <v>16.3</v>
      </c>
      <c r="CV50" s="197">
        <f>'Energy Inputs'!$G$58*$CV$34</f>
        <v>0</v>
      </c>
      <c r="CW50" s="197">
        <f t="shared" si="154"/>
        <v>0</v>
      </c>
      <c r="CX50" s="197">
        <f>'Margins summary'!$W$14</f>
        <v>471.64</v>
      </c>
      <c r="CY50" s="197">
        <f t="shared" si="133"/>
        <v>471.64</v>
      </c>
      <c r="CZ50" s="197"/>
      <c r="DA50" s="913">
        <f>'Energy NPV'!U103</f>
        <v>2207.6999999999998</v>
      </c>
      <c r="DB50" s="197"/>
      <c r="DC50" s="197">
        <f t="shared" si="134"/>
        <v>2207.6999999999998</v>
      </c>
      <c r="DD50" s="197">
        <f t="shared" si="86"/>
        <v>-2207.6999999999998</v>
      </c>
      <c r="DE50" s="197">
        <f t="shared" si="87"/>
        <v>-1736.06</v>
      </c>
      <c r="DF50" s="196">
        <f t="shared" si="135"/>
        <v>0</v>
      </c>
      <c r="DG50" s="197">
        <f t="shared" si="136"/>
        <v>294.58495246394193</v>
      </c>
      <c r="DH50" s="197">
        <f t="shared" si="137"/>
        <v>1378.9229063579096</v>
      </c>
      <c r="DI50" s="197">
        <f t="shared" si="138"/>
        <v>-1378.9229063579096</v>
      </c>
      <c r="DJ50" s="199">
        <f t="shared" si="139"/>
        <v>-1084.3379538939678</v>
      </c>
      <c r="DK50" s="196">
        <f t="shared" si="155"/>
        <v>0</v>
      </c>
      <c r="DL50" s="197">
        <f t="shared" si="140"/>
        <v>4898.016188401446</v>
      </c>
      <c r="DM50" s="197">
        <f t="shared" si="141"/>
        <v>33095.242429809623</v>
      </c>
      <c r="DN50" s="197">
        <f t="shared" si="142"/>
        <v>-33095.242429809623</v>
      </c>
      <c r="DO50" s="199">
        <f t="shared" si="143"/>
        <v>-28197.226241408178</v>
      </c>
    </row>
    <row r="51" spans="2:129" x14ac:dyDescent="0.3">
      <c r="B51" s="204">
        <f t="shared" si="144"/>
        <v>14</v>
      </c>
      <c r="C51" s="197">
        <f>'Energy NPV'!$D104</f>
        <v>16.3</v>
      </c>
      <c r="D51" s="197">
        <f>'Energy Inputs'!$G$58*$E$34</f>
        <v>269.5</v>
      </c>
      <c r="E51" s="197">
        <f t="shared" si="145"/>
        <v>4392.8500000000004</v>
      </c>
      <c r="F51" s="197">
        <f>'Margins summary'!$W$14</f>
        <v>471.64</v>
      </c>
      <c r="G51" s="197">
        <f t="shared" si="88"/>
        <v>4864.4900000000007</v>
      </c>
      <c r="H51" s="197"/>
      <c r="I51" s="913">
        <f>'Energy NPV'!U104</f>
        <v>2207.6999999999998</v>
      </c>
      <c r="J51" s="197"/>
      <c r="K51" s="197">
        <f t="shared" si="89"/>
        <v>2207.6999999999998</v>
      </c>
      <c r="L51" s="197">
        <f t="shared" si="78"/>
        <v>2185.1500000000005</v>
      </c>
      <c r="M51" s="197">
        <f t="shared" si="79"/>
        <v>2656.7900000000009</v>
      </c>
      <c r="N51" s="196">
        <f t="shared" si="90"/>
        <v>2638.2318742767206</v>
      </c>
      <c r="O51" s="197">
        <f t="shared" si="91"/>
        <v>283.25476198455954</v>
      </c>
      <c r="P51" s="197">
        <f t="shared" si="92"/>
        <v>1325.8874099595284</v>
      </c>
      <c r="Q51" s="197">
        <f t="shared" si="93"/>
        <v>1312.344464317192</v>
      </c>
      <c r="R51" s="199">
        <f t="shared" si="94"/>
        <v>1595.5992263017517</v>
      </c>
      <c r="S51" s="196">
        <f t="shared" si="146"/>
        <v>41681.196225504944</v>
      </c>
      <c r="T51" s="197">
        <f t="shared" si="95"/>
        <v>5181.270950386006</v>
      </c>
      <c r="U51" s="197">
        <f t="shared" si="95"/>
        <v>34421.12983976915</v>
      </c>
      <c r="V51" s="197">
        <f t="shared" si="95"/>
        <v>7260.0663857357922</v>
      </c>
      <c r="W51" s="199">
        <f t="shared" si="95"/>
        <v>12441.3373361218</v>
      </c>
      <c r="Z51" s="895">
        <v>14</v>
      </c>
      <c r="AA51" s="197">
        <f t="shared" si="96"/>
        <v>16.3</v>
      </c>
      <c r="AB51" s="197">
        <f>'Energy Inputs'!$G$58*$AB$34</f>
        <v>404.25</v>
      </c>
      <c r="AC51" s="197">
        <f t="shared" si="147"/>
        <v>6589.2750000000005</v>
      </c>
      <c r="AD51" s="197">
        <f>'Margins summary'!$W$14</f>
        <v>471.64</v>
      </c>
      <c r="AE51" s="197">
        <f t="shared" si="97"/>
        <v>7060.9150000000009</v>
      </c>
      <c r="AF51" s="197"/>
      <c r="AG51" s="913">
        <f>'Energy NPV'!U104</f>
        <v>2207.6999999999998</v>
      </c>
      <c r="AH51" s="197"/>
      <c r="AI51" s="197">
        <f t="shared" si="98"/>
        <v>2207.6999999999998</v>
      </c>
      <c r="AJ51" s="197">
        <f t="shared" si="80"/>
        <v>4381.5750000000007</v>
      </c>
      <c r="AK51" s="197">
        <f t="shared" si="81"/>
        <v>4853.2150000000011</v>
      </c>
      <c r="AL51" s="196">
        <f t="shared" si="99"/>
        <v>3957.3478114150807</v>
      </c>
      <c r="AM51" s="197">
        <f t="shared" si="100"/>
        <v>283.25476198455954</v>
      </c>
      <c r="AN51" s="197">
        <f t="shared" si="101"/>
        <v>1325.8874099595284</v>
      </c>
      <c r="AO51" s="197">
        <f t="shared" si="102"/>
        <v>2631.4604014555521</v>
      </c>
      <c r="AP51" s="199">
        <f t="shared" si="103"/>
        <v>2914.7151634401121</v>
      </c>
      <c r="AQ51" s="196">
        <f t="shared" si="148"/>
        <v>62521.794338257409</v>
      </c>
      <c r="AR51" s="197">
        <f t="shared" si="104"/>
        <v>5181.270950386006</v>
      </c>
      <c r="AS51" s="197">
        <f t="shared" si="105"/>
        <v>34421.12983976915</v>
      </c>
      <c r="AT51" s="197">
        <f t="shared" si="106"/>
        <v>28100.664498488266</v>
      </c>
      <c r="AU51" s="199">
        <f t="shared" si="107"/>
        <v>33281.935448874268</v>
      </c>
      <c r="AX51" s="895">
        <v>14</v>
      </c>
      <c r="AY51" s="197">
        <f t="shared" si="108"/>
        <v>16.3</v>
      </c>
      <c r="AZ51" s="197">
        <f>'Energy Inputs'!$G$58*$AZ$34</f>
        <v>134.75</v>
      </c>
      <c r="BA51" s="197">
        <f t="shared" si="149"/>
        <v>2196.4250000000002</v>
      </c>
      <c r="BB51" s="197">
        <f>'Margins summary'!$W$14</f>
        <v>471.64</v>
      </c>
      <c r="BC51" s="197">
        <f t="shared" si="109"/>
        <v>2668.0650000000001</v>
      </c>
      <c r="BD51" s="197"/>
      <c r="BE51" s="913">
        <f>'Energy NPV'!U104</f>
        <v>2207.6999999999998</v>
      </c>
      <c r="BF51" s="197"/>
      <c r="BG51" s="197">
        <f t="shared" si="110"/>
        <v>2207.6999999999998</v>
      </c>
      <c r="BH51" s="197">
        <f t="shared" si="82"/>
        <v>-11.274999999999636</v>
      </c>
      <c r="BI51" s="197">
        <f t="shared" si="83"/>
        <v>460.36500000000024</v>
      </c>
      <c r="BJ51" s="196">
        <f t="shared" si="111"/>
        <v>1319.1159371383603</v>
      </c>
      <c r="BK51" s="197">
        <f t="shared" si="112"/>
        <v>283.25476198455954</v>
      </c>
      <c r="BL51" s="197">
        <f t="shared" si="113"/>
        <v>1325.8874099595284</v>
      </c>
      <c r="BM51" s="197">
        <f t="shared" si="114"/>
        <v>-6.7714728211682758</v>
      </c>
      <c r="BN51" s="199">
        <f t="shared" si="115"/>
        <v>276.48328916339119</v>
      </c>
      <c r="BO51" s="196">
        <f t="shared" si="150"/>
        <v>20840.598112752472</v>
      </c>
      <c r="BP51" s="197">
        <f t="shared" si="116"/>
        <v>5181.270950386006</v>
      </c>
      <c r="BQ51" s="197">
        <f t="shared" si="117"/>
        <v>34421.12983976915</v>
      </c>
      <c r="BR51" s="197">
        <f t="shared" si="118"/>
        <v>-13580.53172701668</v>
      </c>
      <c r="BS51" s="199">
        <f t="shared" si="119"/>
        <v>-8399.2607766306755</v>
      </c>
      <c r="BV51" s="895">
        <v>14</v>
      </c>
      <c r="BW51" s="197">
        <f t="shared" si="120"/>
        <v>16.3</v>
      </c>
      <c r="BX51" s="197">
        <f>'Energy Inputs'!$G$58*$BX$34</f>
        <v>539</v>
      </c>
      <c r="BY51" s="197">
        <f t="shared" si="151"/>
        <v>8785.7000000000007</v>
      </c>
      <c r="BZ51" s="197">
        <f>'Margins summary'!$W$14</f>
        <v>471.64</v>
      </c>
      <c r="CA51" s="197">
        <f t="shared" si="121"/>
        <v>9257.34</v>
      </c>
      <c r="CB51" s="197"/>
      <c r="CC51" s="913">
        <f>'Energy NPV'!U104</f>
        <v>2207.6999999999998</v>
      </c>
      <c r="CD51" s="197"/>
      <c r="CE51" s="197">
        <f t="shared" si="122"/>
        <v>2207.6999999999998</v>
      </c>
      <c r="CF51" s="197">
        <f t="shared" si="84"/>
        <v>6578.0000000000009</v>
      </c>
      <c r="CG51" s="197">
        <f t="shared" si="85"/>
        <v>7049.64</v>
      </c>
      <c r="CH51" s="196">
        <f t="shared" si="123"/>
        <v>5276.4637485534413</v>
      </c>
      <c r="CI51" s="197">
        <f t="shared" si="124"/>
        <v>283.25476198455954</v>
      </c>
      <c r="CJ51" s="197">
        <f t="shared" si="125"/>
        <v>1325.8874099595284</v>
      </c>
      <c r="CK51" s="197">
        <f t="shared" si="126"/>
        <v>3950.5763385939126</v>
      </c>
      <c r="CL51" s="199">
        <f t="shared" si="127"/>
        <v>4233.8311005784717</v>
      </c>
      <c r="CM51" s="196">
        <f t="shared" si="152"/>
        <v>83362.392451009888</v>
      </c>
      <c r="CN51" s="197">
        <f t="shared" si="128"/>
        <v>5181.270950386006</v>
      </c>
      <c r="CO51" s="197">
        <f t="shared" si="129"/>
        <v>34421.12983976915</v>
      </c>
      <c r="CP51" s="197">
        <f t="shared" si="130"/>
        <v>48941.262611240738</v>
      </c>
      <c r="CQ51" s="199">
        <f t="shared" si="131"/>
        <v>54122.533561626733</v>
      </c>
      <c r="CT51" s="204">
        <f t="shared" si="153"/>
        <v>14</v>
      </c>
      <c r="CU51" s="197">
        <f t="shared" si="132"/>
        <v>16.3</v>
      </c>
      <c r="CV51" s="197">
        <f>'Energy Inputs'!$G$58*$CV$34</f>
        <v>0</v>
      </c>
      <c r="CW51" s="197">
        <f t="shared" si="154"/>
        <v>0</v>
      </c>
      <c r="CX51" s="197">
        <f>'Margins summary'!$W$14</f>
        <v>471.64</v>
      </c>
      <c r="CY51" s="197">
        <f t="shared" si="133"/>
        <v>471.64</v>
      </c>
      <c r="CZ51" s="197"/>
      <c r="DA51" s="913">
        <f>'Energy NPV'!U104</f>
        <v>2207.6999999999998</v>
      </c>
      <c r="DB51" s="197"/>
      <c r="DC51" s="197">
        <f t="shared" si="134"/>
        <v>2207.6999999999998</v>
      </c>
      <c r="DD51" s="197">
        <f t="shared" si="86"/>
        <v>-2207.6999999999998</v>
      </c>
      <c r="DE51" s="197">
        <f t="shared" si="87"/>
        <v>-1736.06</v>
      </c>
      <c r="DF51" s="196">
        <f t="shared" si="135"/>
        <v>0</v>
      </c>
      <c r="DG51" s="197">
        <f t="shared" si="136"/>
        <v>283.25476198455954</v>
      </c>
      <c r="DH51" s="197">
        <f t="shared" si="137"/>
        <v>1325.8874099595284</v>
      </c>
      <c r="DI51" s="197">
        <f t="shared" si="138"/>
        <v>-1325.8874099595284</v>
      </c>
      <c r="DJ51" s="199">
        <f>DE51/(1+$B$4)^(CT51-1)</f>
        <v>-1042.6326479749691</v>
      </c>
      <c r="DK51" s="196">
        <f t="shared" si="155"/>
        <v>0</v>
      </c>
      <c r="DL51" s="197">
        <f t="shared" si="140"/>
        <v>5181.270950386006</v>
      </c>
      <c r="DM51" s="197">
        <f t="shared" si="141"/>
        <v>34421.12983976915</v>
      </c>
      <c r="DN51" s="197">
        <f t="shared" si="142"/>
        <v>-34421.12983976915</v>
      </c>
      <c r="DO51" s="199">
        <f t="shared" si="143"/>
        <v>-29239.858889383147</v>
      </c>
    </row>
    <row r="52" spans="2:129" x14ac:dyDescent="0.3">
      <c r="B52" s="204">
        <f t="shared" si="144"/>
        <v>15</v>
      </c>
      <c r="C52" s="197">
        <f>'Energy NPV'!$D105</f>
        <v>16.3</v>
      </c>
      <c r="D52" s="197">
        <f>'Energy Inputs'!$G$58*$E$34</f>
        <v>269.5</v>
      </c>
      <c r="E52" s="197">
        <f t="shared" si="145"/>
        <v>4392.8500000000004</v>
      </c>
      <c r="F52" s="197">
        <f>'Margins summary'!$W$14</f>
        <v>471.64</v>
      </c>
      <c r="G52" s="197">
        <f t="shared" si="88"/>
        <v>4864.4900000000007</v>
      </c>
      <c r="H52" s="197"/>
      <c r="I52" s="913">
        <f>'Energy NPV'!U105</f>
        <v>2207.6999999999998</v>
      </c>
      <c r="J52" s="197"/>
      <c r="K52" s="197">
        <f t="shared" si="89"/>
        <v>2207.6999999999998</v>
      </c>
      <c r="L52" s="197">
        <f t="shared" si="78"/>
        <v>2185.1500000000005</v>
      </c>
      <c r="M52" s="197">
        <f t="shared" si="79"/>
        <v>2656.7900000000009</v>
      </c>
      <c r="N52" s="196">
        <f t="shared" si="90"/>
        <v>2536.7614175737699</v>
      </c>
      <c r="O52" s="197">
        <f t="shared" si="91"/>
        <v>272.36034806207647</v>
      </c>
      <c r="P52" s="197">
        <f t="shared" si="92"/>
        <v>1274.8917403457006</v>
      </c>
      <c r="Q52" s="197">
        <f t="shared" si="93"/>
        <v>1261.8696772280691</v>
      </c>
      <c r="R52" s="199">
        <f t="shared" si="94"/>
        <v>1534.2300252901459</v>
      </c>
      <c r="S52" s="196">
        <f t="shared" si="146"/>
        <v>44217.957643078713</v>
      </c>
      <c r="T52" s="197">
        <f t="shared" si="95"/>
        <v>5453.6312984480828</v>
      </c>
      <c r="U52" s="197">
        <f t="shared" si="95"/>
        <v>35696.021580114852</v>
      </c>
      <c r="V52" s="197">
        <f t="shared" si="95"/>
        <v>8521.9360629638613</v>
      </c>
      <c r="W52" s="199">
        <f t="shared" si="95"/>
        <v>13975.567361411946</v>
      </c>
      <c r="Z52" s="895">
        <v>15</v>
      </c>
      <c r="AA52" s="197">
        <f t="shared" si="96"/>
        <v>16.3</v>
      </c>
      <c r="AB52" s="197">
        <f>'Energy Inputs'!$G$58*$AB$34</f>
        <v>404.25</v>
      </c>
      <c r="AC52" s="197">
        <f t="shared" si="147"/>
        <v>6589.2750000000005</v>
      </c>
      <c r="AD52" s="197">
        <f>'Margins summary'!$W$14</f>
        <v>471.64</v>
      </c>
      <c r="AE52" s="197">
        <f t="shared" si="97"/>
        <v>7060.9150000000009</v>
      </c>
      <c r="AF52" s="197"/>
      <c r="AG52" s="913">
        <f>'Energy NPV'!U105</f>
        <v>2207.6999999999998</v>
      </c>
      <c r="AH52" s="197"/>
      <c r="AI52" s="197">
        <f t="shared" si="98"/>
        <v>2207.6999999999998</v>
      </c>
      <c r="AJ52" s="197">
        <f t="shared" si="80"/>
        <v>4381.5750000000007</v>
      </c>
      <c r="AK52" s="197">
        <f t="shared" si="81"/>
        <v>4853.2150000000011</v>
      </c>
      <c r="AL52" s="196">
        <f t="shared" si="99"/>
        <v>3805.1421263606544</v>
      </c>
      <c r="AM52" s="197">
        <f t="shared" si="100"/>
        <v>272.36034806207647</v>
      </c>
      <c r="AN52" s="197">
        <f t="shared" si="101"/>
        <v>1274.8917403457006</v>
      </c>
      <c r="AO52" s="197">
        <f t="shared" si="102"/>
        <v>2530.2503860149541</v>
      </c>
      <c r="AP52" s="199">
        <f t="shared" si="103"/>
        <v>2802.6107340770309</v>
      </c>
      <c r="AQ52" s="196">
        <f t="shared" si="148"/>
        <v>66326.936464618062</v>
      </c>
      <c r="AR52" s="197">
        <f t="shared" si="104"/>
        <v>5453.6312984480828</v>
      </c>
      <c r="AS52" s="197">
        <f t="shared" si="105"/>
        <v>35696.021580114852</v>
      </c>
      <c r="AT52" s="197">
        <f t="shared" si="106"/>
        <v>30630.914884503221</v>
      </c>
      <c r="AU52" s="199">
        <f t="shared" si="107"/>
        <v>36084.546182951301</v>
      </c>
      <c r="AX52" s="895">
        <v>15</v>
      </c>
      <c r="AY52" s="197">
        <f t="shared" si="108"/>
        <v>16.3</v>
      </c>
      <c r="AZ52" s="197">
        <f>'Energy Inputs'!$G$58*$AZ$34</f>
        <v>134.75</v>
      </c>
      <c r="BA52" s="197">
        <f t="shared" si="149"/>
        <v>2196.4250000000002</v>
      </c>
      <c r="BB52" s="197">
        <f>'Margins summary'!$W$14</f>
        <v>471.64</v>
      </c>
      <c r="BC52" s="197">
        <f t="shared" si="109"/>
        <v>2668.0650000000001</v>
      </c>
      <c r="BD52" s="197"/>
      <c r="BE52" s="913">
        <f>'Energy NPV'!U105</f>
        <v>2207.6999999999998</v>
      </c>
      <c r="BF52" s="197"/>
      <c r="BG52" s="197">
        <f t="shared" si="110"/>
        <v>2207.6999999999998</v>
      </c>
      <c r="BH52" s="197">
        <f t="shared" si="82"/>
        <v>-11.274999999999636</v>
      </c>
      <c r="BI52" s="197">
        <f t="shared" si="83"/>
        <v>460.36500000000024</v>
      </c>
      <c r="BJ52" s="196">
        <f t="shared" si="111"/>
        <v>1268.380708786885</v>
      </c>
      <c r="BK52" s="197">
        <f t="shared" si="112"/>
        <v>272.36034806207647</v>
      </c>
      <c r="BL52" s="197">
        <f t="shared" si="113"/>
        <v>1274.8917403457006</v>
      </c>
      <c r="BM52" s="197">
        <f t="shared" si="114"/>
        <v>-6.5110315588156498</v>
      </c>
      <c r="BN52" s="199">
        <f t="shared" si="115"/>
        <v>265.84931650326075</v>
      </c>
      <c r="BO52" s="196">
        <f t="shared" si="150"/>
        <v>22108.978821539356</v>
      </c>
      <c r="BP52" s="197">
        <f t="shared" si="116"/>
        <v>5453.6312984480828</v>
      </c>
      <c r="BQ52" s="197">
        <f t="shared" si="117"/>
        <v>35696.021580114852</v>
      </c>
      <c r="BR52" s="197">
        <f t="shared" si="118"/>
        <v>-13587.042758575495</v>
      </c>
      <c r="BS52" s="199">
        <f t="shared" si="119"/>
        <v>-8133.411460127415</v>
      </c>
      <c r="BV52" s="895">
        <v>15</v>
      </c>
      <c r="BW52" s="197">
        <f t="shared" si="120"/>
        <v>16.3</v>
      </c>
      <c r="BX52" s="197">
        <f>'Energy Inputs'!$G$58*$BX$34</f>
        <v>539</v>
      </c>
      <c r="BY52" s="197">
        <f t="shared" si="151"/>
        <v>8785.7000000000007</v>
      </c>
      <c r="BZ52" s="197">
        <f>'Margins summary'!$W$14</f>
        <v>471.64</v>
      </c>
      <c r="CA52" s="197">
        <f t="shared" si="121"/>
        <v>9257.34</v>
      </c>
      <c r="CB52" s="197"/>
      <c r="CC52" s="913">
        <f>'Energy NPV'!U105</f>
        <v>2207.6999999999998</v>
      </c>
      <c r="CD52" s="197"/>
      <c r="CE52" s="197">
        <f t="shared" si="122"/>
        <v>2207.6999999999998</v>
      </c>
      <c r="CF52" s="197">
        <f t="shared" si="84"/>
        <v>6578.0000000000009</v>
      </c>
      <c r="CG52" s="197">
        <f t="shared" si="85"/>
        <v>7049.64</v>
      </c>
      <c r="CH52" s="196">
        <f t="shared" si="123"/>
        <v>5073.5228351475398</v>
      </c>
      <c r="CI52" s="197">
        <f t="shared" si="124"/>
        <v>272.36034806207647</v>
      </c>
      <c r="CJ52" s="197">
        <f t="shared" si="125"/>
        <v>1274.8917403457006</v>
      </c>
      <c r="CK52" s="197">
        <f t="shared" si="126"/>
        <v>3798.631094801839</v>
      </c>
      <c r="CL52" s="199">
        <f t="shared" si="127"/>
        <v>4070.9914428639149</v>
      </c>
      <c r="CM52" s="196">
        <f t="shared" si="152"/>
        <v>88435.915286157426</v>
      </c>
      <c r="CN52" s="197">
        <f t="shared" si="128"/>
        <v>5453.6312984480828</v>
      </c>
      <c r="CO52" s="197">
        <f t="shared" si="129"/>
        <v>35696.021580114852</v>
      </c>
      <c r="CP52" s="197">
        <f t="shared" si="130"/>
        <v>52739.893706042574</v>
      </c>
      <c r="CQ52" s="199">
        <f t="shared" si="131"/>
        <v>58193.52500449065</v>
      </c>
      <c r="CT52" s="204">
        <f t="shared" si="153"/>
        <v>15</v>
      </c>
      <c r="CU52" s="197">
        <f t="shared" si="132"/>
        <v>16.3</v>
      </c>
      <c r="CV52" s="197">
        <f>'Energy Inputs'!$G$58*$CV$34</f>
        <v>0</v>
      </c>
      <c r="CW52" s="197">
        <f t="shared" si="154"/>
        <v>0</v>
      </c>
      <c r="CX52" s="197">
        <f>'Margins summary'!$W$14</f>
        <v>471.64</v>
      </c>
      <c r="CY52" s="197">
        <f t="shared" si="133"/>
        <v>471.64</v>
      </c>
      <c r="CZ52" s="197"/>
      <c r="DA52" s="913">
        <f>'Energy NPV'!U105</f>
        <v>2207.6999999999998</v>
      </c>
      <c r="DB52" s="197"/>
      <c r="DC52" s="197">
        <f t="shared" si="134"/>
        <v>2207.6999999999998</v>
      </c>
      <c r="DD52" s="197">
        <f t="shared" si="86"/>
        <v>-2207.6999999999998</v>
      </c>
      <c r="DE52" s="197">
        <f t="shared" si="87"/>
        <v>-1736.06</v>
      </c>
      <c r="DF52" s="196">
        <f t="shared" si="135"/>
        <v>0</v>
      </c>
      <c r="DG52" s="197">
        <f t="shared" si="136"/>
        <v>272.36034806207647</v>
      </c>
      <c r="DH52" s="197">
        <f t="shared" si="137"/>
        <v>1274.8917403457006</v>
      </c>
      <c r="DI52" s="197">
        <f t="shared" si="138"/>
        <v>-1274.8917403457006</v>
      </c>
      <c r="DJ52" s="199">
        <f t="shared" si="139"/>
        <v>-1002.5313922836241</v>
      </c>
      <c r="DK52" s="196">
        <f t="shared" si="155"/>
        <v>0</v>
      </c>
      <c r="DL52" s="197">
        <f t="shared" si="140"/>
        <v>5453.6312984480828</v>
      </c>
      <c r="DM52" s="197">
        <f t="shared" si="141"/>
        <v>35696.021580114852</v>
      </c>
      <c r="DN52" s="197">
        <f t="shared" si="142"/>
        <v>-35696.021580114852</v>
      </c>
      <c r="DO52" s="199">
        <f t="shared" si="143"/>
        <v>-30242.390281666772</v>
      </c>
    </row>
    <row r="53" spans="2:129" x14ac:dyDescent="0.3">
      <c r="B53" s="206">
        <f t="shared" si="144"/>
        <v>16</v>
      </c>
      <c r="C53" s="207">
        <f>'Energy NPV'!$D106</f>
        <v>16.3</v>
      </c>
      <c r="D53" s="207">
        <f>'Energy Inputs'!$G$58*$E$34</f>
        <v>269.5</v>
      </c>
      <c r="E53" s="207">
        <f t="shared" si="145"/>
        <v>4392.8500000000004</v>
      </c>
      <c r="F53" s="207">
        <f>'Margins summary'!$W$14</f>
        <v>471.64</v>
      </c>
      <c r="G53" s="207">
        <f t="shared" si="88"/>
        <v>4864.4900000000007</v>
      </c>
      <c r="H53" s="207"/>
      <c r="I53" s="914">
        <f>'Energy NPV'!U106</f>
        <v>2207.6999999999998</v>
      </c>
      <c r="J53" s="207">
        <f>'Energy margins'!$AE$67</f>
        <v>500</v>
      </c>
      <c r="K53" s="207">
        <f t="shared" si="89"/>
        <v>2707.7</v>
      </c>
      <c r="L53" s="207">
        <f t="shared" si="78"/>
        <v>1685.1500000000005</v>
      </c>
      <c r="M53" s="207">
        <f t="shared" si="79"/>
        <v>2156.7900000000009</v>
      </c>
      <c r="N53" s="208">
        <f t="shared" si="90"/>
        <v>2439.1936707440095</v>
      </c>
      <c r="O53" s="207">
        <f t="shared" si="91"/>
        <v>261.88495005968895</v>
      </c>
      <c r="P53" s="207">
        <f t="shared" si="92"/>
        <v>1503.4896939967341</v>
      </c>
      <c r="Q53" s="207">
        <f t="shared" si="93"/>
        <v>935.70397674727531</v>
      </c>
      <c r="R53" s="209">
        <f>M53/(1+$B$4)^(B53-1)</f>
        <v>1197.5889268069645</v>
      </c>
      <c r="S53" s="208">
        <f t="shared" si="146"/>
        <v>46657.151313822724</v>
      </c>
      <c r="T53" s="207">
        <f t="shared" si="95"/>
        <v>5715.5162485077717</v>
      </c>
      <c r="U53" s="207">
        <f t="shared" si="95"/>
        <v>37199.511274111588</v>
      </c>
      <c r="V53" s="207">
        <f t="shared" si="95"/>
        <v>9457.6400397111374</v>
      </c>
      <c r="W53" s="209">
        <f t="shared" si="95"/>
        <v>15173.15628821891</v>
      </c>
      <c r="Z53" s="896">
        <v>16</v>
      </c>
      <c r="AA53" s="207">
        <f t="shared" si="96"/>
        <v>16.3</v>
      </c>
      <c r="AB53" s="207">
        <f>'Energy Inputs'!$G$58*$AB$34</f>
        <v>404.25</v>
      </c>
      <c r="AC53" s="207">
        <f t="shared" si="147"/>
        <v>6589.2750000000005</v>
      </c>
      <c r="AD53" s="207">
        <f>'Margins summary'!$W$14</f>
        <v>471.64</v>
      </c>
      <c r="AE53" s="207">
        <f t="shared" si="97"/>
        <v>7060.9150000000009</v>
      </c>
      <c r="AF53" s="207"/>
      <c r="AG53" s="914">
        <f>'Energy NPV'!U106</f>
        <v>2207.6999999999998</v>
      </c>
      <c r="AH53" s="207">
        <f>'Energy margins'!$AE$67</f>
        <v>500</v>
      </c>
      <c r="AI53" s="207">
        <f t="shared" si="98"/>
        <v>2707.7</v>
      </c>
      <c r="AJ53" s="207">
        <f t="shared" si="80"/>
        <v>3881.5750000000007</v>
      </c>
      <c r="AK53" s="207">
        <f t="shared" si="81"/>
        <v>4353.2150000000011</v>
      </c>
      <c r="AL53" s="208">
        <f t="shared" si="99"/>
        <v>3658.7905061160141</v>
      </c>
      <c r="AM53" s="207">
        <f t="shared" si="100"/>
        <v>261.88495005968895</v>
      </c>
      <c r="AN53" s="207">
        <f t="shared" si="101"/>
        <v>1503.4896939967341</v>
      </c>
      <c r="AO53" s="207">
        <f t="shared" si="102"/>
        <v>2155.3008121192802</v>
      </c>
      <c r="AP53" s="209">
        <f>AK53/(1+$B$4)^(Z53-1)</f>
        <v>2417.1857621789691</v>
      </c>
      <c r="AQ53" s="208">
        <f>AQ52+AL53</f>
        <v>69985.726970734075</v>
      </c>
      <c r="AR53" s="207">
        <f t="shared" si="104"/>
        <v>5715.5162485077717</v>
      </c>
      <c r="AS53" s="207">
        <f t="shared" si="105"/>
        <v>37199.511274111588</v>
      </c>
      <c r="AT53" s="207">
        <f t="shared" si="106"/>
        <v>32786.215696622501</v>
      </c>
      <c r="AU53" s="209">
        <f t="shared" si="107"/>
        <v>38501.731945130268</v>
      </c>
      <c r="AX53" s="896">
        <v>16</v>
      </c>
      <c r="AY53" s="207">
        <f t="shared" si="108"/>
        <v>16.3</v>
      </c>
      <c r="AZ53" s="207">
        <f>'Energy Inputs'!$G$58*$AZ$34</f>
        <v>134.75</v>
      </c>
      <c r="BA53" s="207">
        <f t="shared" si="149"/>
        <v>2196.4250000000002</v>
      </c>
      <c r="BB53" s="207">
        <f>'Margins summary'!$W$14</f>
        <v>471.64</v>
      </c>
      <c r="BC53" s="207">
        <f t="shared" si="109"/>
        <v>2668.0650000000001</v>
      </c>
      <c r="BD53" s="207"/>
      <c r="BE53" s="914">
        <f>'Energy NPV'!U106</f>
        <v>2207.6999999999998</v>
      </c>
      <c r="BF53" s="207">
        <f>'Energy margins'!$AE$67</f>
        <v>500</v>
      </c>
      <c r="BG53" s="207">
        <f t="shared" si="110"/>
        <v>2707.7</v>
      </c>
      <c r="BH53" s="207">
        <f t="shared" si="82"/>
        <v>-511.27499999999964</v>
      </c>
      <c r="BI53" s="207">
        <f t="shared" si="83"/>
        <v>-39.634999999999764</v>
      </c>
      <c r="BJ53" s="208">
        <f t="shared" si="111"/>
        <v>1219.5968353720048</v>
      </c>
      <c r="BK53" s="207">
        <f t="shared" si="112"/>
        <v>261.88495005968895</v>
      </c>
      <c r="BL53" s="207">
        <f t="shared" si="113"/>
        <v>1503.4896939967341</v>
      </c>
      <c r="BM53" s="207">
        <f t="shared" si="114"/>
        <v>-283.8928586247294</v>
      </c>
      <c r="BN53" s="209">
        <f>BI53/(1+$B$4)^(AX53-1)</f>
        <v>-22.007908565040516</v>
      </c>
      <c r="BO53" s="208">
        <f t="shared" si="150"/>
        <v>23328.575656911362</v>
      </c>
      <c r="BP53" s="207">
        <f t="shared" si="116"/>
        <v>5715.5162485077717</v>
      </c>
      <c r="BQ53" s="207">
        <f t="shared" si="117"/>
        <v>37199.511274111588</v>
      </c>
      <c r="BR53" s="207">
        <f t="shared" si="118"/>
        <v>-13870.935617200224</v>
      </c>
      <c r="BS53" s="209">
        <f t="shared" si="119"/>
        <v>-8155.4193686924555</v>
      </c>
      <c r="BV53" s="896">
        <v>16</v>
      </c>
      <c r="BW53" s="207">
        <f t="shared" si="120"/>
        <v>16.3</v>
      </c>
      <c r="BX53" s="197">
        <f>'Energy Inputs'!$G$58*$BX$34</f>
        <v>539</v>
      </c>
      <c r="BY53" s="207">
        <f t="shared" si="151"/>
        <v>8785.7000000000007</v>
      </c>
      <c r="BZ53" s="207">
        <f>'Margins summary'!$W$14</f>
        <v>471.64</v>
      </c>
      <c r="CA53" s="207">
        <f t="shared" si="121"/>
        <v>9257.34</v>
      </c>
      <c r="CB53" s="207"/>
      <c r="CC53" s="914">
        <f>'Energy NPV'!U106</f>
        <v>2207.6999999999998</v>
      </c>
      <c r="CD53" s="207">
        <f>'Energy margins'!$AE$67</f>
        <v>500</v>
      </c>
      <c r="CE53" s="207">
        <f t="shared" si="122"/>
        <v>2707.7</v>
      </c>
      <c r="CF53" s="207">
        <f t="shared" si="84"/>
        <v>6078.0000000000009</v>
      </c>
      <c r="CG53" s="207">
        <f t="shared" si="85"/>
        <v>6549.64</v>
      </c>
      <c r="CH53" s="208">
        <f t="shared" si="123"/>
        <v>4878.387341488019</v>
      </c>
      <c r="CI53" s="207">
        <f t="shared" si="124"/>
        <v>261.88495005968895</v>
      </c>
      <c r="CJ53" s="207">
        <f t="shared" si="125"/>
        <v>1503.4896939967341</v>
      </c>
      <c r="CK53" s="207">
        <f t="shared" si="126"/>
        <v>3374.8976474912847</v>
      </c>
      <c r="CL53" s="209">
        <f>CG53/(1+$B$4)^(BV53-1)</f>
        <v>3636.7825975509732</v>
      </c>
      <c r="CM53" s="208">
        <f t="shared" si="152"/>
        <v>93314.302627645448</v>
      </c>
      <c r="CN53" s="207">
        <f t="shared" si="128"/>
        <v>5715.5162485077717</v>
      </c>
      <c r="CO53" s="207">
        <f t="shared" si="129"/>
        <v>37199.511274111588</v>
      </c>
      <c r="CP53" s="207">
        <f t="shared" si="130"/>
        <v>56114.791353533859</v>
      </c>
      <c r="CQ53" s="209">
        <f t="shared" si="131"/>
        <v>61830.307602041619</v>
      </c>
      <c r="CT53" s="206">
        <f t="shared" si="153"/>
        <v>16</v>
      </c>
      <c r="CU53" s="207">
        <f t="shared" si="132"/>
        <v>16.3</v>
      </c>
      <c r="CV53" s="207">
        <f>'Energy Inputs'!$G$58*$CV$34</f>
        <v>0</v>
      </c>
      <c r="CW53" s="207">
        <f t="shared" si="154"/>
        <v>0</v>
      </c>
      <c r="CX53" s="207">
        <f>'Margins summary'!$W$14</f>
        <v>471.64</v>
      </c>
      <c r="CY53" s="207">
        <f t="shared" si="133"/>
        <v>471.64</v>
      </c>
      <c r="CZ53" s="207"/>
      <c r="DA53" s="914">
        <f>'Energy NPV'!U106</f>
        <v>2207.6999999999998</v>
      </c>
      <c r="DB53" s="207">
        <f>'Energy margins'!$AE$67</f>
        <v>500</v>
      </c>
      <c r="DC53" s="207">
        <f t="shared" si="134"/>
        <v>2707.7</v>
      </c>
      <c r="DD53" s="207">
        <f t="shared" si="86"/>
        <v>-2707.7</v>
      </c>
      <c r="DE53" s="207">
        <f t="shared" si="87"/>
        <v>-2236.06</v>
      </c>
      <c r="DF53" s="208">
        <f t="shared" si="135"/>
        <v>0</v>
      </c>
      <c r="DG53" s="207">
        <f t="shared" si="136"/>
        <v>261.88495005968895</v>
      </c>
      <c r="DH53" s="207">
        <f t="shared" si="137"/>
        <v>1503.4896939967341</v>
      </c>
      <c r="DI53" s="207">
        <f t="shared" si="138"/>
        <v>-1503.4896939967341</v>
      </c>
      <c r="DJ53" s="209">
        <f>DE53/(1+$B$4)^(CT53-1)</f>
        <v>-1241.6047439370452</v>
      </c>
      <c r="DK53" s="208">
        <f t="shared" si="155"/>
        <v>0</v>
      </c>
      <c r="DL53" s="207">
        <f t="shared" si="140"/>
        <v>5715.5162485077717</v>
      </c>
      <c r="DM53" s="207">
        <f t="shared" si="141"/>
        <v>37199.511274111588</v>
      </c>
      <c r="DN53" s="207">
        <f t="shared" si="142"/>
        <v>-37199.511274111588</v>
      </c>
      <c r="DO53" s="209">
        <f t="shared" si="143"/>
        <v>-31483.995025603817</v>
      </c>
    </row>
    <row r="54" spans="2:129" x14ac:dyDescent="0.3">
      <c r="AA54" s="197"/>
      <c r="BV54" s="158"/>
    </row>
    <row r="58" spans="2:129" x14ac:dyDescent="0.3"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</row>
    <row r="59" spans="2:129" x14ac:dyDescent="0.3">
      <c r="B59" s="212" t="s">
        <v>289</v>
      </c>
      <c r="C59" s="760" t="s">
        <v>386</v>
      </c>
      <c r="D59" s="269" t="s">
        <v>397</v>
      </c>
      <c r="E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AB59" s="212" t="s">
        <v>289</v>
      </c>
      <c r="AC59" s="760" t="s">
        <v>387</v>
      </c>
      <c r="AD59" s="267" t="s">
        <v>306</v>
      </c>
      <c r="AE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BB59" s="212" t="s">
        <v>289</v>
      </c>
      <c r="BC59" s="760" t="s">
        <v>388</v>
      </c>
      <c r="BD59" s="267" t="s">
        <v>306</v>
      </c>
      <c r="BE59" s="102"/>
      <c r="BH59" s="102"/>
      <c r="BI59" s="102"/>
      <c r="BJ59" s="102"/>
      <c r="BK59" s="102"/>
      <c r="BL59" s="102"/>
      <c r="BM59" s="102"/>
      <c r="BN59" s="102"/>
      <c r="BO59" s="102"/>
      <c r="BP59" s="102"/>
      <c r="BQ59" s="102"/>
      <c r="BR59" s="102"/>
      <c r="BS59" s="102"/>
      <c r="BT59" s="102"/>
      <c r="BU59" s="102"/>
      <c r="BV59" s="102"/>
      <c r="CB59" s="212" t="s">
        <v>289</v>
      </c>
      <c r="CC59" s="760" t="s">
        <v>389</v>
      </c>
      <c r="CD59" s="267" t="s">
        <v>306</v>
      </c>
      <c r="CE59" s="102"/>
      <c r="CH59" s="102"/>
      <c r="CI59" s="102"/>
      <c r="CJ59" s="102"/>
      <c r="CK59" s="102"/>
      <c r="CL59" s="102"/>
      <c r="CM59" s="102"/>
      <c r="CN59" s="102"/>
      <c r="CO59" s="102"/>
      <c r="CP59" s="102"/>
      <c r="CQ59" s="102"/>
      <c r="CR59" s="102"/>
      <c r="CS59" s="102"/>
      <c r="CT59" s="102"/>
      <c r="CU59" s="102"/>
      <c r="CV59" s="102"/>
      <c r="DB59" s="212" t="s">
        <v>289</v>
      </c>
      <c r="DC59" s="760" t="s">
        <v>390</v>
      </c>
      <c r="DD59" s="267" t="s">
        <v>306</v>
      </c>
      <c r="DE59" s="102"/>
      <c r="DH59" s="102"/>
      <c r="DI59" s="102"/>
      <c r="DJ59" s="102"/>
      <c r="DK59" s="102"/>
      <c r="DL59" s="102"/>
      <c r="DM59" s="102"/>
      <c r="DN59" s="102"/>
      <c r="DO59" s="102"/>
      <c r="DP59" s="102"/>
      <c r="DQ59" s="102"/>
      <c r="DR59" s="102"/>
      <c r="DS59" s="102"/>
      <c r="DT59" s="102"/>
      <c r="DU59" s="102"/>
      <c r="DV59" s="102"/>
    </row>
    <row r="60" spans="2:129" x14ac:dyDescent="0.3">
      <c r="B60" s="203"/>
      <c r="C60" s="63"/>
      <c r="E60" s="158"/>
      <c r="F60" s="158"/>
      <c r="G60" s="158"/>
      <c r="H60" s="755"/>
      <c r="I60" s="755"/>
      <c r="J60" s="755"/>
      <c r="K60" s="148"/>
      <c r="L60" s="148"/>
      <c r="M60" s="755"/>
      <c r="N60" s="148"/>
      <c r="O60" s="148"/>
      <c r="P60" s="1011" t="s">
        <v>273</v>
      </c>
      <c r="Q60" s="1012"/>
      <c r="R60" s="1012"/>
      <c r="S60" s="1012"/>
      <c r="T60" s="1013"/>
      <c r="U60" s="1011" t="s">
        <v>274</v>
      </c>
      <c r="V60" s="1012"/>
      <c r="W60" s="1012"/>
      <c r="X60" s="1012"/>
      <c r="Y60" s="1013"/>
      <c r="AB60" s="203"/>
      <c r="AC60" s="63"/>
      <c r="AE60" s="158"/>
      <c r="AF60" s="158"/>
      <c r="AG60" s="158"/>
      <c r="AH60" s="755"/>
      <c r="AI60" s="755"/>
      <c r="AJ60" s="755"/>
      <c r="AK60" s="148"/>
      <c r="AL60" s="148"/>
      <c r="AM60" s="755"/>
      <c r="AN60" s="148"/>
      <c r="AO60" s="148"/>
      <c r="AP60" s="1011" t="s">
        <v>273</v>
      </c>
      <c r="AQ60" s="1012"/>
      <c r="AR60" s="1012"/>
      <c r="AS60" s="1012"/>
      <c r="AT60" s="1013"/>
      <c r="AU60" s="1011" t="s">
        <v>274</v>
      </c>
      <c r="AV60" s="1012"/>
      <c r="AW60" s="1012"/>
      <c r="AX60" s="1012"/>
      <c r="AY60" s="1013"/>
      <c r="BB60" s="203"/>
      <c r="BC60" s="63"/>
      <c r="BE60" s="158"/>
      <c r="BF60" s="158"/>
      <c r="BG60" s="158"/>
      <c r="BH60" s="755"/>
      <c r="BI60" s="755"/>
      <c r="BJ60" s="755"/>
      <c r="BK60" s="148"/>
      <c r="BL60" s="148"/>
      <c r="BM60" s="755"/>
      <c r="BN60" s="148"/>
      <c r="BO60" s="148"/>
      <c r="BP60" s="1011" t="s">
        <v>273</v>
      </c>
      <c r="BQ60" s="1012"/>
      <c r="BR60" s="1012"/>
      <c r="BS60" s="1012"/>
      <c r="BT60" s="1013"/>
      <c r="BU60" s="1011" t="s">
        <v>274</v>
      </c>
      <c r="BV60" s="1012"/>
      <c r="BW60" s="1012"/>
      <c r="BX60" s="1012"/>
      <c r="BY60" s="1013"/>
      <c r="CB60" s="203"/>
      <c r="CC60" s="63"/>
      <c r="CE60" s="158"/>
      <c r="CF60" s="158"/>
      <c r="CG60" s="158"/>
      <c r="CH60" s="755"/>
      <c r="CI60" s="755"/>
      <c r="CJ60" s="755"/>
      <c r="CK60" s="148"/>
      <c r="CL60" s="148"/>
      <c r="CM60" s="755"/>
      <c r="CN60" s="148"/>
      <c r="CO60" s="148"/>
      <c r="CP60" s="1011" t="s">
        <v>273</v>
      </c>
      <c r="CQ60" s="1012"/>
      <c r="CR60" s="1012"/>
      <c r="CS60" s="1012"/>
      <c r="CT60" s="1013"/>
      <c r="CU60" s="1011" t="s">
        <v>274</v>
      </c>
      <c r="CV60" s="1012"/>
      <c r="CW60" s="1012"/>
      <c r="CX60" s="1012"/>
      <c r="CY60" s="1013"/>
      <c r="DB60" s="203"/>
      <c r="DC60" s="63"/>
      <c r="DE60" s="158"/>
      <c r="DF60" s="158"/>
      <c r="DG60" s="158"/>
      <c r="DH60" s="755"/>
      <c r="DI60" s="755"/>
      <c r="DJ60" s="755"/>
      <c r="DK60" s="148"/>
      <c r="DL60" s="148"/>
      <c r="DM60" s="755"/>
      <c r="DN60" s="148"/>
      <c r="DO60" s="148"/>
      <c r="DP60" s="1011" t="s">
        <v>273</v>
      </c>
      <c r="DQ60" s="1012"/>
      <c r="DR60" s="1012"/>
      <c r="DS60" s="1012"/>
      <c r="DT60" s="1013"/>
      <c r="DU60" s="1011" t="s">
        <v>274</v>
      </c>
      <c r="DV60" s="1012"/>
      <c r="DW60" s="1012"/>
      <c r="DX60" s="1012"/>
      <c r="DY60" s="1013"/>
    </row>
    <row r="61" spans="2:129" ht="51" x14ac:dyDescent="0.3">
      <c r="B61" s="204" t="s">
        <v>275</v>
      </c>
      <c r="C61" s="225" t="s">
        <v>276</v>
      </c>
      <c r="D61" s="205" t="s">
        <v>293</v>
      </c>
      <c r="E61" s="205" t="s">
        <v>294</v>
      </c>
      <c r="F61" s="205" t="s">
        <v>686</v>
      </c>
      <c r="G61" s="205" t="s">
        <v>687</v>
      </c>
      <c r="H61" s="171" t="s">
        <v>622</v>
      </c>
      <c r="I61" s="171" t="s">
        <v>591</v>
      </c>
      <c r="J61" s="171" t="s">
        <v>623</v>
      </c>
      <c r="K61" s="205" t="str">
        <f>'Arable NPV'!$G$141</f>
        <v>Total Variable Costs</v>
      </c>
      <c r="L61" s="205" t="str">
        <f>'Arable NPV'!$H$141</f>
        <v>Total Fixed Costs</v>
      </c>
      <c r="M61" s="171" t="s">
        <v>279</v>
      </c>
      <c r="N61" s="171" t="s">
        <v>624</v>
      </c>
      <c r="O61" s="171" t="s">
        <v>625</v>
      </c>
      <c r="P61" s="195" t="s">
        <v>280</v>
      </c>
      <c r="Q61" s="171" t="s">
        <v>626</v>
      </c>
      <c r="R61" s="171" t="s">
        <v>281</v>
      </c>
      <c r="S61" s="171" t="s">
        <v>627</v>
      </c>
      <c r="T61" s="198" t="s">
        <v>282</v>
      </c>
      <c r="U61" s="195" t="s">
        <v>283</v>
      </c>
      <c r="V61" s="171" t="s">
        <v>628</v>
      </c>
      <c r="W61" s="171" t="s">
        <v>284</v>
      </c>
      <c r="X61" s="171" t="s">
        <v>629</v>
      </c>
      <c r="Y61" s="198" t="s">
        <v>285</v>
      </c>
      <c r="AB61" s="204" t="s">
        <v>275</v>
      </c>
      <c r="AC61" s="225" t="s">
        <v>276</v>
      </c>
      <c r="AD61" s="205" t="s">
        <v>293</v>
      </c>
      <c r="AE61" s="205" t="s">
        <v>294</v>
      </c>
      <c r="AF61" s="205" t="s">
        <v>686</v>
      </c>
      <c r="AG61" s="205" t="s">
        <v>687</v>
      </c>
      <c r="AH61" s="171" t="s">
        <v>622</v>
      </c>
      <c r="AI61" s="171" t="s">
        <v>591</v>
      </c>
      <c r="AJ61" s="171" t="s">
        <v>623</v>
      </c>
      <c r="AK61" s="205" t="str">
        <f>'Arable NPV'!$G$141</f>
        <v>Total Variable Costs</v>
      </c>
      <c r="AL61" s="205" t="str">
        <f>'Arable NPV'!$H$141</f>
        <v>Total Fixed Costs</v>
      </c>
      <c r="AM61" s="171" t="s">
        <v>279</v>
      </c>
      <c r="AN61" s="171" t="s">
        <v>624</v>
      </c>
      <c r="AO61" s="171" t="s">
        <v>625</v>
      </c>
      <c r="AP61" s="195" t="s">
        <v>280</v>
      </c>
      <c r="AQ61" s="171" t="s">
        <v>626</v>
      </c>
      <c r="AR61" s="171" t="s">
        <v>281</v>
      </c>
      <c r="AS61" s="171" t="s">
        <v>627</v>
      </c>
      <c r="AT61" s="198" t="s">
        <v>282</v>
      </c>
      <c r="AU61" s="195" t="s">
        <v>283</v>
      </c>
      <c r="AV61" s="171" t="s">
        <v>628</v>
      </c>
      <c r="AW61" s="171" t="s">
        <v>284</v>
      </c>
      <c r="AX61" s="171" t="s">
        <v>629</v>
      </c>
      <c r="AY61" s="198" t="s">
        <v>285</v>
      </c>
      <c r="BB61" s="204" t="s">
        <v>275</v>
      </c>
      <c r="BC61" s="225" t="s">
        <v>276</v>
      </c>
      <c r="BD61" s="205" t="s">
        <v>293</v>
      </c>
      <c r="BE61" s="205" t="s">
        <v>294</v>
      </c>
      <c r="BF61" s="205" t="s">
        <v>686</v>
      </c>
      <c r="BG61" s="205" t="s">
        <v>687</v>
      </c>
      <c r="BH61" s="171" t="s">
        <v>622</v>
      </c>
      <c r="BI61" s="171" t="s">
        <v>591</v>
      </c>
      <c r="BJ61" s="171" t="s">
        <v>623</v>
      </c>
      <c r="BK61" s="205" t="str">
        <f>'Arable NPV'!$G$141</f>
        <v>Total Variable Costs</v>
      </c>
      <c r="BL61" s="205" t="str">
        <f>'Arable NPV'!$H$141</f>
        <v>Total Fixed Costs</v>
      </c>
      <c r="BM61" s="171" t="s">
        <v>279</v>
      </c>
      <c r="BN61" s="171" t="s">
        <v>624</v>
      </c>
      <c r="BO61" s="171" t="s">
        <v>625</v>
      </c>
      <c r="BP61" s="195" t="s">
        <v>280</v>
      </c>
      <c r="BQ61" s="171" t="s">
        <v>626</v>
      </c>
      <c r="BR61" s="171" t="s">
        <v>281</v>
      </c>
      <c r="BS61" s="171" t="s">
        <v>627</v>
      </c>
      <c r="BT61" s="198" t="s">
        <v>282</v>
      </c>
      <c r="BU61" s="195" t="s">
        <v>283</v>
      </c>
      <c r="BV61" s="171" t="s">
        <v>628</v>
      </c>
      <c r="BW61" s="171" t="s">
        <v>284</v>
      </c>
      <c r="BX61" s="171" t="s">
        <v>629</v>
      </c>
      <c r="BY61" s="198" t="s">
        <v>285</v>
      </c>
      <c r="CB61" s="204" t="s">
        <v>275</v>
      </c>
      <c r="CC61" s="225" t="s">
        <v>276</v>
      </c>
      <c r="CD61" s="205" t="s">
        <v>293</v>
      </c>
      <c r="CE61" s="205" t="s">
        <v>294</v>
      </c>
      <c r="CF61" s="205" t="s">
        <v>686</v>
      </c>
      <c r="CG61" s="205" t="s">
        <v>687</v>
      </c>
      <c r="CH61" s="171" t="s">
        <v>622</v>
      </c>
      <c r="CI61" s="171" t="s">
        <v>591</v>
      </c>
      <c r="CJ61" s="171" t="s">
        <v>623</v>
      </c>
      <c r="CK61" s="205" t="str">
        <f>'Arable NPV'!$G$141</f>
        <v>Total Variable Costs</v>
      </c>
      <c r="CL61" s="205" t="str">
        <f>'Arable NPV'!$H$141</f>
        <v>Total Fixed Costs</v>
      </c>
      <c r="CM61" s="171" t="s">
        <v>279</v>
      </c>
      <c r="CN61" s="171" t="s">
        <v>624</v>
      </c>
      <c r="CO61" s="171" t="s">
        <v>625</v>
      </c>
      <c r="CP61" s="195" t="s">
        <v>280</v>
      </c>
      <c r="CQ61" s="171" t="s">
        <v>626</v>
      </c>
      <c r="CR61" s="171" t="s">
        <v>281</v>
      </c>
      <c r="CS61" s="171" t="s">
        <v>627</v>
      </c>
      <c r="CT61" s="198" t="s">
        <v>282</v>
      </c>
      <c r="CU61" s="195" t="s">
        <v>283</v>
      </c>
      <c r="CV61" s="171" t="s">
        <v>628</v>
      </c>
      <c r="CW61" s="171" t="s">
        <v>284</v>
      </c>
      <c r="CX61" s="171" t="s">
        <v>629</v>
      </c>
      <c r="CY61" s="198" t="s">
        <v>285</v>
      </c>
      <c r="DB61" s="204" t="s">
        <v>275</v>
      </c>
      <c r="DC61" s="225" t="s">
        <v>276</v>
      </c>
      <c r="DD61" s="205" t="s">
        <v>293</v>
      </c>
      <c r="DE61" s="205" t="s">
        <v>294</v>
      </c>
      <c r="DF61" s="205" t="s">
        <v>686</v>
      </c>
      <c r="DG61" s="205" t="s">
        <v>687</v>
      </c>
      <c r="DH61" s="171" t="s">
        <v>622</v>
      </c>
      <c r="DI61" s="171" t="s">
        <v>591</v>
      </c>
      <c r="DJ61" s="171" t="s">
        <v>623</v>
      </c>
      <c r="DK61" s="205" t="str">
        <f>'Arable NPV'!$G$141</f>
        <v>Total Variable Costs</v>
      </c>
      <c r="DL61" s="205" t="str">
        <f>'Arable NPV'!$H$141</f>
        <v>Total Fixed Costs</v>
      </c>
      <c r="DM61" s="171" t="s">
        <v>279</v>
      </c>
      <c r="DN61" s="171" t="s">
        <v>624</v>
      </c>
      <c r="DO61" s="171" t="s">
        <v>625</v>
      </c>
      <c r="DP61" s="195" t="s">
        <v>280</v>
      </c>
      <c r="DQ61" s="171" t="s">
        <v>626</v>
      </c>
      <c r="DR61" s="171" t="s">
        <v>281</v>
      </c>
      <c r="DS61" s="171" t="s">
        <v>627</v>
      </c>
      <c r="DT61" s="198" t="s">
        <v>282</v>
      </c>
      <c r="DU61" s="195" t="s">
        <v>283</v>
      </c>
      <c r="DV61" s="171" t="s">
        <v>628</v>
      </c>
      <c r="DW61" s="171" t="s">
        <v>284</v>
      </c>
      <c r="DX61" s="171" t="s">
        <v>629</v>
      </c>
      <c r="DY61" s="198" t="s">
        <v>285</v>
      </c>
    </row>
    <row r="62" spans="2:129" x14ac:dyDescent="0.3">
      <c r="B62" s="173"/>
      <c r="C62" s="899"/>
      <c r="D62" s="226" t="s">
        <v>336</v>
      </c>
      <c r="E62" s="226" t="s">
        <v>573</v>
      </c>
      <c r="F62" s="226" t="s">
        <v>336</v>
      </c>
      <c r="G62" s="226" t="s">
        <v>573</v>
      </c>
      <c r="H62" s="201" t="s">
        <v>571</v>
      </c>
      <c r="I62" s="201" t="s">
        <v>571</v>
      </c>
      <c r="J62" s="201" t="s">
        <v>571</v>
      </c>
      <c r="K62" s="201" t="s">
        <v>571</v>
      </c>
      <c r="L62" s="201" t="s">
        <v>571</v>
      </c>
      <c r="M62" s="201" t="s">
        <v>571</v>
      </c>
      <c r="N62" s="201" t="s">
        <v>571</v>
      </c>
      <c r="O62" s="202" t="s">
        <v>571</v>
      </c>
      <c r="P62" s="201" t="s">
        <v>571</v>
      </c>
      <c r="Q62" s="201" t="s">
        <v>571</v>
      </c>
      <c r="R62" s="201" t="s">
        <v>571</v>
      </c>
      <c r="S62" s="201" t="s">
        <v>571</v>
      </c>
      <c r="T62" s="202" t="s">
        <v>571</v>
      </c>
      <c r="U62" s="201" t="s">
        <v>571</v>
      </c>
      <c r="V62" s="201" t="s">
        <v>571</v>
      </c>
      <c r="W62" s="201" t="s">
        <v>571</v>
      </c>
      <c r="X62" s="201" t="s">
        <v>571</v>
      </c>
      <c r="Y62" s="202" t="s">
        <v>571</v>
      </c>
      <c r="AB62" s="173"/>
      <c r="AC62" s="899"/>
      <c r="AD62" s="226" t="s">
        <v>336</v>
      </c>
      <c r="AE62" s="226" t="s">
        <v>573</v>
      </c>
      <c r="AF62" s="226" t="s">
        <v>336</v>
      </c>
      <c r="AG62" s="226" t="s">
        <v>573</v>
      </c>
      <c r="AH62" s="201" t="s">
        <v>571</v>
      </c>
      <c r="AI62" s="201" t="s">
        <v>571</v>
      </c>
      <c r="AJ62" s="201" t="s">
        <v>571</v>
      </c>
      <c r="AK62" s="201" t="s">
        <v>571</v>
      </c>
      <c r="AL62" s="201" t="s">
        <v>571</v>
      </c>
      <c r="AM62" s="201" t="s">
        <v>571</v>
      </c>
      <c r="AN62" s="201" t="s">
        <v>571</v>
      </c>
      <c r="AO62" s="202" t="s">
        <v>571</v>
      </c>
      <c r="AP62" s="201" t="s">
        <v>571</v>
      </c>
      <c r="AQ62" s="201" t="s">
        <v>571</v>
      </c>
      <c r="AR62" s="201" t="s">
        <v>571</v>
      </c>
      <c r="AS62" s="201" t="s">
        <v>571</v>
      </c>
      <c r="AT62" s="202" t="s">
        <v>571</v>
      </c>
      <c r="AU62" s="201" t="s">
        <v>571</v>
      </c>
      <c r="AV62" s="201" t="s">
        <v>571</v>
      </c>
      <c r="AW62" s="201" t="s">
        <v>571</v>
      </c>
      <c r="AX62" s="201" t="s">
        <v>571</v>
      </c>
      <c r="AY62" s="202" t="s">
        <v>571</v>
      </c>
      <c r="BB62" s="173"/>
      <c r="BC62" s="899"/>
      <c r="BD62" s="226" t="s">
        <v>336</v>
      </c>
      <c r="BE62" s="226" t="s">
        <v>573</v>
      </c>
      <c r="BF62" s="226" t="s">
        <v>336</v>
      </c>
      <c r="BG62" s="226" t="s">
        <v>573</v>
      </c>
      <c r="BH62" s="201" t="s">
        <v>571</v>
      </c>
      <c r="BI62" s="201" t="s">
        <v>571</v>
      </c>
      <c r="BJ62" s="201" t="s">
        <v>571</v>
      </c>
      <c r="BK62" s="201" t="s">
        <v>571</v>
      </c>
      <c r="BL62" s="201" t="s">
        <v>571</v>
      </c>
      <c r="BM62" s="201" t="s">
        <v>571</v>
      </c>
      <c r="BN62" s="201" t="s">
        <v>571</v>
      </c>
      <c r="BO62" s="202" t="s">
        <v>571</v>
      </c>
      <c r="BP62" s="201" t="s">
        <v>571</v>
      </c>
      <c r="BQ62" s="201" t="s">
        <v>571</v>
      </c>
      <c r="BR62" s="201" t="s">
        <v>571</v>
      </c>
      <c r="BS62" s="201" t="s">
        <v>571</v>
      </c>
      <c r="BT62" s="202" t="s">
        <v>571</v>
      </c>
      <c r="BU62" s="201" t="s">
        <v>571</v>
      </c>
      <c r="BV62" s="201" t="s">
        <v>571</v>
      </c>
      <c r="BW62" s="201" t="s">
        <v>571</v>
      </c>
      <c r="BX62" s="201" t="s">
        <v>571</v>
      </c>
      <c r="BY62" s="202" t="s">
        <v>571</v>
      </c>
      <c r="CB62" s="173"/>
      <c r="CC62" s="899"/>
      <c r="CD62" s="226" t="s">
        <v>336</v>
      </c>
      <c r="CE62" s="226" t="s">
        <v>573</v>
      </c>
      <c r="CF62" s="226" t="s">
        <v>336</v>
      </c>
      <c r="CG62" s="226" t="s">
        <v>573</v>
      </c>
      <c r="CH62" s="201" t="s">
        <v>571</v>
      </c>
      <c r="CI62" s="201" t="s">
        <v>571</v>
      </c>
      <c r="CJ62" s="201" t="s">
        <v>571</v>
      </c>
      <c r="CK62" s="201" t="s">
        <v>571</v>
      </c>
      <c r="CL62" s="201" t="s">
        <v>571</v>
      </c>
      <c r="CM62" s="201" t="s">
        <v>571</v>
      </c>
      <c r="CN62" s="201" t="s">
        <v>571</v>
      </c>
      <c r="CO62" s="202" t="s">
        <v>571</v>
      </c>
      <c r="CP62" s="201" t="s">
        <v>571</v>
      </c>
      <c r="CQ62" s="201" t="s">
        <v>571</v>
      </c>
      <c r="CR62" s="201" t="s">
        <v>571</v>
      </c>
      <c r="CS62" s="201" t="s">
        <v>571</v>
      </c>
      <c r="CT62" s="202" t="s">
        <v>571</v>
      </c>
      <c r="CU62" s="201" t="s">
        <v>571</v>
      </c>
      <c r="CV62" s="201" t="s">
        <v>571</v>
      </c>
      <c r="CW62" s="201" t="s">
        <v>571</v>
      </c>
      <c r="CX62" s="201" t="s">
        <v>571</v>
      </c>
      <c r="CY62" s="202" t="s">
        <v>571</v>
      </c>
      <c r="DB62" s="173"/>
      <c r="DC62" s="899"/>
      <c r="DD62" s="226" t="s">
        <v>336</v>
      </c>
      <c r="DE62" s="226" t="s">
        <v>573</v>
      </c>
      <c r="DF62" s="226" t="s">
        <v>336</v>
      </c>
      <c r="DG62" s="226" t="s">
        <v>573</v>
      </c>
      <c r="DH62" s="201" t="s">
        <v>571</v>
      </c>
      <c r="DI62" s="201" t="s">
        <v>571</v>
      </c>
      <c r="DJ62" s="201" t="s">
        <v>571</v>
      </c>
      <c r="DK62" s="201" t="s">
        <v>571</v>
      </c>
      <c r="DL62" s="201" t="s">
        <v>571</v>
      </c>
      <c r="DM62" s="201" t="s">
        <v>571</v>
      </c>
      <c r="DN62" s="201" t="s">
        <v>571</v>
      </c>
      <c r="DO62" s="202" t="s">
        <v>571</v>
      </c>
      <c r="DP62" s="201" t="s">
        <v>571</v>
      </c>
      <c r="DQ62" s="201" t="s">
        <v>571</v>
      </c>
      <c r="DR62" s="201" t="s">
        <v>571</v>
      </c>
      <c r="DS62" s="201" t="s">
        <v>571</v>
      </c>
      <c r="DT62" s="202" t="s">
        <v>571</v>
      </c>
      <c r="DU62" s="201" t="s">
        <v>571</v>
      </c>
      <c r="DV62" s="201" t="s">
        <v>571</v>
      </c>
      <c r="DW62" s="201" t="s">
        <v>571</v>
      </c>
      <c r="DX62" s="201" t="s">
        <v>571</v>
      </c>
      <c r="DY62" s="202" t="s">
        <v>571</v>
      </c>
    </row>
    <row r="63" spans="2:129" x14ac:dyDescent="0.3">
      <c r="B63" s="894">
        <v>1</v>
      </c>
      <c r="C63" s="897" t="s">
        <v>4</v>
      </c>
      <c r="D63" s="757">
        <f>'Arable Inputs'!$D$18</f>
        <v>4.5999999999999996</v>
      </c>
      <c r="E63" s="757">
        <f>'Arable Inputs'!$D$25</f>
        <v>867</v>
      </c>
      <c r="F63" s="757">
        <f>'Arable Inputs'!$D$19</f>
        <v>4.9000000000000004</v>
      </c>
      <c r="G63" s="757">
        <f>'Arable Inputs'!$D$26</f>
        <v>140</v>
      </c>
      <c r="H63" s="759">
        <f>D63*E63+F63*G63</f>
        <v>4674.2</v>
      </c>
      <c r="I63" s="197">
        <f>'Arable NPV'!$E143</f>
        <v>471.64</v>
      </c>
      <c r="J63" s="197">
        <f>H63+I63</f>
        <v>5145.84</v>
      </c>
      <c r="K63" s="197">
        <f>'Arable NPV'!$G143</f>
        <v>2731.3292000000006</v>
      </c>
      <c r="L63" s="197">
        <f>'Arable NPV'!$H143</f>
        <v>4055.6064000000006</v>
      </c>
      <c r="M63" s="197">
        <f>K63+L63</f>
        <v>6786.9356000000007</v>
      </c>
      <c r="N63" s="197">
        <f>H63-M63</f>
        <v>-2112.7356000000009</v>
      </c>
      <c r="O63" s="197">
        <f>J63-M63</f>
        <v>-1641.0956000000006</v>
      </c>
      <c r="P63" s="1014">
        <f t="shared" ref="P63:P78" si="156">H63/(1+$B$4)^(B63-1)</f>
        <v>4674.2</v>
      </c>
      <c r="Q63" s="213">
        <f t="shared" ref="Q63:Q78" si="157">I63/(1+$B$4)^(B63-1)</f>
        <v>471.64</v>
      </c>
      <c r="R63" s="213">
        <f t="shared" ref="R63:R78" si="158">M63/(1+$B$4)^(B63-1)</f>
        <v>6786.9356000000007</v>
      </c>
      <c r="S63" s="213">
        <f t="shared" ref="S63:S78" si="159">N63/(1+$B$4)^(B63-1)</f>
        <v>-2112.7356000000009</v>
      </c>
      <c r="T63" s="924">
        <f t="shared" ref="T63:T78" si="160">O63/(1+$B$4)^(B63-1)</f>
        <v>-1641.0956000000006</v>
      </c>
      <c r="U63" s="196">
        <f>P63</f>
        <v>4674.2</v>
      </c>
      <c r="V63" s="197">
        <f>Q63</f>
        <v>471.64</v>
      </c>
      <c r="W63" s="197">
        <f>R63</f>
        <v>6786.9356000000007</v>
      </c>
      <c r="X63" s="197">
        <f>S63</f>
        <v>-2112.7356000000009</v>
      </c>
      <c r="Y63" s="199">
        <f>T63</f>
        <v>-1641.0956000000006</v>
      </c>
      <c r="AB63" s="894">
        <v>1</v>
      </c>
      <c r="AC63" s="897" t="s">
        <v>4</v>
      </c>
      <c r="AD63" s="757">
        <f>'Arable Inputs'!$D$18</f>
        <v>4.5999999999999996</v>
      </c>
      <c r="AE63" s="757">
        <f>'Arable Inputs'!$D$25+0.5*'Arable Inputs'!$D$25</f>
        <v>1300.5</v>
      </c>
      <c r="AF63" s="757">
        <f>'Arable Inputs'!$D$19</f>
        <v>4.9000000000000004</v>
      </c>
      <c r="AG63" s="757">
        <f>'Arable Inputs'!$D$26+0.5*'Arable Inputs'!$D$26</f>
        <v>210</v>
      </c>
      <c r="AH63" s="759">
        <f>AD63*AE63+AF63*AG63</f>
        <v>7011.2999999999993</v>
      </c>
      <c r="AI63" s="197">
        <f>'Arable NPV'!$E143</f>
        <v>471.64</v>
      </c>
      <c r="AJ63" s="197">
        <f>AH63+AI63</f>
        <v>7482.94</v>
      </c>
      <c r="AK63" s="197">
        <f>'Arable NPV'!$G143</f>
        <v>2731.3292000000006</v>
      </c>
      <c r="AL63" s="197">
        <f>'Arable NPV'!$H143</f>
        <v>4055.6064000000006</v>
      </c>
      <c r="AM63" s="197">
        <f>AK63+AL63</f>
        <v>6786.9356000000007</v>
      </c>
      <c r="AN63" s="197">
        <f>AH63-AM63</f>
        <v>224.36439999999857</v>
      </c>
      <c r="AO63" s="197">
        <f>AJ63-AM63</f>
        <v>696.0043999999989</v>
      </c>
      <c r="AP63" s="1014">
        <f t="shared" ref="AP63:AP78" si="161">AH63/(1+$B$4)^(AB63-1)</f>
        <v>7011.2999999999993</v>
      </c>
      <c r="AQ63" s="213">
        <f t="shared" ref="AQ63:AQ78" si="162">AI63/(1+$B$4)^(AB63-1)</f>
        <v>471.64</v>
      </c>
      <c r="AR63" s="213">
        <f t="shared" ref="AR63:AR78" si="163">AM63/(1+$B$4)^(AB63-1)</f>
        <v>6786.9356000000007</v>
      </c>
      <c r="AS63" s="213">
        <f t="shared" ref="AS63:AS78" si="164">AN63/(1+$B$4)^(AB63-1)</f>
        <v>224.36439999999857</v>
      </c>
      <c r="AT63" s="924">
        <f t="shared" ref="AT63:AT78" si="165">AO63/(1+$B$4)^(AB63-1)</f>
        <v>696.0043999999989</v>
      </c>
      <c r="AU63" s="196">
        <f>AP63</f>
        <v>7011.2999999999993</v>
      </c>
      <c r="AV63" s="197">
        <f>AQ63</f>
        <v>471.64</v>
      </c>
      <c r="AW63" s="197">
        <f>AR63</f>
        <v>6786.9356000000007</v>
      </c>
      <c r="AX63" s="197">
        <f>AS63</f>
        <v>224.36439999999857</v>
      </c>
      <c r="AY63" s="199">
        <f>AT63</f>
        <v>696.0043999999989</v>
      </c>
      <c r="BB63" s="894">
        <v>1</v>
      </c>
      <c r="BC63" s="897" t="s">
        <v>4</v>
      </c>
      <c r="BD63" s="757">
        <f>'Arable Inputs'!$D$18</f>
        <v>4.5999999999999996</v>
      </c>
      <c r="BE63" s="757">
        <f>'Arable Inputs'!$D$25-0.5*'Arable Inputs'!$D$25</f>
        <v>433.5</v>
      </c>
      <c r="BF63" s="757">
        <f>'Arable Inputs'!$D$19</f>
        <v>4.9000000000000004</v>
      </c>
      <c r="BG63" s="757">
        <f>'Arable Inputs'!$D$26-0.5*'Arable Inputs'!$D$26</f>
        <v>70</v>
      </c>
      <c r="BH63" s="759">
        <f>BD63*BE63+BF63*BG63</f>
        <v>2337.1</v>
      </c>
      <c r="BI63" s="197">
        <f>'Arable NPV'!$E143</f>
        <v>471.64</v>
      </c>
      <c r="BJ63" s="197">
        <f>BH63+BI63</f>
        <v>2808.74</v>
      </c>
      <c r="BK63" s="197">
        <f>'Arable NPV'!$G143</f>
        <v>2731.3292000000006</v>
      </c>
      <c r="BL63" s="197">
        <f>'Arable NPV'!$H143</f>
        <v>4055.6064000000006</v>
      </c>
      <c r="BM63" s="197">
        <f>BK63+BL63</f>
        <v>6786.9356000000007</v>
      </c>
      <c r="BN63" s="197">
        <f>BH63-BM63</f>
        <v>-4449.8356000000003</v>
      </c>
      <c r="BO63" s="197">
        <f>BJ63-BM63</f>
        <v>-3978.1956000000009</v>
      </c>
      <c r="BP63" s="1014">
        <f t="shared" ref="BP63:BP78" si="166">BH63/(1+$B$4)^(BB63-1)</f>
        <v>2337.1</v>
      </c>
      <c r="BQ63" s="213">
        <f t="shared" ref="BQ63:BQ78" si="167">BI63/(1+$B$4)^(BB63-1)</f>
        <v>471.64</v>
      </c>
      <c r="BR63" s="213">
        <f t="shared" ref="BR63:BR78" si="168">BM63/(1+$B$4)^(BB63-1)</f>
        <v>6786.9356000000007</v>
      </c>
      <c r="BS63" s="213">
        <f t="shared" ref="BS63:BS78" si="169">BN63/(1+$B$4)^(BB63-1)</f>
        <v>-4449.8356000000003</v>
      </c>
      <c r="BT63" s="924">
        <f t="shared" ref="BT63:BT78" si="170">BO63/(1+$B$4)^(BB63-1)</f>
        <v>-3978.1956000000009</v>
      </c>
      <c r="BU63" s="196">
        <f>BP63</f>
        <v>2337.1</v>
      </c>
      <c r="BV63" s="197">
        <f>BQ63</f>
        <v>471.64</v>
      </c>
      <c r="BW63" s="197">
        <f>BR63</f>
        <v>6786.9356000000007</v>
      </c>
      <c r="BX63" s="197">
        <f>BS63</f>
        <v>-4449.8356000000003</v>
      </c>
      <c r="BY63" s="199">
        <f>BT63</f>
        <v>-3978.1956000000009</v>
      </c>
      <c r="CB63" s="894">
        <v>1</v>
      </c>
      <c r="CC63" s="897" t="s">
        <v>4</v>
      </c>
      <c r="CD63" s="757">
        <f>'Arable Inputs'!$D$18</f>
        <v>4.5999999999999996</v>
      </c>
      <c r="CE63" s="757">
        <f>'Arable Inputs'!$D$25+'Arable Inputs'!$D$25</f>
        <v>1734</v>
      </c>
      <c r="CF63" s="757">
        <f>'Arable Inputs'!$D$19</f>
        <v>4.9000000000000004</v>
      </c>
      <c r="CG63" s="757">
        <f>'Arable Inputs'!$D$26+'Arable Inputs'!$D$26</f>
        <v>280</v>
      </c>
      <c r="CH63" s="759">
        <f>CD63*CE63+CF63*CG63</f>
        <v>9348.4</v>
      </c>
      <c r="CI63" s="197">
        <f>'Arable NPV'!$E143</f>
        <v>471.64</v>
      </c>
      <c r="CJ63" s="197">
        <f>CH63+CI63</f>
        <v>9820.0399999999991</v>
      </c>
      <c r="CK63" s="197">
        <f>'Arable NPV'!$G143</f>
        <v>2731.3292000000006</v>
      </c>
      <c r="CL63" s="197">
        <f>'Arable NPV'!$H143</f>
        <v>4055.6064000000006</v>
      </c>
      <c r="CM63" s="197">
        <f>CK63+CL63</f>
        <v>6786.9356000000007</v>
      </c>
      <c r="CN63" s="197">
        <f>CH63-CM63</f>
        <v>2561.4643999999989</v>
      </c>
      <c r="CO63" s="197">
        <f>CJ63-CM63</f>
        <v>3033.1043999999983</v>
      </c>
      <c r="CP63" s="1014">
        <f t="shared" ref="CP63:CP78" si="171">CH63/(1+$B$4)^(CB63-1)</f>
        <v>9348.4</v>
      </c>
      <c r="CQ63" s="213">
        <f t="shared" ref="CQ63:CQ78" si="172">CI63/(1+$B$4)^(CB63-1)</f>
        <v>471.64</v>
      </c>
      <c r="CR63" s="213">
        <f t="shared" ref="CR63:CR78" si="173">CM63/(1+$B$4)^(CB63-1)</f>
        <v>6786.9356000000007</v>
      </c>
      <c r="CS63" s="213">
        <f t="shared" ref="CS63:CS78" si="174">CN63/(1+$B$4)^(CB63-1)</f>
        <v>2561.4643999999989</v>
      </c>
      <c r="CT63" s="924">
        <f t="shared" ref="CT63:CT78" si="175">CO63/(1+$B$4)^(CB63-1)</f>
        <v>3033.1043999999983</v>
      </c>
      <c r="CU63" s="196">
        <f>CP63</f>
        <v>9348.4</v>
      </c>
      <c r="CV63" s="197">
        <f>CQ63</f>
        <v>471.64</v>
      </c>
      <c r="CW63" s="197">
        <f>CR63</f>
        <v>6786.9356000000007</v>
      </c>
      <c r="CX63" s="197">
        <f>CS63</f>
        <v>2561.4643999999989</v>
      </c>
      <c r="CY63" s="199">
        <f>CT63</f>
        <v>3033.1043999999983</v>
      </c>
      <c r="DB63" s="204">
        <v>1</v>
      </c>
      <c r="DC63" s="897" t="s">
        <v>4</v>
      </c>
      <c r="DD63" s="757">
        <f>'Arable Inputs'!$D$18</f>
        <v>4.5999999999999996</v>
      </c>
      <c r="DE63" s="757">
        <f>'Arable Inputs'!$D$25-'Arable Inputs'!$D$25</f>
        <v>0</v>
      </c>
      <c r="DF63" s="757">
        <f>'Arable Inputs'!$D$19</f>
        <v>4.9000000000000004</v>
      </c>
      <c r="DG63" s="757">
        <f>'Arable Inputs'!$D$26-'Arable Inputs'!$D$26</f>
        <v>0</v>
      </c>
      <c r="DH63" s="759">
        <f>DD63*DE63+DF63*DG63</f>
        <v>0</v>
      </c>
      <c r="DI63" s="197">
        <f>'Arable NPV'!$E143</f>
        <v>471.64</v>
      </c>
      <c r="DJ63" s="197">
        <f>DH63+DI63</f>
        <v>471.64</v>
      </c>
      <c r="DK63" s="197">
        <f>'Arable NPV'!$G143</f>
        <v>2731.3292000000006</v>
      </c>
      <c r="DL63" s="197">
        <f>'Arable NPV'!$H143</f>
        <v>4055.6064000000006</v>
      </c>
      <c r="DM63" s="197">
        <f>DK63+DL63</f>
        <v>6786.9356000000007</v>
      </c>
      <c r="DN63" s="197">
        <f>DH63-DM63</f>
        <v>-6786.9356000000007</v>
      </c>
      <c r="DO63" s="197">
        <f>DJ63-DM63</f>
        <v>-6315.2956000000004</v>
      </c>
      <c r="DP63" s="1014">
        <f t="shared" ref="DP63:DP78" si="176">DH63/(1+$B$4)^(DB63-1)</f>
        <v>0</v>
      </c>
      <c r="DQ63" s="213">
        <f t="shared" ref="DQ63:DQ78" si="177">DI63/(1+$B$4)^(DB63-1)</f>
        <v>471.64</v>
      </c>
      <c r="DR63" s="213">
        <f t="shared" ref="DR63:DR78" si="178">DM63/(1+$B$4)^(DB63-1)</f>
        <v>6786.9356000000007</v>
      </c>
      <c r="DS63" s="213">
        <f t="shared" ref="DS63:DS78" si="179">DN63/(1+$B$4)^(DB63-1)</f>
        <v>-6786.9356000000007</v>
      </c>
      <c r="DT63" s="924">
        <f t="shared" ref="DT63:DT78" si="180">DO63/(1+$B$4)^(DB63-1)</f>
        <v>-6315.2956000000004</v>
      </c>
      <c r="DU63" s="196">
        <f>DP63</f>
        <v>0</v>
      </c>
      <c r="DV63" s="197">
        <f>DQ63</f>
        <v>471.64</v>
      </c>
      <c r="DW63" s="197">
        <f>DR63</f>
        <v>6786.9356000000007</v>
      </c>
      <c r="DX63" s="197">
        <f>DS63</f>
        <v>-6786.9356000000007</v>
      </c>
      <c r="DY63" s="199">
        <f>DT63</f>
        <v>-6315.2956000000004</v>
      </c>
    </row>
    <row r="64" spans="2:129" x14ac:dyDescent="0.3">
      <c r="B64" s="895">
        <v>2</v>
      </c>
      <c r="C64" s="897" t="s">
        <v>6</v>
      </c>
      <c r="D64" s="757">
        <f>'Arable Inputs'!$G$18</f>
        <v>56.8</v>
      </c>
      <c r="E64" s="757">
        <f>'Arable Inputs'!$G$25</f>
        <v>120</v>
      </c>
      <c r="F64" s="757"/>
      <c r="G64" s="757"/>
      <c r="H64" s="759">
        <f>D64*E64</f>
        <v>6816</v>
      </c>
      <c r="I64" s="197">
        <f>'Arable NPV'!$E144</f>
        <v>471.64</v>
      </c>
      <c r="J64" s="197">
        <f t="shared" ref="J64:J78" si="181">H64+I64</f>
        <v>7287.64</v>
      </c>
      <c r="K64" s="197">
        <f>'Arable NPV'!$G144</f>
        <v>3648.3062999999997</v>
      </c>
      <c r="L64" s="197">
        <f>'Arable NPV'!$H144</f>
        <v>3375.8132000000005</v>
      </c>
      <c r="M64" s="197">
        <f t="shared" ref="M64:M78" si="182">K64+L64</f>
        <v>7024.1195000000007</v>
      </c>
      <c r="N64" s="197">
        <f t="shared" ref="N64:N78" si="183">H64-M64</f>
        <v>-208.1195000000007</v>
      </c>
      <c r="O64" s="197">
        <f t="shared" ref="O64:O78" si="184">J64-M64</f>
        <v>263.52049999999963</v>
      </c>
      <c r="P64" s="196">
        <f t="shared" si="156"/>
        <v>6553.8461538461534</v>
      </c>
      <c r="Q64" s="197">
        <f t="shared" si="157"/>
        <v>453.49999999999994</v>
      </c>
      <c r="R64" s="197">
        <f t="shared" si="158"/>
        <v>6753.9610576923078</v>
      </c>
      <c r="S64" s="197">
        <f t="shared" si="159"/>
        <v>-200.1149038461545</v>
      </c>
      <c r="T64" s="199">
        <f t="shared" si="160"/>
        <v>253.38509615384578</v>
      </c>
      <c r="U64" s="196">
        <f t="shared" ref="U64:U78" si="185">U63+P64</f>
        <v>11228.046153846153</v>
      </c>
      <c r="V64" s="197">
        <f t="shared" ref="V64:V78" si="186">V63+Q64</f>
        <v>925.13999999999987</v>
      </c>
      <c r="W64" s="197">
        <f t="shared" ref="W64:W78" si="187">W63+R64</f>
        <v>13540.896657692309</v>
      </c>
      <c r="X64" s="197">
        <f t="shared" ref="X64:X78" si="188">X63+S64</f>
        <v>-2312.8505038461553</v>
      </c>
      <c r="Y64" s="199">
        <f t="shared" ref="Y64:Y78" si="189">Y63+T64</f>
        <v>-1387.7105038461548</v>
      </c>
      <c r="AB64" s="895">
        <v>2</v>
      </c>
      <c r="AC64" s="897" t="s">
        <v>6</v>
      </c>
      <c r="AD64" s="757">
        <f>'Arable Inputs'!$G$18</f>
        <v>56.8</v>
      </c>
      <c r="AE64" s="757">
        <f>'Arable Inputs'!$G$25+0.5*'Arable Inputs'!$G$25</f>
        <v>180</v>
      </c>
      <c r="AF64" s="757"/>
      <c r="AG64" s="757"/>
      <c r="AH64" s="759">
        <f>AD64*AE64</f>
        <v>10224</v>
      </c>
      <c r="AI64" s="197">
        <f>'Arable NPV'!$E144</f>
        <v>471.64</v>
      </c>
      <c r="AJ64" s="197">
        <f t="shared" ref="AJ64:AJ78" si="190">AH64+AI64</f>
        <v>10695.64</v>
      </c>
      <c r="AK64" s="197">
        <f>'Arable NPV'!$G144</f>
        <v>3648.3062999999997</v>
      </c>
      <c r="AL64" s="197">
        <f>'Arable NPV'!$H144</f>
        <v>3375.8132000000005</v>
      </c>
      <c r="AM64" s="197">
        <f t="shared" ref="AM64:AM78" si="191">AK64+AL64</f>
        <v>7024.1195000000007</v>
      </c>
      <c r="AN64" s="197">
        <f t="shared" ref="AN64:AN78" si="192">AH64-AM64</f>
        <v>3199.8804999999993</v>
      </c>
      <c r="AO64" s="197">
        <f t="shared" ref="AO64:AO78" si="193">AJ64-AM64</f>
        <v>3671.5204999999987</v>
      </c>
      <c r="AP64" s="196">
        <f t="shared" si="161"/>
        <v>9830.7692307692305</v>
      </c>
      <c r="AQ64" s="197">
        <f t="shared" si="162"/>
        <v>453.49999999999994</v>
      </c>
      <c r="AR64" s="197">
        <f t="shared" si="163"/>
        <v>6753.9610576923078</v>
      </c>
      <c r="AS64" s="197">
        <f t="shared" si="164"/>
        <v>3076.8081730769222</v>
      </c>
      <c r="AT64" s="199">
        <f t="shared" si="165"/>
        <v>3530.3081730769218</v>
      </c>
      <c r="AU64" s="196">
        <f t="shared" ref="AU64:AU78" si="194">AU63+AP64</f>
        <v>16842.06923076923</v>
      </c>
      <c r="AV64" s="197">
        <f t="shared" ref="AV64:AV78" si="195">AV63+AQ64</f>
        <v>925.13999999999987</v>
      </c>
      <c r="AW64" s="197">
        <f t="shared" ref="AW64:AW78" si="196">AW63+AR64</f>
        <v>13540.896657692309</v>
      </c>
      <c r="AX64" s="197">
        <f t="shared" ref="AX64:AX78" si="197">AX63+AS64</f>
        <v>3301.1725730769208</v>
      </c>
      <c r="AY64" s="199">
        <f t="shared" ref="AY64:AY78" si="198">AY63+AT64</f>
        <v>4226.3125730769207</v>
      </c>
      <c r="BB64" s="895">
        <v>2</v>
      </c>
      <c r="BC64" s="897" t="s">
        <v>6</v>
      </c>
      <c r="BD64" s="757">
        <f>'Arable Inputs'!$G$18</f>
        <v>56.8</v>
      </c>
      <c r="BE64" s="757">
        <f>'Arable Inputs'!$G$25-0.5*'Arable Inputs'!$G$25</f>
        <v>60</v>
      </c>
      <c r="BF64" s="757"/>
      <c r="BG64" s="757"/>
      <c r="BH64" s="759">
        <f>BD64*BE64</f>
        <v>3408</v>
      </c>
      <c r="BI64" s="197">
        <f>'Arable NPV'!$E144</f>
        <v>471.64</v>
      </c>
      <c r="BJ64" s="197">
        <f t="shared" ref="BJ64:BJ78" si="199">BH64+BI64</f>
        <v>3879.64</v>
      </c>
      <c r="BK64" s="197">
        <f>'Arable NPV'!$G144</f>
        <v>3648.3062999999997</v>
      </c>
      <c r="BL64" s="197">
        <f>'Arable NPV'!$H144</f>
        <v>3375.8132000000005</v>
      </c>
      <c r="BM64" s="197">
        <f t="shared" ref="BM64:BM77" si="200">BK64+BL64</f>
        <v>7024.1195000000007</v>
      </c>
      <c r="BN64" s="197">
        <f t="shared" ref="BN64:BN78" si="201">BH64-BM64</f>
        <v>-3616.1195000000007</v>
      </c>
      <c r="BO64" s="197">
        <f t="shared" ref="BO64:BO78" si="202">BJ64-BM64</f>
        <v>-3144.4795000000008</v>
      </c>
      <c r="BP64" s="196">
        <f t="shared" si="166"/>
        <v>3276.9230769230767</v>
      </c>
      <c r="BQ64" s="197">
        <f t="shared" si="167"/>
        <v>453.49999999999994</v>
      </c>
      <c r="BR64" s="197">
        <f t="shared" si="168"/>
        <v>6753.9610576923078</v>
      </c>
      <c r="BS64" s="197">
        <f t="shared" si="169"/>
        <v>-3477.0379807692311</v>
      </c>
      <c r="BT64" s="199">
        <f t="shared" si="170"/>
        <v>-3023.5379807692316</v>
      </c>
      <c r="BU64" s="196">
        <f t="shared" ref="BU64:BU78" si="203">BU63+BP64</f>
        <v>5614.0230769230766</v>
      </c>
      <c r="BV64" s="197">
        <f t="shared" ref="BV64:BV78" si="204">BV63+BQ64</f>
        <v>925.13999999999987</v>
      </c>
      <c r="BW64" s="197">
        <f t="shared" ref="BW64:BW78" si="205">BW63+BR64</f>
        <v>13540.896657692309</v>
      </c>
      <c r="BX64" s="197">
        <f t="shared" ref="BX64:BX78" si="206">BX63+BS64</f>
        <v>-7926.8735807692319</v>
      </c>
      <c r="BY64" s="199">
        <f t="shared" ref="BY64:BY78" si="207">BY63+BT64</f>
        <v>-7001.7335807692325</v>
      </c>
      <c r="CB64" s="895">
        <v>2</v>
      </c>
      <c r="CC64" s="897" t="s">
        <v>6</v>
      </c>
      <c r="CD64" s="757">
        <f>'Arable Inputs'!$G$18</f>
        <v>56.8</v>
      </c>
      <c r="CE64" s="757">
        <f>'Arable Inputs'!$G$25+'Arable Inputs'!$G$25</f>
        <v>240</v>
      </c>
      <c r="CF64" s="757"/>
      <c r="CG64" s="757"/>
      <c r="CH64" s="759">
        <f>CD64*CE64</f>
        <v>13632</v>
      </c>
      <c r="CI64" s="197">
        <f>'Arable NPV'!$E144</f>
        <v>471.64</v>
      </c>
      <c r="CJ64" s="197">
        <f t="shared" ref="CJ64:CJ78" si="208">CH64+CI64</f>
        <v>14103.64</v>
      </c>
      <c r="CK64" s="197">
        <f>'Arable NPV'!$G144</f>
        <v>3648.3062999999997</v>
      </c>
      <c r="CL64" s="197">
        <f>'Arable NPV'!$H144</f>
        <v>3375.8132000000005</v>
      </c>
      <c r="CM64" s="197">
        <f t="shared" ref="CM64:CM78" si="209">CK64+CL64</f>
        <v>7024.1195000000007</v>
      </c>
      <c r="CN64" s="197">
        <f t="shared" ref="CN64:CN78" si="210">CH64-CM64</f>
        <v>6607.8804999999993</v>
      </c>
      <c r="CO64" s="197">
        <f t="shared" ref="CO64:CO78" si="211">CJ64-CM64</f>
        <v>7079.5204999999987</v>
      </c>
      <c r="CP64" s="196">
        <f t="shared" si="171"/>
        <v>13107.692307692307</v>
      </c>
      <c r="CQ64" s="197">
        <f t="shared" si="172"/>
        <v>453.49999999999994</v>
      </c>
      <c r="CR64" s="197">
        <f t="shared" si="173"/>
        <v>6753.9610576923078</v>
      </c>
      <c r="CS64" s="197">
        <f t="shared" si="174"/>
        <v>6353.7312499999989</v>
      </c>
      <c r="CT64" s="199">
        <f t="shared" si="175"/>
        <v>6807.2312499999989</v>
      </c>
      <c r="CU64" s="196">
        <f t="shared" ref="CU64:CU78" si="212">CU63+CP64</f>
        <v>22456.092307692306</v>
      </c>
      <c r="CV64" s="197">
        <f t="shared" ref="CV64:CV78" si="213">CV63+CQ64</f>
        <v>925.13999999999987</v>
      </c>
      <c r="CW64" s="197">
        <f t="shared" ref="CW64:CW78" si="214">CW63+CR64</f>
        <v>13540.896657692309</v>
      </c>
      <c r="CX64" s="197">
        <f t="shared" ref="CX64:CX78" si="215">CX63+CS64</f>
        <v>8915.1956499999978</v>
      </c>
      <c r="CY64" s="199">
        <f t="shared" ref="CY64:CY78" si="216">CY63+CT64</f>
        <v>9840.3356499999973</v>
      </c>
      <c r="DB64" s="204">
        <v>2</v>
      </c>
      <c r="DC64" s="897" t="s">
        <v>6</v>
      </c>
      <c r="DD64" s="757">
        <f>'Arable Inputs'!$G$18</f>
        <v>56.8</v>
      </c>
      <c r="DE64" s="757">
        <f>'Arable Inputs'!$G$25-'Arable Inputs'!$G$25</f>
        <v>0</v>
      </c>
      <c r="DF64" s="757"/>
      <c r="DG64" s="757"/>
      <c r="DH64" s="759">
        <f>DD64*DE64</f>
        <v>0</v>
      </c>
      <c r="DI64" s="197">
        <f>'Arable NPV'!$E144</f>
        <v>471.64</v>
      </c>
      <c r="DJ64" s="197">
        <f t="shared" ref="DJ64:DJ78" si="217">DH64+DI64</f>
        <v>471.64</v>
      </c>
      <c r="DK64" s="197">
        <f>'Arable NPV'!$G144</f>
        <v>3648.3062999999997</v>
      </c>
      <c r="DL64" s="197">
        <f>'Arable NPV'!$H144</f>
        <v>3375.8132000000005</v>
      </c>
      <c r="DM64" s="197">
        <f t="shared" ref="DM64:DM78" si="218">DK64+DL64</f>
        <v>7024.1195000000007</v>
      </c>
      <c r="DN64" s="197">
        <f t="shared" ref="DN64:DN78" si="219">DH64-DM64</f>
        <v>-7024.1195000000007</v>
      </c>
      <c r="DO64" s="197">
        <f t="shared" ref="DO64:DO78" si="220">DJ64-DM64</f>
        <v>-6552.4795000000004</v>
      </c>
      <c r="DP64" s="196">
        <f t="shared" si="176"/>
        <v>0</v>
      </c>
      <c r="DQ64" s="197">
        <f t="shared" si="177"/>
        <v>453.49999999999994</v>
      </c>
      <c r="DR64" s="197">
        <f t="shared" si="178"/>
        <v>6753.9610576923078</v>
      </c>
      <c r="DS64" s="197">
        <f t="shared" si="179"/>
        <v>-6753.9610576923078</v>
      </c>
      <c r="DT64" s="199">
        <f t="shared" si="180"/>
        <v>-6300.4610576923078</v>
      </c>
      <c r="DU64" s="196">
        <f t="shared" ref="DU64:DU78" si="221">DU63+DP64</f>
        <v>0</v>
      </c>
      <c r="DV64" s="197">
        <f t="shared" ref="DV64:DV78" si="222">DV63+DQ64</f>
        <v>925.13999999999987</v>
      </c>
      <c r="DW64" s="197">
        <f t="shared" ref="DW64:DW78" si="223">DW63+DR64</f>
        <v>13540.896657692309</v>
      </c>
      <c r="DX64" s="197">
        <f t="shared" ref="DX64:DX78" si="224">DX63+DS64</f>
        <v>-13540.896657692309</v>
      </c>
      <c r="DY64" s="199">
        <f t="shared" ref="DY64:DY78" si="225">DY63+DT64</f>
        <v>-12615.756657692309</v>
      </c>
    </row>
    <row r="65" spans="2:129" x14ac:dyDescent="0.3">
      <c r="B65" s="895">
        <v>3</v>
      </c>
      <c r="C65" s="897" t="s">
        <v>258</v>
      </c>
      <c r="D65" s="757">
        <f>'Arable Inputs'!$H$18</f>
        <v>12</v>
      </c>
      <c r="E65" s="757">
        <f>'Arable Inputs'!$H$25</f>
        <v>724</v>
      </c>
      <c r="F65" s="757"/>
      <c r="G65" s="757"/>
      <c r="H65" s="759">
        <f>D65*E65</f>
        <v>8688</v>
      </c>
      <c r="I65" s="197">
        <f>'Arable NPV'!$E145</f>
        <v>471.64</v>
      </c>
      <c r="J65" s="197">
        <f t="shared" si="181"/>
        <v>9159.64</v>
      </c>
      <c r="K65" s="197">
        <f>'Arable NPV'!$G145</f>
        <v>2474.37212</v>
      </c>
      <c r="L65" s="197">
        <f>'Arable NPV'!$H145</f>
        <v>3226.3624</v>
      </c>
      <c r="M65" s="197">
        <f t="shared" si="182"/>
        <v>5700.73452</v>
      </c>
      <c r="N65" s="197">
        <f t="shared" si="183"/>
        <v>2987.26548</v>
      </c>
      <c r="O65" s="197">
        <f t="shared" si="184"/>
        <v>3458.9054799999994</v>
      </c>
      <c r="P65" s="196">
        <f t="shared" si="156"/>
        <v>8032.5443786982241</v>
      </c>
      <c r="Q65" s="197">
        <f t="shared" si="157"/>
        <v>436.05769230769226</v>
      </c>
      <c r="R65" s="197">
        <f t="shared" si="158"/>
        <v>5270.6495192307684</v>
      </c>
      <c r="S65" s="197">
        <f t="shared" si="159"/>
        <v>2761.8948594674553</v>
      </c>
      <c r="T65" s="199">
        <f t="shared" si="160"/>
        <v>3197.9525517751472</v>
      </c>
      <c r="U65" s="196">
        <f t="shared" si="185"/>
        <v>19260.590532544378</v>
      </c>
      <c r="V65" s="197">
        <f t="shared" si="186"/>
        <v>1361.1976923076923</v>
      </c>
      <c r="W65" s="197">
        <f t="shared" si="187"/>
        <v>18811.546176923075</v>
      </c>
      <c r="X65" s="197">
        <f t="shared" si="188"/>
        <v>449.04435562129993</v>
      </c>
      <c r="Y65" s="199">
        <f t="shared" si="189"/>
        <v>1810.2420479289924</v>
      </c>
      <c r="AB65" s="895">
        <v>3</v>
      </c>
      <c r="AC65" s="897" t="s">
        <v>29</v>
      </c>
      <c r="AD65" s="757">
        <f>'Arable Inputs'!$H$18</f>
        <v>12</v>
      </c>
      <c r="AE65" s="757">
        <f>'Arable Inputs'!$H$25+0.5*'Arable Inputs'!$H$25</f>
        <v>1086</v>
      </c>
      <c r="AF65" s="757"/>
      <c r="AG65" s="757"/>
      <c r="AH65" s="759">
        <f>AD65*AE65</f>
        <v>13032</v>
      </c>
      <c r="AI65" s="197">
        <f>'Arable NPV'!$E145</f>
        <v>471.64</v>
      </c>
      <c r="AJ65" s="197">
        <f t="shared" si="190"/>
        <v>13503.64</v>
      </c>
      <c r="AK65" s="197">
        <f>'Arable NPV'!$G145</f>
        <v>2474.37212</v>
      </c>
      <c r="AL65" s="197">
        <f>'Arable NPV'!$H145</f>
        <v>3226.3624</v>
      </c>
      <c r="AM65" s="197">
        <f t="shared" si="191"/>
        <v>5700.73452</v>
      </c>
      <c r="AN65" s="197">
        <f t="shared" si="192"/>
        <v>7331.26548</v>
      </c>
      <c r="AO65" s="197">
        <f t="shared" si="193"/>
        <v>7802.9054799999994</v>
      </c>
      <c r="AP65" s="196">
        <f t="shared" si="161"/>
        <v>12048.816568047336</v>
      </c>
      <c r="AQ65" s="197">
        <f t="shared" si="162"/>
        <v>436.05769230769226</v>
      </c>
      <c r="AR65" s="197">
        <f t="shared" si="163"/>
        <v>5270.6495192307684</v>
      </c>
      <c r="AS65" s="197">
        <f t="shared" si="164"/>
        <v>6778.1670488165673</v>
      </c>
      <c r="AT65" s="199">
        <f t="shared" si="165"/>
        <v>7214.2247411242588</v>
      </c>
      <c r="AU65" s="196">
        <f t="shared" si="194"/>
        <v>28890.885798816566</v>
      </c>
      <c r="AV65" s="197">
        <f t="shared" si="195"/>
        <v>1361.1976923076923</v>
      </c>
      <c r="AW65" s="197">
        <f t="shared" si="196"/>
        <v>18811.546176923075</v>
      </c>
      <c r="AX65" s="197">
        <f t="shared" si="197"/>
        <v>10079.339621893489</v>
      </c>
      <c r="AY65" s="199">
        <f t="shared" si="198"/>
        <v>11440.537314201179</v>
      </c>
      <c r="BB65" s="895">
        <v>3</v>
      </c>
      <c r="BC65" s="897" t="s">
        <v>29</v>
      </c>
      <c r="BD65" s="757">
        <f>'Arable Inputs'!$H$18</f>
        <v>12</v>
      </c>
      <c r="BE65" s="757">
        <f>'Arable Inputs'!$H$25-0.5*'Arable Inputs'!$H$25</f>
        <v>362</v>
      </c>
      <c r="BF65" s="757"/>
      <c r="BG65" s="757"/>
      <c r="BH65" s="759">
        <f>BD65*BE65</f>
        <v>4344</v>
      </c>
      <c r="BI65" s="197">
        <f>'Arable NPV'!$E145</f>
        <v>471.64</v>
      </c>
      <c r="BJ65" s="197">
        <f t="shared" si="199"/>
        <v>4815.6400000000003</v>
      </c>
      <c r="BK65" s="197">
        <f>'Arable NPV'!$G145</f>
        <v>2474.37212</v>
      </c>
      <c r="BL65" s="197">
        <f>'Arable NPV'!$H145</f>
        <v>3226.3624</v>
      </c>
      <c r="BM65" s="197">
        <f t="shared" si="200"/>
        <v>5700.73452</v>
      </c>
      <c r="BN65" s="197">
        <f t="shared" si="201"/>
        <v>-1356.73452</v>
      </c>
      <c r="BO65" s="197">
        <f t="shared" si="202"/>
        <v>-885.09451999999965</v>
      </c>
      <c r="BP65" s="196">
        <f t="shared" si="166"/>
        <v>4016.2721893491121</v>
      </c>
      <c r="BQ65" s="197">
        <f t="shared" si="167"/>
        <v>436.05769230769226</v>
      </c>
      <c r="BR65" s="197">
        <f t="shared" si="168"/>
        <v>5270.6495192307684</v>
      </c>
      <c r="BS65" s="197">
        <f t="shared" si="169"/>
        <v>-1254.3773298816566</v>
      </c>
      <c r="BT65" s="199">
        <f t="shared" si="170"/>
        <v>-818.31963757396409</v>
      </c>
      <c r="BU65" s="196">
        <f t="shared" si="203"/>
        <v>9630.2952662721891</v>
      </c>
      <c r="BV65" s="197">
        <f t="shared" si="204"/>
        <v>1361.1976923076923</v>
      </c>
      <c r="BW65" s="197">
        <f t="shared" si="205"/>
        <v>18811.546176923075</v>
      </c>
      <c r="BX65" s="197">
        <f t="shared" si="206"/>
        <v>-9181.2509106508878</v>
      </c>
      <c r="BY65" s="199">
        <f t="shared" si="207"/>
        <v>-7820.0532183431969</v>
      </c>
      <c r="CB65" s="895">
        <v>3</v>
      </c>
      <c r="CC65" s="897" t="s">
        <v>29</v>
      </c>
      <c r="CD65" s="757">
        <f>'Arable Inputs'!$H$18</f>
        <v>12</v>
      </c>
      <c r="CE65" s="757">
        <f>'Arable Inputs'!$H$25+'Arable Inputs'!$H$25</f>
        <v>1448</v>
      </c>
      <c r="CF65" s="757"/>
      <c r="CG65" s="757"/>
      <c r="CH65" s="759">
        <f>CD65*CE65</f>
        <v>17376</v>
      </c>
      <c r="CI65" s="197">
        <f>'Arable NPV'!$E145</f>
        <v>471.64</v>
      </c>
      <c r="CJ65" s="197">
        <f t="shared" si="208"/>
        <v>17847.64</v>
      </c>
      <c r="CK65" s="197">
        <f>'Arable NPV'!$G145</f>
        <v>2474.37212</v>
      </c>
      <c r="CL65" s="197">
        <f>'Arable NPV'!$H145</f>
        <v>3226.3624</v>
      </c>
      <c r="CM65" s="197">
        <f t="shared" si="209"/>
        <v>5700.73452</v>
      </c>
      <c r="CN65" s="197">
        <f t="shared" si="210"/>
        <v>11675.26548</v>
      </c>
      <c r="CO65" s="197">
        <f t="shared" si="211"/>
        <v>12146.905479999999</v>
      </c>
      <c r="CP65" s="196">
        <f t="shared" si="171"/>
        <v>16065.088757396448</v>
      </c>
      <c r="CQ65" s="197">
        <f t="shared" si="172"/>
        <v>436.05769230769226</v>
      </c>
      <c r="CR65" s="197">
        <f t="shared" si="173"/>
        <v>5270.6495192307684</v>
      </c>
      <c r="CS65" s="197">
        <f t="shared" si="174"/>
        <v>10794.43923816568</v>
      </c>
      <c r="CT65" s="199">
        <f t="shared" si="175"/>
        <v>11230.496930473371</v>
      </c>
      <c r="CU65" s="196">
        <f t="shared" si="212"/>
        <v>38521.181065088756</v>
      </c>
      <c r="CV65" s="197">
        <f t="shared" si="213"/>
        <v>1361.1976923076923</v>
      </c>
      <c r="CW65" s="197">
        <f t="shared" si="214"/>
        <v>18811.546176923075</v>
      </c>
      <c r="CX65" s="197">
        <f t="shared" si="215"/>
        <v>19709.634888165678</v>
      </c>
      <c r="CY65" s="199">
        <f t="shared" si="216"/>
        <v>21070.832580473369</v>
      </c>
      <c r="DB65" s="204">
        <f t="shared" ref="DB65:DB78" si="226">DB64+1</f>
        <v>3</v>
      </c>
      <c r="DC65" s="897" t="s">
        <v>29</v>
      </c>
      <c r="DD65" s="757">
        <f>'Arable Inputs'!$H$18</f>
        <v>12</v>
      </c>
      <c r="DE65" s="757">
        <f>'Arable Inputs'!$H$25-'Arable Inputs'!$H$25</f>
        <v>0</v>
      </c>
      <c r="DF65" s="757"/>
      <c r="DG65" s="757"/>
      <c r="DH65" s="759">
        <f>DD65*DE65</f>
        <v>0</v>
      </c>
      <c r="DI65" s="197">
        <f>'Arable NPV'!$E145</f>
        <v>471.64</v>
      </c>
      <c r="DJ65" s="197">
        <f t="shared" si="217"/>
        <v>471.64</v>
      </c>
      <c r="DK65" s="197">
        <f>'Arable NPV'!$G145</f>
        <v>2474.37212</v>
      </c>
      <c r="DL65" s="197">
        <f>'Arable NPV'!$H145</f>
        <v>3226.3624</v>
      </c>
      <c r="DM65" s="197">
        <f t="shared" si="218"/>
        <v>5700.73452</v>
      </c>
      <c r="DN65" s="197">
        <f t="shared" si="219"/>
        <v>-5700.73452</v>
      </c>
      <c r="DO65" s="197">
        <f t="shared" si="220"/>
        <v>-5229.0945199999996</v>
      </c>
      <c r="DP65" s="196">
        <f t="shared" si="176"/>
        <v>0</v>
      </c>
      <c r="DQ65" s="197">
        <f t="shared" si="177"/>
        <v>436.05769230769226</v>
      </c>
      <c r="DR65" s="197">
        <f t="shared" si="178"/>
        <v>5270.6495192307684</v>
      </c>
      <c r="DS65" s="197">
        <f t="shared" si="179"/>
        <v>-5270.6495192307684</v>
      </c>
      <c r="DT65" s="199">
        <f t="shared" si="180"/>
        <v>-4834.591826923076</v>
      </c>
      <c r="DU65" s="196">
        <f t="shared" si="221"/>
        <v>0</v>
      </c>
      <c r="DV65" s="197">
        <f t="shared" si="222"/>
        <v>1361.1976923076923</v>
      </c>
      <c r="DW65" s="197">
        <f t="shared" si="223"/>
        <v>18811.546176923075</v>
      </c>
      <c r="DX65" s="197">
        <f t="shared" si="224"/>
        <v>-18811.546176923075</v>
      </c>
      <c r="DY65" s="199">
        <f t="shared" si="225"/>
        <v>-17450.348484615384</v>
      </c>
    </row>
    <row r="66" spans="2:129" x14ac:dyDescent="0.3">
      <c r="B66" s="895">
        <v>4</v>
      </c>
      <c r="C66" s="897" t="s">
        <v>5</v>
      </c>
      <c r="D66" s="757">
        <f>'Arable Inputs'!$F$18</f>
        <v>3.5</v>
      </c>
      <c r="E66" s="757">
        <f>'Arable Inputs'!$F$25</f>
        <v>1645</v>
      </c>
      <c r="F66" s="757">
        <f>'Arable Inputs'!$F$19</f>
        <v>5.6</v>
      </c>
      <c r="G66" s="757">
        <f>'Arable Inputs'!$F$26</f>
        <v>120</v>
      </c>
      <c r="H66" s="759">
        <f>D66*E66+F66*G66</f>
        <v>6429.5</v>
      </c>
      <c r="I66" s="197">
        <f>'Arable NPV'!$E146</f>
        <v>471.64</v>
      </c>
      <c r="J66" s="197">
        <f t="shared" si="181"/>
        <v>6901.14</v>
      </c>
      <c r="K66" s="197">
        <f>'Arable NPV'!$G146</f>
        <v>3562.03775</v>
      </c>
      <c r="L66" s="197">
        <f>'Arable NPV'!$H146</f>
        <v>2542.6675999999998</v>
      </c>
      <c r="M66" s="197">
        <f t="shared" si="182"/>
        <v>6104.7053500000002</v>
      </c>
      <c r="N66" s="197">
        <f t="shared" si="183"/>
        <v>324.79464999999982</v>
      </c>
      <c r="O66" s="197">
        <f t="shared" si="184"/>
        <v>796.43465000000015</v>
      </c>
      <c r="P66" s="196">
        <f t="shared" si="156"/>
        <v>5715.8020880746471</v>
      </c>
      <c r="Q66" s="197">
        <f t="shared" si="157"/>
        <v>419.28624260355025</v>
      </c>
      <c r="R66" s="197">
        <f t="shared" si="158"/>
        <v>5427.0608269088525</v>
      </c>
      <c r="S66" s="197">
        <f t="shared" si="159"/>
        <v>288.74126116579407</v>
      </c>
      <c r="T66" s="199">
        <f t="shared" si="160"/>
        <v>708.02750376934466</v>
      </c>
      <c r="U66" s="196">
        <f t="shared" si="185"/>
        <v>24976.392620619026</v>
      </c>
      <c r="V66" s="197">
        <f t="shared" si="186"/>
        <v>1780.4839349112426</v>
      </c>
      <c r="W66" s="197">
        <f t="shared" si="187"/>
        <v>24238.607003831927</v>
      </c>
      <c r="X66" s="197">
        <f t="shared" si="188"/>
        <v>737.785616787094</v>
      </c>
      <c r="Y66" s="199">
        <f t="shared" si="189"/>
        <v>2518.2695516983372</v>
      </c>
      <c r="AB66" s="895">
        <v>4</v>
      </c>
      <c r="AC66" s="897" t="s">
        <v>5</v>
      </c>
      <c r="AD66" s="757">
        <f>'Arable Inputs'!$F$18</f>
        <v>3.5</v>
      </c>
      <c r="AE66" s="757">
        <f>'Arable Inputs'!$F$25+0.5*'Arable Inputs'!$F$25</f>
        <v>2467.5</v>
      </c>
      <c r="AF66" s="757">
        <f>'Arable Inputs'!$F$19</f>
        <v>5.6</v>
      </c>
      <c r="AG66" s="757">
        <f>'Arable Inputs'!$F$26+0.5*'Arable Inputs'!$F$26</f>
        <v>180</v>
      </c>
      <c r="AH66" s="759">
        <f>AD66*AE66+AF66*AG66</f>
        <v>9644.25</v>
      </c>
      <c r="AI66" s="197">
        <f>'Arable NPV'!$E146</f>
        <v>471.64</v>
      </c>
      <c r="AJ66" s="197">
        <f t="shared" si="190"/>
        <v>10115.89</v>
      </c>
      <c r="AK66" s="197">
        <f>'Arable NPV'!$G146</f>
        <v>3562.03775</v>
      </c>
      <c r="AL66" s="197">
        <f>'Arable NPV'!$H146</f>
        <v>2542.6675999999998</v>
      </c>
      <c r="AM66" s="197">
        <f t="shared" si="191"/>
        <v>6104.7053500000002</v>
      </c>
      <c r="AN66" s="197">
        <f t="shared" si="192"/>
        <v>3539.5446499999998</v>
      </c>
      <c r="AO66" s="197">
        <f t="shared" si="193"/>
        <v>4011.1846499999992</v>
      </c>
      <c r="AP66" s="196">
        <f t="shared" si="161"/>
        <v>8573.7031321119703</v>
      </c>
      <c r="AQ66" s="197">
        <f t="shared" si="162"/>
        <v>419.28624260355025</v>
      </c>
      <c r="AR66" s="197">
        <f t="shared" si="163"/>
        <v>5427.0608269088525</v>
      </c>
      <c r="AS66" s="197">
        <f t="shared" si="164"/>
        <v>3146.6423052031173</v>
      </c>
      <c r="AT66" s="199">
        <f t="shared" si="165"/>
        <v>3565.9285478066672</v>
      </c>
      <c r="AU66" s="196">
        <f t="shared" si="194"/>
        <v>37464.588930928534</v>
      </c>
      <c r="AV66" s="197">
        <f t="shared" si="195"/>
        <v>1780.4839349112426</v>
      </c>
      <c r="AW66" s="197">
        <f t="shared" si="196"/>
        <v>24238.607003831927</v>
      </c>
      <c r="AX66" s="197">
        <f t="shared" si="197"/>
        <v>13225.981927096605</v>
      </c>
      <c r="AY66" s="199">
        <f t="shared" si="198"/>
        <v>15006.465862007846</v>
      </c>
      <c r="BB66" s="895">
        <v>4</v>
      </c>
      <c r="BC66" s="897" t="s">
        <v>5</v>
      </c>
      <c r="BD66" s="757">
        <f>'Arable Inputs'!$F$18</f>
        <v>3.5</v>
      </c>
      <c r="BE66" s="757">
        <f>'Arable Inputs'!$F$25-0.5*'Arable Inputs'!$F$25</f>
        <v>822.5</v>
      </c>
      <c r="BF66" s="757">
        <f>'Arable Inputs'!$F$19</f>
        <v>5.6</v>
      </c>
      <c r="BG66" s="757">
        <f>'Arable Inputs'!$F$26-0.5*'Arable Inputs'!$F$26</f>
        <v>60</v>
      </c>
      <c r="BH66" s="759">
        <f>BD66*BE66+BF66*BG66</f>
        <v>3214.75</v>
      </c>
      <c r="BI66" s="197">
        <f>'Arable NPV'!$E146</f>
        <v>471.64</v>
      </c>
      <c r="BJ66" s="197">
        <f t="shared" si="199"/>
        <v>3686.39</v>
      </c>
      <c r="BK66" s="197">
        <f>'Arable NPV'!$G146</f>
        <v>3562.03775</v>
      </c>
      <c r="BL66" s="197">
        <f>'Arable NPV'!$H146</f>
        <v>2542.6675999999998</v>
      </c>
      <c r="BM66" s="197">
        <f t="shared" si="200"/>
        <v>6104.7053500000002</v>
      </c>
      <c r="BN66" s="197">
        <f t="shared" si="201"/>
        <v>-2889.9553500000002</v>
      </c>
      <c r="BO66" s="197">
        <f t="shared" si="202"/>
        <v>-2418.3153500000003</v>
      </c>
      <c r="BP66" s="196">
        <f t="shared" si="166"/>
        <v>2857.9010440373236</v>
      </c>
      <c r="BQ66" s="197">
        <f t="shared" si="167"/>
        <v>419.28624260355025</v>
      </c>
      <c r="BR66" s="197">
        <f t="shared" si="168"/>
        <v>5427.0608269088525</v>
      </c>
      <c r="BS66" s="197">
        <f t="shared" si="169"/>
        <v>-2569.1597828715294</v>
      </c>
      <c r="BT66" s="199">
        <f t="shared" si="170"/>
        <v>-2149.873540267979</v>
      </c>
      <c r="BU66" s="196">
        <f t="shared" si="203"/>
        <v>12488.196310309513</v>
      </c>
      <c r="BV66" s="197">
        <f t="shared" si="204"/>
        <v>1780.4839349112426</v>
      </c>
      <c r="BW66" s="197">
        <f t="shared" si="205"/>
        <v>24238.607003831927</v>
      </c>
      <c r="BX66" s="197">
        <f t="shared" si="206"/>
        <v>-11750.410693522417</v>
      </c>
      <c r="BY66" s="199">
        <f t="shared" si="207"/>
        <v>-9969.9267586111764</v>
      </c>
      <c r="CB66" s="895">
        <v>4</v>
      </c>
      <c r="CC66" s="897" t="s">
        <v>5</v>
      </c>
      <c r="CD66" s="757">
        <f>'Arable Inputs'!$F$18</f>
        <v>3.5</v>
      </c>
      <c r="CE66" s="757">
        <f>'Arable Inputs'!$F$25+'Arable Inputs'!$F$25</f>
        <v>3290</v>
      </c>
      <c r="CF66" s="757">
        <f>'Arable Inputs'!$F$19</f>
        <v>5.6</v>
      </c>
      <c r="CG66" s="757">
        <f>'Arable Inputs'!$F$26+'Arable Inputs'!$F$26</f>
        <v>240</v>
      </c>
      <c r="CH66" s="759">
        <f>CD66*CE66+CF66*CG66</f>
        <v>12859</v>
      </c>
      <c r="CI66" s="197">
        <f>'Arable NPV'!$E146</f>
        <v>471.64</v>
      </c>
      <c r="CJ66" s="197">
        <f t="shared" si="208"/>
        <v>13330.64</v>
      </c>
      <c r="CK66" s="197">
        <f>'Arable NPV'!$G146</f>
        <v>3562.03775</v>
      </c>
      <c r="CL66" s="197">
        <f>'Arable NPV'!$H146</f>
        <v>2542.6675999999998</v>
      </c>
      <c r="CM66" s="197">
        <f t="shared" si="209"/>
        <v>6104.7053500000002</v>
      </c>
      <c r="CN66" s="197">
        <f t="shared" si="210"/>
        <v>6754.2946499999998</v>
      </c>
      <c r="CO66" s="197">
        <f t="shared" si="211"/>
        <v>7225.9346499999992</v>
      </c>
      <c r="CP66" s="196">
        <f t="shared" si="171"/>
        <v>11431.604176149294</v>
      </c>
      <c r="CQ66" s="197">
        <f t="shared" si="172"/>
        <v>419.28624260355025</v>
      </c>
      <c r="CR66" s="197">
        <f t="shared" si="173"/>
        <v>5427.0608269088525</v>
      </c>
      <c r="CS66" s="197">
        <f t="shared" si="174"/>
        <v>6004.5433492404409</v>
      </c>
      <c r="CT66" s="199">
        <f t="shared" si="175"/>
        <v>6423.8295918439908</v>
      </c>
      <c r="CU66" s="196">
        <f t="shared" si="212"/>
        <v>49952.785241238053</v>
      </c>
      <c r="CV66" s="197">
        <f t="shared" si="213"/>
        <v>1780.4839349112426</v>
      </c>
      <c r="CW66" s="197">
        <f t="shared" si="214"/>
        <v>24238.607003831927</v>
      </c>
      <c r="CX66" s="197">
        <f t="shared" si="215"/>
        <v>25714.178237406119</v>
      </c>
      <c r="CY66" s="199">
        <f t="shared" si="216"/>
        <v>27494.662172317359</v>
      </c>
      <c r="DB66" s="204">
        <f t="shared" si="226"/>
        <v>4</v>
      </c>
      <c r="DC66" s="897" t="s">
        <v>5</v>
      </c>
      <c r="DD66" s="757">
        <f>'Arable Inputs'!$F$18</f>
        <v>3.5</v>
      </c>
      <c r="DE66" s="757">
        <f>'Arable Inputs'!$F$25-'Arable Inputs'!$F$25</f>
        <v>0</v>
      </c>
      <c r="DF66" s="757">
        <f>'Arable Inputs'!$F$19</f>
        <v>5.6</v>
      </c>
      <c r="DG66" s="757">
        <f>'Arable Inputs'!$F$26-'Arable Inputs'!$F$26</f>
        <v>0</v>
      </c>
      <c r="DH66" s="759">
        <f>DD66*DE66+DF66*DG66</f>
        <v>0</v>
      </c>
      <c r="DI66" s="197">
        <f>'Arable NPV'!$E146</f>
        <v>471.64</v>
      </c>
      <c r="DJ66" s="197">
        <f t="shared" si="217"/>
        <v>471.64</v>
      </c>
      <c r="DK66" s="197">
        <f>'Arable NPV'!$G146</f>
        <v>3562.03775</v>
      </c>
      <c r="DL66" s="197">
        <f>'Arable NPV'!$H146</f>
        <v>2542.6675999999998</v>
      </c>
      <c r="DM66" s="197">
        <f t="shared" si="218"/>
        <v>6104.7053500000002</v>
      </c>
      <c r="DN66" s="197">
        <f t="shared" si="219"/>
        <v>-6104.7053500000002</v>
      </c>
      <c r="DO66" s="197">
        <f t="shared" si="220"/>
        <v>-5633.0653499999999</v>
      </c>
      <c r="DP66" s="196">
        <f t="shared" si="176"/>
        <v>0</v>
      </c>
      <c r="DQ66" s="197">
        <f t="shared" si="177"/>
        <v>419.28624260355025</v>
      </c>
      <c r="DR66" s="197">
        <f t="shared" si="178"/>
        <v>5427.0608269088525</v>
      </c>
      <c r="DS66" s="197">
        <f t="shared" si="179"/>
        <v>-5427.0608269088525</v>
      </c>
      <c r="DT66" s="199">
        <f t="shared" si="180"/>
        <v>-5007.7745843053026</v>
      </c>
      <c r="DU66" s="196">
        <f t="shared" si="221"/>
        <v>0</v>
      </c>
      <c r="DV66" s="197">
        <f t="shared" si="222"/>
        <v>1780.4839349112426</v>
      </c>
      <c r="DW66" s="197">
        <f t="shared" si="223"/>
        <v>24238.607003831927</v>
      </c>
      <c r="DX66" s="197">
        <f t="shared" si="224"/>
        <v>-24238.607003831927</v>
      </c>
      <c r="DY66" s="199">
        <f t="shared" si="225"/>
        <v>-22458.123068920686</v>
      </c>
    </row>
    <row r="67" spans="2:129" x14ac:dyDescent="0.3">
      <c r="B67" s="895">
        <v>5</v>
      </c>
      <c r="C67" s="897" t="s">
        <v>647</v>
      </c>
      <c r="D67" s="757">
        <f>'Arable Inputs'!$E$18</f>
        <v>2.5</v>
      </c>
      <c r="E67" s="757">
        <f>'Arable Inputs'!$E$25</f>
        <v>721</v>
      </c>
      <c r="F67" s="757">
        <f>'Arable Inputs'!$E$19</f>
        <v>3</v>
      </c>
      <c r="G67" s="757">
        <f>'Arable Inputs'!$E$26</f>
        <v>120</v>
      </c>
      <c r="H67" s="759">
        <f>D67*E67+F67*G67</f>
        <v>2162.5</v>
      </c>
      <c r="I67" s="197">
        <f>'Arable NPV'!$E147</f>
        <v>471.64</v>
      </c>
      <c r="J67" s="197">
        <f t="shared" si="181"/>
        <v>2634.14</v>
      </c>
      <c r="K67" s="197">
        <f>'Arable NPV'!$G147</f>
        <v>1959.4805899999999</v>
      </c>
      <c r="L67" s="197">
        <f>'Arable NPV'!$H147</f>
        <v>3608.9468000000006</v>
      </c>
      <c r="M67" s="197">
        <f t="shared" si="182"/>
        <v>5568.4273900000007</v>
      </c>
      <c r="N67" s="197">
        <f t="shared" si="183"/>
        <v>-3405.9273900000007</v>
      </c>
      <c r="O67" s="197">
        <f t="shared" si="184"/>
        <v>-2934.2873900000009</v>
      </c>
      <c r="P67" s="196">
        <f t="shared" si="156"/>
        <v>1848.5140631017819</v>
      </c>
      <c r="Q67" s="197">
        <f t="shared" si="157"/>
        <v>403.15984865725983</v>
      </c>
      <c r="R67" s="197">
        <f t="shared" si="158"/>
        <v>4759.9150704167178</v>
      </c>
      <c r="S67" s="197">
        <f t="shared" si="159"/>
        <v>-2911.4010073149357</v>
      </c>
      <c r="T67" s="199">
        <f t="shared" si="160"/>
        <v>-2508.2411586576759</v>
      </c>
      <c r="U67" s="196">
        <f t="shared" si="185"/>
        <v>26824.906683720808</v>
      </c>
      <c r="V67" s="197">
        <f t="shared" si="186"/>
        <v>2183.6437835685024</v>
      </c>
      <c r="W67" s="197">
        <f t="shared" si="187"/>
        <v>28998.522074248645</v>
      </c>
      <c r="X67" s="197">
        <f t="shared" si="188"/>
        <v>-2173.6153905278416</v>
      </c>
      <c r="Y67" s="199">
        <f t="shared" si="189"/>
        <v>10.028393040661285</v>
      </c>
      <c r="AB67" s="895">
        <v>5</v>
      </c>
      <c r="AC67" s="897" t="s">
        <v>647</v>
      </c>
      <c r="AD67" s="757">
        <f>'Arable Inputs'!$E$18</f>
        <v>2.5</v>
      </c>
      <c r="AE67" s="757">
        <f>'Arable Inputs'!$E$25+0.5*'Arable Inputs'!$E$25</f>
        <v>1081.5</v>
      </c>
      <c r="AF67" s="757">
        <f>'Arable Inputs'!$E$19</f>
        <v>3</v>
      </c>
      <c r="AG67" s="757">
        <f>'Arable Inputs'!$E$26+0.5*'Arable Inputs'!$E$26</f>
        <v>180</v>
      </c>
      <c r="AH67" s="759">
        <f>AD67*AE67+AF67*AG67</f>
        <v>3243.75</v>
      </c>
      <c r="AI67" s="197">
        <f>'Arable NPV'!$E147</f>
        <v>471.64</v>
      </c>
      <c r="AJ67" s="197">
        <f t="shared" si="190"/>
        <v>3715.39</v>
      </c>
      <c r="AK67" s="197">
        <f>'Arable NPV'!$G147</f>
        <v>1959.4805899999999</v>
      </c>
      <c r="AL67" s="197">
        <f>'Arable NPV'!$H147</f>
        <v>3608.9468000000006</v>
      </c>
      <c r="AM67" s="197">
        <f t="shared" si="191"/>
        <v>5568.4273900000007</v>
      </c>
      <c r="AN67" s="197">
        <f t="shared" si="192"/>
        <v>-2324.6773900000007</v>
      </c>
      <c r="AO67" s="197">
        <f t="shared" si="193"/>
        <v>-1853.0373900000009</v>
      </c>
      <c r="AP67" s="196">
        <f t="shared" si="161"/>
        <v>2772.7710946526727</v>
      </c>
      <c r="AQ67" s="197">
        <f t="shared" si="162"/>
        <v>403.15984865725983</v>
      </c>
      <c r="AR67" s="197">
        <f t="shared" si="163"/>
        <v>4759.9150704167178</v>
      </c>
      <c r="AS67" s="197">
        <f t="shared" si="164"/>
        <v>-1987.1439757640449</v>
      </c>
      <c r="AT67" s="199">
        <f t="shared" si="165"/>
        <v>-1583.9841271067851</v>
      </c>
      <c r="AU67" s="196">
        <f t="shared" si="194"/>
        <v>40237.360025581205</v>
      </c>
      <c r="AV67" s="197">
        <f t="shared" si="195"/>
        <v>2183.6437835685024</v>
      </c>
      <c r="AW67" s="197">
        <f t="shared" si="196"/>
        <v>28998.522074248645</v>
      </c>
      <c r="AX67" s="197">
        <f t="shared" si="197"/>
        <v>11238.83795133256</v>
      </c>
      <c r="AY67" s="199">
        <f t="shared" si="198"/>
        <v>13422.481734901061</v>
      </c>
      <c r="BB67" s="895">
        <v>5</v>
      </c>
      <c r="BC67" s="897" t="s">
        <v>647</v>
      </c>
      <c r="BD67" s="757">
        <f>'Arable Inputs'!$E$18</f>
        <v>2.5</v>
      </c>
      <c r="BE67" s="757">
        <f>'Arable Inputs'!$E$25-0.5*'Arable Inputs'!$E$25</f>
        <v>360.5</v>
      </c>
      <c r="BF67" s="757">
        <f>'Arable Inputs'!$E$19</f>
        <v>3</v>
      </c>
      <c r="BG67" s="757">
        <f>'Arable Inputs'!$E$26-0.5*'Arable Inputs'!$E$26</f>
        <v>60</v>
      </c>
      <c r="BH67" s="759">
        <f>BD67*BE67+BF67*BG67</f>
        <v>1081.25</v>
      </c>
      <c r="BI67" s="197">
        <f>'Arable NPV'!$E147</f>
        <v>471.64</v>
      </c>
      <c r="BJ67" s="197">
        <f t="shared" si="199"/>
        <v>1552.8899999999999</v>
      </c>
      <c r="BK67" s="197">
        <f>'Arable NPV'!$G147</f>
        <v>1959.4805899999999</v>
      </c>
      <c r="BL67" s="197">
        <f>'Arable NPV'!$H147</f>
        <v>3608.9468000000006</v>
      </c>
      <c r="BM67" s="197">
        <f t="shared" si="200"/>
        <v>5568.4273900000007</v>
      </c>
      <c r="BN67" s="197">
        <f t="shared" si="201"/>
        <v>-4487.1773900000007</v>
      </c>
      <c r="BO67" s="197">
        <f t="shared" si="202"/>
        <v>-4015.5373900000009</v>
      </c>
      <c r="BP67" s="196">
        <f t="shared" si="166"/>
        <v>924.25703155089093</v>
      </c>
      <c r="BQ67" s="197">
        <f t="shared" si="167"/>
        <v>403.15984865725983</v>
      </c>
      <c r="BR67" s="197">
        <f t="shared" si="168"/>
        <v>4759.9150704167178</v>
      </c>
      <c r="BS67" s="197">
        <f t="shared" si="169"/>
        <v>-3835.6580388658267</v>
      </c>
      <c r="BT67" s="199">
        <f t="shared" si="170"/>
        <v>-3432.4981902085669</v>
      </c>
      <c r="BU67" s="196">
        <f t="shared" si="203"/>
        <v>13412.453341860404</v>
      </c>
      <c r="BV67" s="197">
        <f t="shared" si="204"/>
        <v>2183.6437835685024</v>
      </c>
      <c r="BW67" s="197">
        <f t="shared" si="205"/>
        <v>28998.522074248645</v>
      </c>
      <c r="BX67" s="197">
        <f t="shared" si="206"/>
        <v>-15586.068732388245</v>
      </c>
      <c r="BY67" s="199">
        <f t="shared" si="207"/>
        <v>-13402.424948819744</v>
      </c>
      <c r="CB67" s="895">
        <v>5</v>
      </c>
      <c r="CC67" s="897" t="s">
        <v>647</v>
      </c>
      <c r="CD67" s="757">
        <f>'Arable Inputs'!$E$18</f>
        <v>2.5</v>
      </c>
      <c r="CE67" s="757">
        <f>'Arable Inputs'!$E$25+'Arable Inputs'!$E$25</f>
        <v>1442</v>
      </c>
      <c r="CF67" s="757">
        <f>'Arable Inputs'!$E$19</f>
        <v>3</v>
      </c>
      <c r="CG67" s="757">
        <f>'Arable Inputs'!$E$26+'Arable Inputs'!$E$26</f>
        <v>240</v>
      </c>
      <c r="CH67" s="759">
        <f>CD67*CE67+CF67*CG67</f>
        <v>4325</v>
      </c>
      <c r="CI67" s="197">
        <f>'Arable NPV'!$E147</f>
        <v>471.64</v>
      </c>
      <c r="CJ67" s="197">
        <f t="shared" si="208"/>
        <v>4796.6400000000003</v>
      </c>
      <c r="CK67" s="197">
        <f>'Arable NPV'!$G147</f>
        <v>1959.4805899999999</v>
      </c>
      <c r="CL67" s="197">
        <f>'Arable NPV'!$H147</f>
        <v>3608.9468000000006</v>
      </c>
      <c r="CM67" s="197">
        <f t="shared" si="209"/>
        <v>5568.4273900000007</v>
      </c>
      <c r="CN67" s="197">
        <f t="shared" si="210"/>
        <v>-1243.4273900000007</v>
      </c>
      <c r="CO67" s="197">
        <f t="shared" si="211"/>
        <v>-771.78739000000041</v>
      </c>
      <c r="CP67" s="196">
        <f t="shared" si="171"/>
        <v>3697.0281262035637</v>
      </c>
      <c r="CQ67" s="197">
        <f t="shared" si="172"/>
        <v>403.15984865725983</v>
      </c>
      <c r="CR67" s="197">
        <f t="shared" si="173"/>
        <v>4759.9150704167178</v>
      </c>
      <c r="CS67" s="197">
        <f t="shared" si="174"/>
        <v>-1062.8869442131538</v>
      </c>
      <c r="CT67" s="199">
        <f t="shared" si="175"/>
        <v>-659.72709555589381</v>
      </c>
      <c r="CU67" s="196">
        <f t="shared" si="212"/>
        <v>53649.813367441617</v>
      </c>
      <c r="CV67" s="197">
        <f t="shared" si="213"/>
        <v>2183.6437835685024</v>
      </c>
      <c r="CW67" s="197">
        <f t="shared" si="214"/>
        <v>28998.522074248645</v>
      </c>
      <c r="CX67" s="197">
        <f t="shared" si="215"/>
        <v>24651.291293192964</v>
      </c>
      <c r="CY67" s="199">
        <f t="shared" si="216"/>
        <v>26834.935076761467</v>
      </c>
      <c r="DB67" s="204">
        <f t="shared" si="226"/>
        <v>5</v>
      </c>
      <c r="DC67" s="897" t="s">
        <v>647</v>
      </c>
      <c r="DD67" s="757">
        <f>'Arable Inputs'!$E$18</f>
        <v>2.5</v>
      </c>
      <c r="DE67" s="757">
        <f>'Arable Inputs'!$E$25-'Arable Inputs'!$E$25</f>
        <v>0</v>
      </c>
      <c r="DF67" s="757">
        <f>'Arable Inputs'!$E$19</f>
        <v>3</v>
      </c>
      <c r="DG67" s="757">
        <f>'Arable Inputs'!$E$26-'Arable Inputs'!$E$26</f>
        <v>0</v>
      </c>
      <c r="DH67" s="759">
        <f>DD67*DE67+DF67*DG67</f>
        <v>0</v>
      </c>
      <c r="DI67" s="197">
        <f>'Arable NPV'!$E147</f>
        <v>471.64</v>
      </c>
      <c r="DJ67" s="197">
        <f t="shared" si="217"/>
        <v>471.64</v>
      </c>
      <c r="DK67" s="197">
        <f>'Arable NPV'!$G147</f>
        <v>1959.4805899999999</v>
      </c>
      <c r="DL67" s="197">
        <f>'Arable NPV'!$H147</f>
        <v>3608.9468000000006</v>
      </c>
      <c r="DM67" s="197">
        <f t="shared" si="218"/>
        <v>5568.4273900000007</v>
      </c>
      <c r="DN67" s="197">
        <f t="shared" si="219"/>
        <v>-5568.4273900000007</v>
      </c>
      <c r="DO67" s="197">
        <f t="shared" si="220"/>
        <v>-5096.7873900000004</v>
      </c>
      <c r="DP67" s="196">
        <f t="shared" si="176"/>
        <v>0</v>
      </c>
      <c r="DQ67" s="197">
        <f t="shared" si="177"/>
        <v>403.15984865725983</v>
      </c>
      <c r="DR67" s="197">
        <f t="shared" si="178"/>
        <v>4759.9150704167178</v>
      </c>
      <c r="DS67" s="197">
        <f t="shared" si="179"/>
        <v>-4759.9150704167178</v>
      </c>
      <c r="DT67" s="199">
        <f t="shared" si="180"/>
        <v>-4356.7552217594575</v>
      </c>
      <c r="DU67" s="196">
        <f t="shared" si="221"/>
        <v>0</v>
      </c>
      <c r="DV67" s="197">
        <f t="shared" si="222"/>
        <v>2183.6437835685024</v>
      </c>
      <c r="DW67" s="197">
        <f t="shared" si="223"/>
        <v>28998.522074248645</v>
      </c>
      <c r="DX67" s="197">
        <f t="shared" si="224"/>
        <v>-28998.522074248645</v>
      </c>
      <c r="DY67" s="199">
        <f t="shared" si="225"/>
        <v>-26814.878290680143</v>
      </c>
    </row>
    <row r="68" spans="2:129" x14ac:dyDescent="0.3">
      <c r="B68" s="895">
        <v>6</v>
      </c>
      <c r="C68" s="897" t="s">
        <v>4</v>
      </c>
      <c r="D68" s="757">
        <f>'Arable Inputs'!$D$18</f>
        <v>4.5999999999999996</v>
      </c>
      <c r="E68" s="757">
        <f>'Arable Inputs'!$D$25</f>
        <v>867</v>
      </c>
      <c r="F68" s="757">
        <f>'Arable Inputs'!$D$19</f>
        <v>4.9000000000000004</v>
      </c>
      <c r="G68" s="757">
        <f>'Arable Inputs'!$D$26</f>
        <v>140</v>
      </c>
      <c r="H68" s="759">
        <f>D68*E68+F68*G68</f>
        <v>4674.2</v>
      </c>
      <c r="I68" s="197">
        <f>'Arable NPV'!$E148</f>
        <v>471.64</v>
      </c>
      <c r="J68" s="197">
        <f t="shared" si="181"/>
        <v>5145.84</v>
      </c>
      <c r="K68" s="197">
        <f>'Arable NPV'!$G148</f>
        <v>2731.3292000000006</v>
      </c>
      <c r="L68" s="197">
        <f>'Arable NPV'!$H148</f>
        <v>4055.6064000000006</v>
      </c>
      <c r="M68" s="197">
        <f t="shared" si="182"/>
        <v>6786.9356000000007</v>
      </c>
      <c r="N68" s="197">
        <f t="shared" si="183"/>
        <v>-2112.7356000000009</v>
      </c>
      <c r="O68" s="197">
        <f t="shared" si="184"/>
        <v>-1641.0956000000006</v>
      </c>
      <c r="P68" s="196">
        <f t="shared" si="156"/>
        <v>3841.8516824145609</v>
      </c>
      <c r="Q68" s="197">
        <f t="shared" si="157"/>
        <v>387.65370063198054</v>
      </c>
      <c r="R68" s="197">
        <f t="shared" si="158"/>
        <v>5578.3663414700441</v>
      </c>
      <c r="S68" s="197">
        <f t="shared" si="159"/>
        <v>-1736.5146590554834</v>
      </c>
      <c r="T68" s="199">
        <f t="shared" si="160"/>
        <v>-1348.8609584235026</v>
      </c>
      <c r="U68" s="196">
        <f t="shared" si="185"/>
        <v>30666.758366135371</v>
      </c>
      <c r="V68" s="197">
        <f t="shared" si="186"/>
        <v>2571.2974842004828</v>
      </c>
      <c r="W68" s="197">
        <f t="shared" si="187"/>
        <v>34576.888415718691</v>
      </c>
      <c r="X68" s="197">
        <f t="shared" si="188"/>
        <v>-3910.1300495833248</v>
      </c>
      <c r="Y68" s="199">
        <f t="shared" si="189"/>
        <v>-1338.8325653828413</v>
      </c>
      <c r="AB68" s="895">
        <v>6</v>
      </c>
      <c r="AC68" s="897" t="s">
        <v>4</v>
      </c>
      <c r="AD68" s="757">
        <f>'Arable Inputs'!$D$18</f>
        <v>4.5999999999999996</v>
      </c>
      <c r="AE68" s="757">
        <f>'Arable Inputs'!$D$25+0.5*'Arable Inputs'!$D$25</f>
        <v>1300.5</v>
      </c>
      <c r="AF68" s="757">
        <f>'Arable Inputs'!$D$19</f>
        <v>4.9000000000000004</v>
      </c>
      <c r="AG68" s="757">
        <f>'Arable Inputs'!$D$26+0.5*'Arable Inputs'!$D$26</f>
        <v>210</v>
      </c>
      <c r="AH68" s="759">
        <f>AD68*AE68+AF68*AG68</f>
        <v>7011.2999999999993</v>
      </c>
      <c r="AI68" s="197">
        <f>'Arable NPV'!$E148</f>
        <v>471.64</v>
      </c>
      <c r="AJ68" s="197">
        <f t="shared" si="190"/>
        <v>7482.94</v>
      </c>
      <c r="AK68" s="197">
        <f>'Arable NPV'!$G148</f>
        <v>2731.3292000000006</v>
      </c>
      <c r="AL68" s="197">
        <f>'Arable NPV'!$H148</f>
        <v>4055.6064000000006</v>
      </c>
      <c r="AM68" s="197">
        <f t="shared" si="191"/>
        <v>6786.9356000000007</v>
      </c>
      <c r="AN68" s="197">
        <f t="shared" si="192"/>
        <v>224.36439999999857</v>
      </c>
      <c r="AO68" s="197">
        <f t="shared" si="193"/>
        <v>696.0043999999989</v>
      </c>
      <c r="AP68" s="196">
        <f t="shared" si="161"/>
        <v>5762.7775236218413</v>
      </c>
      <c r="AQ68" s="197">
        <f t="shared" si="162"/>
        <v>387.65370063198054</v>
      </c>
      <c r="AR68" s="197">
        <f t="shared" si="163"/>
        <v>5578.3663414700441</v>
      </c>
      <c r="AS68" s="197">
        <f t="shared" si="164"/>
        <v>184.41118215179668</v>
      </c>
      <c r="AT68" s="199">
        <f t="shared" si="165"/>
        <v>572.06488278377753</v>
      </c>
      <c r="AU68" s="196">
        <f t="shared" si="194"/>
        <v>46000.137549203049</v>
      </c>
      <c r="AV68" s="197">
        <f t="shared" si="195"/>
        <v>2571.2974842004828</v>
      </c>
      <c r="AW68" s="197">
        <f t="shared" si="196"/>
        <v>34576.888415718691</v>
      </c>
      <c r="AX68" s="197">
        <f t="shared" si="197"/>
        <v>11423.249133484356</v>
      </c>
      <c r="AY68" s="199">
        <f t="shared" si="198"/>
        <v>13994.546617684839</v>
      </c>
      <c r="BB68" s="895">
        <v>6</v>
      </c>
      <c r="BC68" s="897" t="s">
        <v>4</v>
      </c>
      <c r="BD68" s="757">
        <f>'Arable Inputs'!$D$18</f>
        <v>4.5999999999999996</v>
      </c>
      <c r="BE68" s="757">
        <f>'Arable Inputs'!$D$25-0.5*'Arable Inputs'!$D$25</f>
        <v>433.5</v>
      </c>
      <c r="BF68" s="757">
        <f>'Arable Inputs'!$D$19</f>
        <v>4.9000000000000004</v>
      </c>
      <c r="BG68" s="757">
        <f>'Arable Inputs'!$D$26-0.5*'Arable Inputs'!$D$26</f>
        <v>70</v>
      </c>
      <c r="BH68" s="759">
        <f>BD68*BE68+BF68*BG68</f>
        <v>2337.1</v>
      </c>
      <c r="BI68" s="197">
        <f>'Arable NPV'!$E148</f>
        <v>471.64</v>
      </c>
      <c r="BJ68" s="197">
        <f t="shared" si="199"/>
        <v>2808.74</v>
      </c>
      <c r="BK68" s="197">
        <f>'Arable NPV'!$G148</f>
        <v>2731.3292000000006</v>
      </c>
      <c r="BL68" s="197">
        <f>'Arable NPV'!$H148</f>
        <v>4055.6064000000006</v>
      </c>
      <c r="BM68" s="197">
        <f t="shared" si="200"/>
        <v>6786.9356000000007</v>
      </c>
      <c r="BN68" s="197">
        <f t="shared" si="201"/>
        <v>-4449.8356000000003</v>
      </c>
      <c r="BO68" s="197">
        <f t="shared" si="202"/>
        <v>-3978.1956000000009</v>
      </c>
      <c r="BP68" s="196">
        <f t="shared" si="166"/>
        <v>1920.9258412072804</v>
      </c>
      <c r="BQ68" s="197">
        <f t="shared" si="167"/>
        <v>387.65370063198054</v>
      </c>
      <c r="BR68" s="197">
        <f t="shared" si="168"/>
        <v>5578.3663414700441</v>
      </c>
      <c r="BS68" s="197">
        <f t="shared" si="169"/>
        <v>-3657.4405002627636</v>
      </c>
      <c r="BT68" s="199">
        <f t="shared" si="170"/>
        <v>-3269.7867996307832</v>
      </c>
      <c r="BU68" s="196">
        <f t="shared" si="203"/>
        <v>15333.379183067686</v>
      </c>
      <c r="BV68" s="197">
        <f t="shared" si="204"/>
        <v>2571.2974842004828</v>
      </c>
      <c r="BW68" s="197">
        <f t="shared" si="205"/>
        <v>34576.888415718691</v>
      </c>
      <c r="BX68" s="197">
        <f t="shared" si="206"/>
        <v>-19243.509232651009</v>
      </c>
      <c r="BY68" s="199">
        <f t="shared" si="207"/>
        <v>-16672.211748450529</v>
      </c>
      <c r="CB68" s="895">
        <v>6</v>
      </c>
      <c r="CC68" s="897" t="s">
        <v>4</v>
      </c>
      <c r="CD68" s="757">
        <f>'Arable Inputs'!$D$18</f>
        <v>4.5999999999999996</v>
      </c>
      <c r="CE68" s="757">
        <f>'Arable Inputs'!$D$25+'Arable Inputs'!$D$25</f>
        <v>1734</v>
      </c>
      <c r="CF68" s="757">
        <f>'Arable Inputs'!$D$19</f>
        <v>4.9000000000000004</v>
      </c>
      <c r="CG68" s="757">
        <f>'Arable Inputs'!$D$26+'Arable Inputs'!$D$26</f>
        <v>280</v>
      </c>
      <c r="CH68" s="759">
        <f>CD68*CE68+CF68*CG68</f>
        <v>9348.4</v>
      </c>
      <c r="CI68" s="197">
        <f>'Arable NPV'!$E148</f>
        <v>471.64</v>
      </c>
      <c r="CJ68" s="197">
        <f t="shared" si="208"/>
        <v>9820.0399999999991</v>
      </c>
      <c r="CK68" s="197">
        <f>'Arable NPV'!$G148</f>
        <v>2731.3292000000006</v>
      </c>
      <c r="CL68" s="197">
        <f>'Arable NPV'!$H148</f>
        <v>4055.6064000000006</v>
      </c>
      <c r="CM68" s="197">
        <f t="shared" si="209"/>
        <v>6786.9356000000007</v>
      </c>
      <c r="CN68" s="197">
        <f t="shared" si="210"/>
        <v>2561.4643999999989</v>
      </c>
      <c r="CO68" s="197">
        <f t="shared" si="211"/>
        <v>3033.1043999999983</v>
      </c>
      <c r="CP68" s="196">
        <f t="shared" si="171"/>
        <v>7683.7033648291217</v>
      </c>
      <c r="CQ68" s="197">
        <f t="shared" si="172"/>
        <v>387.65370063198054</v>
      </c>
      <c r="CR68" s="197">
        <f t="shared" si="173"/>
        <v>5578.3663414700441</v>
      </c>
      <c r="CS68" s="197">
        <f t="shared" si="174"/>
        <v>2105.3370233590776</v>
      </c>
      <c r="CT68" s="199">
        <f t="shared" si="175"/>
        <v>2492.9907239910576</v>
      </c>
      <c r="CU68" s="196">
        <f t="shared" si="212"/>
        <v>61333.516732270742</v>
      </c>
      <c r="CV68" s="197">
        <f t="shared" si="213"/>
        <v>2571.2974842004828</v>
      </c>
      <c r="CW68" s="197">
        <f t="shared" si="214"/>
        <v>34576.888415718691</v>
      </c>
      <c r="CX68" s="197">
        <f t="shared" si="215"/>
        <v>26756.628316552044</v>
      </c>
      <c r="CY68" s="199">
        <f t="shared" si="216"/>
        <v>29327.925800752524</v>
      </c>
      <c r="DB68" s="204">
        <f t="shared" si="226"/>
        <v>6</v>
      </c>
      <c r="DC68" s="897" t="s">
        <v>4</v>
      </c>
      <c r="DD68" s="757">
        <f>'Arable Inputs'!$D$18</f>
        <v>4.5999999999999996</v>
      </c>
      <c r="DE68" s="757">
        <f>'Arable Inputs'!$D$25-'Arable Inputs'!$D$25</f>
        <v>0</v>
      </c>
      <c r="DF68" s="757">
        <f>'Arable Inputs'!$D$19</f>
        <v>4.9000000000000004</v>
      </c>
      <c r="DG68" s="757">
        <f>'Arable Inputs'!$D$26-'Arable Inputs'!$D$26</f>
        <v>0</v>
      </c>
      <c r="DH68" s="759">
        <f>DD68*DE68+DF68*DG68</f>
        <v>0</v>
      </c>
      <c r="DI68" s="197">
        <f>'Arable NPV'!$E148</f>
        <v>471.64</v>
      </c>
      <c r="DJ68" s="197">
        <f t="shared" si="217"/>
        <v>471.64</v>
      </c>
      <c r="DK68" s="197">
        <f>'Arable NPV'!$G148</f>
        <v>2731.3292000000006</v>
      </c>
      <c r="DL68" s="197">
        <f>'Arable NPV'!$H148</f>
        <v>4055.6064000000006</v>
      </c>
      <c r="DM68" s="197">
        <f t="shared" si="218"/>
        <v>6786.9356000000007</v>
      </c>
      <c r="DN68" s="197">
        <f t="shared" si="219"/>
        <v>-6786.9356000000007</v>
      </c>
      <c r="DO68" s="197">
        <f t="shared" si="220"/>
        <v>-6315.2956000000004</v>
      </c>
      <c r="DP68" s="196">
        <f t="shared" si="176"/>
        <v>0</v>
      </c>
      <c r="DQ68" s="197">
        <f t="shared" si="177"/>
        <v>387.65370063198054</v>
      </c>
      <c r="DR68" s="197">
        <f t="shared" si="178"/>
        <v>5578.3663414700441</v>
      </c>
      <c r="DS68" s="197">
        <f t="shared" si="179"/>
        <v>-5578.3663414700441</v>
      </c>
      <c r="DT68" s="199">
        <f t="shared" si="180"/>
        <v>-5190.7126408380636</v>
      </c>
      <c r="DU68" s="196">
        <f t="shared" si="221"/>
        <v>0</v>
      </c>
      <c r="DV68" s="197">
        <f t="shared" si="222"/>
        <v>2571.2974842004828</v>
      </c>
      <c r="DW68" s="197">
        <f t="shared" si="223"/>
        <v>34576.888415718691</v>
      </c>
      <c r="DX68" s="197">
        <f t="shared" si="224"/>
        <v>-34576.888415718691</v>
      </c>
      <c r="DY68" s="199">
        <f t="shared" si="225"/>
        <v>-32005.590931518207</v>
      </c>
    </row>
    <row r="69" spans="2:129" x14ac:dyDescent="0.3">
      <c r="B69" s="895">
        <v>7</v>
      </c>
      <c r="C69" s="897" t="s">
        <v>6</v>
      </c>
      <c r="D69" s="757">
        <f>'Arable Inputs'!$G$18</f>
        <v>56.8</v>
      </c>
      <c r="E69" s="757">
        <f>'Arable Inputs'!$G$25</f>
        <v>120</v>
      </c>
      <c r="H69" s="759">
        <f>D69*E69</f>
        <v>6816</v>
      </c>
      <c r="I69" s="197">
        <f>'Arable NPV'!$E149</f>
        <v>471.64</v>
      </c>
      <c r="J69" s="197">
        <f t="shared" si="181"/>
        <v>7287.64</v>
      </c>
      <c r="K69" s="197">
        <f>'Arable NPV'!$G149</f>
        <v>3648.3062999999997</v>
      </c>
      <c r="L69" s="197">
        <f>'Arable NPV'!$H149</f>
        <v>3375.8132000000005</v>
      </c>
      <c r="M69" s="197">
        <f t="shared" si="182"/>
        <v>7024.1195000000007</v>
      </c>
      <c r="N69" s="197">
        <f t="shared" si="183"/>
        <v>-208.1195000000007</v>
      </c>
      <c r="O69" s="197">
        <f t="shared" si="184"/>
        <v>263.52049999999963</v>
      </c>
      <c r="P69" s="196">
        <f t="shared" si="156"/>
        <v>5386.7838073766734</v>
      </c>
      <c r="Q69" s="197">
        <f t="shared" si="157"/>
        <v>372.74394291536589</v>
      </c>
      <c r="R69" s="197">
        <f t="shared" si="158"/>
        <v>5551.2636713143684</v>
      </c>
      <c r="S69" s="197">
        <f t="shared" si="159"/>
        <v>-164.47986393769563</v>
      </c>
      <c r="T69" s="199">
        <f t="shared" si="160"/>
        <v>208.26407897767058</v>
      </c>
      <c r="U69" s="196">
        <f t="shared" si="185"/>
        <v>36053.542173512047</v>
      </c>
      <c r="V69" s="197">
        <f t="shared" si="186"/>
        <v>2944.0414271158488</v>
      </c>
      <c r="W69" s="197">
        <f t="shared" si="187"/>
        <v>40128.152087033057</v>
      </c>
      <c r="X69" s="197">
        <f t="shared" si="188"/>
        <v>-4074.6099135210202</v>
      </c>
      <c r="Y69" s="199">
        <f t="shared" si="189"/>
        <v>-1130.5684864051707</v>
      </c>
      <c r="AB69" s="895">
        <v>7</v>
      </c>
      <c r="AC69" s="897" t="s">
        <v>6</v>
      </c>
      <c r="AD69" s="757">
        <f>'Arable Inputs'!$G$18</f>
        <v>56.8</v>
      </c>
      <c r="AE69" s="757">
        <f>'Arable Inputs'!$G$25+0.5*'Arable Inputs'!$G$25</f>
        <v>180</v>
      </c>
      <c r="AH69" s="759">
        <f>AD69*AE69</f>
        <v>10224</v>
      </c>
      <c r="AI69" s="197">
        <f>'Arable NPV'!$E149</f>
        <v>471.64</v>
      </c>
      <c r="AJ69" s="197">
        <f t="shared" si="190"/>
        <v>10695.64</v>
      </c>
      <c r="AK69" s="197">
        <f>'Arable NPV'!$G149</f>
        <v>3648.3062999999997</v>
      </c>
      <c r="AL69" s="197">
        <f>'Arable NPV'!$H149</f>
        <v>3375.8132000000005</v>
      </c>
      <c r="AM69" s="197">
        <f t="shared" si="191"/>
        <v>7024.1195000000007</v>
      </c>
      <c r="AN69" s="197">
        <f t="shared" si="192"/>
        <v>3199.8804999999993</v>
      </c>
      <c r="AO69" s="197">
        <f t="shared" si="193"/>
        <v>3671.5204999999987</v>
      </c>
      <c r="AP69" s="196">
        <f t="shared" si="161"/>
        <v>8080.1757110650096</v>
      </c>
      <c r="AQ69" s="197">
        <f t="shared" si="162"/>
        <v>372.74394291536589</v>
      </c>
      <c r="AR69" s="197">
        <f t="shared" si="163"/>
        <v>5551.2636713143684</v>
      </c>
      <c r="AS69" s="197">
        <f t="shared" si="164"/>
        <v>2528.9120397506408</v>
      </c>
      <c r="AT69" s="199">
        <f t="shared" si="165"/>
        <v>2901.6559826660064</v>
      </c>
      <c r="AU69" s="196">
        <f t="shared" si="194"/>
        <v>54080.313260268056</v>
      </c>
      <c r="AV69" s="197">
        <f t="shared" si="195"/>
        <v>2944.0414271158488</v>
      </c>
      <c r="AW69" s="197">
        <f t="shared" si="196"/>
        <v>40128.152087033057</v>
      </c>
      <c r="AX69" s="197">
        <f t="shared" si="197"/>
        <v>13952.161173234997</v>
      </c>
      <c r="AY69" s="199">
        <f t="shared" si="198"/>
        <v>16896.202600350844</v>
      </c>
      <c r="BB69" s="895">
        <v>7</v>
      </c>
      <c r="BC69" s="897" t="s">
        <v>6</v>
      </c>
      <c r="BD69" s="757">
        <f>'Arable Inputs'!$G$18</f>
        <v>56.8</v>
      </c>
      <c r="BE69" s="757">
        <f>'Arable Inputs'!$G$25-0.5*'Arable Inputs'!$G$25</f>
        <v>60</v>
      </c>
      <c r="BH69" s="759">
        <f>BD69*BE69</f>
        <v>3408</v>
      </c>
      <c r="BI69" s="197">
        <f>'Arable NPV'!$E149</f>
        <v>471.64</v>
      </c>
      <c r="BJ69" s="197">
        <f t="shared" si="199"/>
        <v>3879.64</v>
      </c>
      <c r="BK69" s="197">
        <f>'Arable NPV'!$G149</f>
        <v>3648.3062999999997</v>
      </c>
      <c r="BL69" s="197">
        <f>'Arable NPV'!$H149</f>
        <v>3375.8132000000005</v>
      </c>
      <c r="BM69" s="197">
        <f t="shared" si="200"/>
        <v>7024.1195000000007</v>
      </c>
      <c r="BN69" s="197">
        <f t="shared" si="201"/>
        <v>-3616.1195000000007</v>
      </c>
      <c r="BO69" s="197">
        <f t="shared" si="202"/>
        <v>-3144.4795000000008</v>
      </c>
      <c r="BP69" s="196">
        <f t="shared" si="166"/>
        <v>2693.3919036883367</v>
      </c>
      <c r="BQ69" s="197">
        <f t="shared" si="167"/>
        <v>372.74394291536589</v>
      </c>
      <c r="BR69" s="197">
        <f t="shared" si="168"/>
        <v>5551.2636713143684</v>
      </c>
      <c r="BS69" s="197">
        <f t="shared" si="169"/>
        <v>-2857.8717676260321</v>
      </c>
      <c r="BT69" s="199">
        <f t="shared" si="170"/>
        <v>-2485.1278247106666</v>
      </c>
      <c r="BU69" s="196">
        <f t="shared" si="203"/>
        <v>18026.771086756024</v>
      </c>
      <c r="BV69" s="197">
        <f t="shared" si="204"/>
        <v>2944.0414271158488</v>
      </c>
      <c r="BW69" s="197">
        <f t="shared" si="205"/>
        <v>40128.152087033057</v>
      </c>
      <c r="BX69" s="197">
        <f t="shared" si="206"/>
        <v>-22101.381000277041</v>
      </c>
      <c r="BY69" s="199">
        <f t="shared" si="207"/>
        <v>-19157.339573161196</v>
      </c>
      <c r="CB69" s="895">
        <v>7</v>
      </c>
      <c r="CC69" s="897" t="s">
        <v>6</v>
      </c>
      <c r="CD69" s="757">
        <f>'Arable Inputs'!$G$18</f>
        <v>56.8</v>
      </c>
      <c r="CE69" s="757">
        <f>'Arable Inputs'!$G$25+'Arable Inputs'!$G$25</f>
        <v>240</v>
      </c>
      <c r="CH69" s="759">
        <f>CD69*CE69</f>
        <v>13632</v>
      </c>
      <c r="CI69" s="197">
        <f>'Arable NPV'!$E149</f>
        <v>471.64</v>
      </c>
      <c r="CJ69" s="197">
        <f t="shared" si="208"/>
        <v>14103.64</v>
      </c>
      <c r="CK69" s="197">
        <f>'Arable NPV'!$G149</f>
        <v>3648.3062999999997</v>
      </c>
      <c r="CL69" s="197">
        <f>'Arable NPV'!$H149</f>
        <v>3375.8132000000005</v>
      </c>
      <c r="CM69" s="197">
        <f t="shared" si="209"/>
        <v>7024.1195000000007</v>
      </c>
      <c r="CN69" s="197">
        <f t="shared" si="210"/>
        <v>6607.8804999999993</v>
      </c>
      <c r="CO69" s="197">
        <f t="shared" si="211"/>
        <v>7079.5204999999987</v>
      </c>
      <c r="CP69" s="196">
        <f t="shared" si="171"/>
        <v>10773.567614753347</v>
      </c>
      <c r="CQ69" s="197">
        <f t="shared" si="172"/>
        <v>372.74394291536589</v>
      </c>
      <c r="CR69" s="197">
        <f t="shared" si="173"/>
        <v>5551.2636713143684</v>
      </c>
      <c r="CS69" s="197">
        <f t="shared" si="174"/>
        <v>5222.3039434389775</v>
      </c>
      <c r="CT69" s="199">
        <f t="shared" si="175"/>
        <v>5595.0478863543431</v>
      </c>
      <c r="CU69" s="196">
        <f t="shared" si="212"/>
        <v>72107.084347024094</v>
      </c>
      <c r="CV69" s="197">
        <f t="shared" si="213"/>
        <v>2944.0414271158488</v>
      </c>
      <c r="CW69" s="197">
        <f t="shared" si="214"/>
        <v>40128.152087033057</v>
      </c>
      <c r="CX69" s="197">
        <f t="shared" si="215"/>
        <v>31978.932259991023</v>
      </c>
      <c r="CY69" s="199">
        <f t="shared" si="216"/>
        <v>34922.973687106867</v>
      </c>
      <c r="DB69" s="204">
        <f t="shared" si="226"/>
        <v>7</v>
      </c>
      <c r="DC69" s="897" t="s">
        <v>6</v>
      </c>
      <c r="DD69" s="757">
        <f>'Arable Inputs'!$G$18</f>
        <v>56.8</v>
      </c>
      <c r="DE69" s="757">
        <f>'Arable Inputs'!$G$25-'Arable Inputs'!$G$25</f>
        <v>0</v>
      </c>
      <c r="DH69" s="759">
        <f>DD69*DE69</f>
        <v>0</v>
      </c>
      <c r="DI69" s="197">
        <f>'Arable NPV'!$E149</f>
        <v>471.64</v>
      </c>
      <c r="DJ69" s="197">
        <f t="shared" si="217"/>
        <v>471.64</v>
      </c>
      <c r="DK69" s="197">
        <f>'Arable NPV'!$G149</f>
        <v>3648.3062999999997</v>
      </c>
      <c r="DL69" s="197">
        <f>'Arable NPV'!$H149</f>
        <v>3375.8132000000005</v>
      </c>
      <c r="DM69" s="197">
        <f t="shared" si="218"/>
        <v>7024.1195000000007</v>
      </c>
      <c r="DN69" s="197">
        <f t="shared" si="219"/>
        <v>-7024.1195000000007</v>
      </c>
      <c r="DO69" s="197">
        <f t="shared" si="220"/>
        <v>-6552.4795000000004</v>
      </c>
      <c r="DP69" s="196">
        <f t="shared" si="176"/>
        <v>0</v>
      </c>
      <c r="DQ69" s="197">
        <f t="shared" si="177"/>
        <v>372.74394291536589</v>
      </c>
      <c r="DR69" s="197">
        <f t="shared" si="178"/>
        <v>5551.2636713143684</v>
      </c>
      <c r="DS69" s="197">
        <f t="shared" si="179"/>
        <v>-5551.2636713143684</v>
      </c>
      <c r="DT69" s="199">
        <f t="shared" si="180"/>
        <v>-5178.5197283990028</v>
      </c>
      <c r="DU69" s="196">
        <f t="shared" si="221"/>
        <v>0</v>
      </c>
      <c r="DV69" s="197">
        <f t="shared" si="222"/>
        <v>2944.0414271158488</v>
      </c>
      <c r="DW69" s="197">
        <f t="shared" si="223"/>
        <v>40128.152087033057</v>
      </c>
      <c r="DX69" s="197">
        <f t="shared" si="224"/>
        <v>-40128.152087033057</v>
      </c>
      <c r="DY69" s="199">
        <f t="shared" si="225"/>
        <v>-37184.110659917213</v>
      </c>
    </row>
    <row r="70" spans="2:129" x14ac:dyDescent="0.3">
      <c r="B70" s="895">
        <v>8</v>
      </c>
      <c r="C70" s="897" t="s">
        <v>258</v>
      </c>
      <c r="D70" s="757">
        <f>'Arable Inputs'!$H$18</f>
        <v>12</v>
      </c>
      <c r="E70" s="757">
        <f>'Arable Inputs'!$H$25</f>
        <v>724</v>
      </c>
      <c r="H70" s="759">
        <f>D70*E70</f>
        <v>8688</v>
      </c>
      <c r="I70" s="197">
        <f>'Arable NPV'!$E150</f>
        <v>471.64</v>
      </c>
      <c r="J70" s="197">
        <f t="shared" si="181"/>
        <v>9159.64</v>
      </c>
      <c r="K70" s="197">
        <f>'Arable NPV'!$G150</f>
        <v>2474.37212</v>
      </c>
      <c r="L70" s="197">
        <f>'Arable NPV'!$H150</f>
        <v>3226.3624</v>
      </c>
      <c r="M70" s="197">
        <f t="shared" si="182"/>
        <v>5700.73452</v>
      </c>
      <c r="N70" s="197">
        <f t="shared" si="183"/>
        <v>2987.26548</v>
      </c>
      <c r="O70" s="197">
        <f t="shared" si="184"/>
        <v>3458.9054799999994</v>
      </c>
      <c r="P70" s="196">
        <f t="shared" si="156"/>
        <v>6602.1659610995257</v>
      </c>
      <c r="Q70" s="197">
        <f t="shared" si="157"/>
        <v>358.40763741862111</v>
      </c>
      <c r="R70" s="197">
        <f t="shared" si="158"/>
        <v>4332.0897100839138</v>
      </c>
      <c r="S70" s="197">
        <f t="shared" si="159"/>
        <v>2270.0762510156119</v>
      </c>
      <c r="T70" s="199">
        <f t="shared" si="160"/>
        <v>2628.4838884342325</v>
      </c>
      <c r="U70" s="196">
        <f t="shared" si="185"/>
        <v>42655.708134611574</v>
      </c>
      <c r="V70" s="197">
        <f t="shared" si="186"/>
        <v>3302.4490645344699</v>
      </c>
      <c r="W70" s="197">
        <f t="shared" si="187"/>
        <v>44460.241797116971</v>
      </c>
      <c r="X70" s="197">
        <f t="shared" si="188"/>
        <v>-1804.5336625054083</v>
      </c>
      <c r="Y70" s="199">
        <f t="shared" si="189"/>
        <v>1497.9154020290619</v>
      </c>
      <c r="AB70" s="895">
        <v>8</v>
      </c>
      <c r="AC70" s="897" t="s">
        <v>29</v>
      </c>
      <c r="AD70" s="757">
        <f>'Arable Inputs'!$H$18</f>
        <v>12</v>
      </c>
      <c r="AE70" s="757">
        <f>'Arable Inputs'!$H$25+0.5*'Arable Inputs'!$H$25</f>
        <v>1086</v>
      </c>
      <c r="AH70" s="759">
        <f>AD70*AE70</f>
        <v>13032</v>
      </c>
      <c r="AI70" s="197">
        <f>'Arable NPV'!$E150</f>
        <v>471.64</v>
      </c>
      <c r="AJ70" s="197">
        <f t="shared" si="190"/>
        <v>13503.64</v>
      </c>
      <c r="AK70" s="197">
        <f>'Arable NPV'!$G150</f>
        <v>2474.37212</v>
      </c>
      <c r="AL70" s="197">
        <f>'Arable NPV'!$H150</f>
        <v>3226.3624</v>
      </c>
      <c r="AM70" s="197">
        <f t="shared" si="191"/>
        <v>5700.73452</v>
      </c>
      <c r="AN70" s="197">
        <f t="shared" si="192"/>
        <v>7331.26548</v>
      </c>
      <c r="AO70" s="197">
        <f t="shared" si="193"/>
        <v>7802.9054799999994</v>
      </c>
      <c r="AP70" s="196">
        <f t="shared" si="161"/>
        <v>9903.2489416492881</v>
      </c>
      <c r="AQ70" s="197">
        <f t="shared" si="162"/>
        <v>358.40763741862111</v>
      </c>
      <c r="AR70" s="197">
        <f t="shared" si="163"/>
        <v>4332.0897100839138</v>
      </c>
      <c r="AS70" s="197">
        <f t="shared" si="164"/>
        <v>5571.1592315653743</v>
      </c>
      <c r="AT70" s="199">
        <f t="shared" si="165"/>
        <v>5929.5668689839949</v>
      </c>
      <c r="AU70" s="196">
        <f t="shared" si="194"/>
        <v>63983.562201917346</v>
      </c>
      <c r="AV70" s="197">
        <f t="shared" si="195"/>
        <v>3302.4490645344699</v>
      </c>
      <c r="AW70" s="197">
        <f t="shared" si="196"/>
        <v>44460.241797116971</v>
      </c>
      <c r="AX70" s="197">
        <f t="shared" si="197"/>
        <v>19523.320404800372</v>
      </c>
      <c r="AY70" s="199">
        <f t="shared" si="198"/>
        <v>22825.769469334839</v>
      </c>
      <c r="BB70" s="895">
        <v>8</v>
      </c>
      <c r="BC70" s="897" t="s">
        <v>29</v>
      </c>
      <c r="BD70" s="757">
        <f>'Arable Inputs'!$H$18</f>
        <v>12</v>
      </c>
      <c r="BE70" s="757">
        <f>'Arable Inputs'!$H$25-0.5*'Arable Inputs'!$H$25</f>
        <v>362</v>
      </c>
      <c r="BH70" s="759">
        <f>BD70*BE70</f>
        <v>4344</v>
      </c>
      <c r="BI70" s="197">
        <f>'Arable NPV'!$E150</f>
        <v>471.64</v>
      </c>
      <c r="BJ70" s="197">
        <f t="shared" si="199"/>
        <v>4815.6400000000003</v>
      </c>
      <c r="BK70" s="197">
        <f>'Arable NPV'!$G150</f>
        <v>2474.37212</v>
      </c>
      <c r="BL70" s="197">
        <f>'Arable NPV'!$H150</f>
        <v>3226.3624</v>
      </c>
      <c r="BM70" s="197">
        <f t="shared" si="200"/>
        <v>5700.73452</v>
      </c>
      <c r="BN70" s="197">
        <f t="shared" si="201"/>
        <v>-1356.73452</v>
      </c>
      <c r="BO70" s="197">
        <f t="shared" si="202"/>
        <v>-885.09451999999965</v>
      </c>
      <c r="BP70" s="196">
        <f t="shared" si="166"/>
        <v>3301.0829805497629</v>
      </c>
      <c r="BQ70" s="197">
        <f t="shared" si="167"/>
        <v>358.40763741862111</v>
      </c>
      <c r="BR70" s="197">
        <f t="shared" si="168"/>
        <v>4332.0897100839138</v>
      </c>
      <c r="BS70" s="197">
        <f t="shared" si="169"/>
        <v>-1031.006729534151</v>
      </c>
      <c r="BT70" s="199">
        <f t="shared" si="170"/>
        <v>-672.59909211552952</v>
      </c>
      <c r="BU70" s="196">
        <f t="shared" si="203"/>
        <v>21327.854067305787</v>
      </c>
      <c r="BV70" s="197">
        <f t="shared" si="204"/>
        <v>3302.4490645344699</v>
      </c>
      <c r="BW70" s="197">
        <f t="shared" si="205"/>
        <v>44460.241797116971</v>
      </c>
      <c r="BX70" s="197">
        <f t="shared" si="206"/>
        <v>-23132.387729811191</v>
      </c>
      <c r="BY70" s="199">
        <f t="shared" si="207"/>
        <v>-19829.938665276724</v>
      </c>
      <c r="CB70" s="895">
        <v>8</v>
      </c>
      <c r="CC70" s="897" t="s">
        <v>29</v>
      </c>
      <c r="CD70" s="757">
        <f>'Arable Inputs'!$H$18</f>
        <v>12</v>
      </c>
      <c r="CE70" s="757">
        <f>'Arable Inputs'!$H$25+'Arable Inputs'!$H$25</f>
        <v>1448</v>
      </c>
      <c r="CH70" s="759">
        <f>CD70*CE70</f>
        <v>17376</v>
      </c>
      <c r="CI70" s="197">
        <f>'Arable NPV'!$E150</f>
        <v>471.64</v>
      </c>
      <c r="CJ70" s="197">
        <f t="shared" si="208"/>
        <v>17847.64</v>
      </c>
      <c r="CK70" s="197">
        <f>'Arable NPV'!$G150</f>
        <v>2474.37212</v>
      </c>
      <c r="CL70" s="197">
        <f>'Arable NPV'!$H150</f>
        <v>3226.3624</v>
      </c>
      <c r="CM70" s="197">
        <f t="shared" si="209"/>
        <v>5700.73452</v>
      </c>
      <c r="CN70" s="197">
        <f t="shared" si="210"/>
        <v>11675.26548</v>
      </c>
      <c r="CO70" s="197">
        <f t="shared" si="211"/>
        <v>12146.905479999999</v>
      </c>
      <c r="CP70" s="196">
        <f t="shared" si="171"/>
        <v>13204.331922199051</v>
      </c>
      <c r="CQ70" s="197">
        <f t="shared" si="172"/>
        <v>358.40763741862111</v>
      </c>
      <c r="CR70" s="197">
        <f t="shared" si="173"/>
        <v>4332.0897100839138</v>
      </c>
      <c r="CS70" s="197">
        <f t="shared" si="174"/>
        <v>8872.2422121151376</v>
      </c>
      <c r="CT70" s="199">
        <f t="shared" si="175"/>
        <v>9230.6498495337582</v>
      </c>
      <c r="CU70" s="196">
        <f t="shared" si="212"/>
        <v>85311.416269223148</v>
      </c>
      <c r="CV70" s="197">
        <f t="shared" si="213"/>
        <v>3302.4490645344699</v>
      </c>
      <c r="CW70" s="197">
        <f t="shared" si="214"/>
        <v>44460.241797116971</v>
      </c>
      <c r="CX70" s="197">
        <f t="shared" si="215"/>
        <v>40851.174472106162</v>
      </c>
      <c r="CY70" s="199">
        <f t="shared" si="216"/>
        <v>44153.623536640625</v>
      </c>
      <c r="DB70" s="204">
        <f t="shared" si="226"/>
        <v>8</v>
      </c>
      <c r="DC70" s="897" t="s">
        <v>29</v>
      </c>
      <c r="DD70" s="757">
        <f>'Arable Inputs'!$H$18</f>
        <v>12</v>
      </c>
      <c r="DE70" s="757">
        <f>'Arable Inputs'!$H$25-'Arable Inputs'!$H$25</f>
        <v>0</v>
      </c>
      <c r="DH70" s="759">
        <f>DD70*DE70</f>
        <v>0</v>
      </c>
      <c r="DI70" s="197">
        <f>'Arable NPV'!$E150</f>
        <v>471.64</v>
      </c>
      <c r="DJ70" s="197">
        <f t="shared" si="217"/>
        <v>471.64</v>
      </c>
      <c r="DK70" s="197">
        <f>'Arable NPV'!$G150</f>
        <v>2474.37212</v>
      </c>
      <c r="DL70" s="197">
        <f>'Arable NPV'!$H150</f>
        <v>3226.3624</v>
      </c>
      <c r="DM70" s="197">
        <f t="shared" si="218"/>
        <v>5700.73452</v>
      </c>
      <c r="DN70" s="197">
        <f t="shared" si="219"/>
        <v>-5700.73452</v>
      </c>
      <c r="DO70" s="197">
        <f t="shared" si="220"/>
        <v>-5229.0945199999996</v>
      </c>
      <c r="DP70" s="196">
        <f t="shared" si="176"/>
        <v>0</v>
      </c>
      <c r="DQ70" s="197">
        <f t="shared" si="177"/>
        <v>358.40763741862111</v>
      </c>
      <c r="DR70" s="197">
        <f t="shared" si="178"/>
        <v>4332.0897100839138</v>
      </c>
      <c r="DS70" s="197">
        <f t="shared" si="179"/>
        <v>-4332.0897100839138</v>
      </c>
      <c r="DT70" s="199">
        <f t="shared" si="180"/>
        <v>-3973.6820726652923</v>
      </c>
      <c r="DU70" s="196">
        <f t="shared" si="221"/>
        <v>0</v>
      </c>
      <c r="DV70" s="197">
        <f t="shared" si="222"/>
        <v>3302.4490645344699</v>
      </c>
      <c r="DW70" s="197">
        <f t="shared" si="223"/>
        <v>44460.241797116971</v>
      </c>
      <c r="DX70" s="197">
        <f t="shared" si="224"/>
        <v>-44460.241797116971</v>
      </c>
      <c r="DY70" s="199">
        <f t="shared" si="225"/>
        <v>-41157.792732582508</v>
      </c>
    </row>
    <row r="71" spans="2:129" x14ac:dyDescent="0.3">
      <c r="B71" s="895">
        <v>9</v>
      </c>
      <c r="C71" s="897" t="s">
        <v>5</v>
      </c>
      <c r="D71" s="757">
        <f>'Arable Inputs'!$F$18</f>
        <v>3.5</v>
      </c>
      <c r="E71" s="757">
        <f>'Arable Inputs'!$F$25</f>
        <v>1645</v>
      </c>
      <c r="F71" s="757">
        <f>'Arable Inputs'!$F$19</f>
        <v>5.6</v>
      </c>
      <c r="G71" s="757">
        <f>'Arable Inputs'!$F$26</f>
        <v>120</v>
      </c>
      <c r="H71" s="759">
        <f>D71*E71+F71*G71</f>
        <v>6429.5</v>
      </c>
      <c r="I71" s="197">
        <f>'Arable NPV'!$E151</f>
        <v>471.64</v>
      </c>
      <c r="J71" s="197">
        <f t="shared" si="181"/>
        <v>6901.14</v>
      </c>
      <c r="K71" s="197">
        <f>'Arable NPV'!$G151</f>
        <v>3562.03775</v>
      </c>
      <c r="L71" s="197">
        <f>'Arable NPV'!$H151</f>
        <v>2542.6675999999998</v>
      </c>
      <c r="M71" s="197">
        <f t="shared" si="182"/>
        <v>6104.7053500000002</v>
      </c>
      <c r="N71" s="197">
        <f t="shared" si="183"/>
        <v>324.79464999999982</v>
      </c>
      <c r="O71" s="197">
        <f t="shared" si="184"/>
        <v>796.43465000000015</v>
      </c>
      <c r="P71" s="196">
        <f t="shared" si="156"/>
        <v>4697.9726730602542</v>
      </c>
      <c r="Q71" s="197">
        <f t="shared" si="157"/>
        <v>344.6227282871356</v>
      </c>
      <c r="R71" s="197">
        <f t="shared" si="158"/>
        <v>4460.6484036682068</v>
      </c>
      <c r="S71" s="197">
        <f t="shared" si="159"/>
        <v>237.32426939204743</v>
      </c>
      <c r="T71" s="199">
        <f t="shared" si="160"/>
        <v>581.94699767918326</v>
      </c>
      <c r="U71" s="196">
        <f t="shared" si="185"/>
        <v>47353.68080767183</v>
      </c>
      <c r="V71" s="197">
        <f t="shared" si="186"/>
        <v>3647.0717928216054</v>
      </c>
      <c r="W71" s="197">
        <f t="shared" si="187"/>
        <v>48920.890200785179</v>
      </c>
      <c r="X71" s="197">
        <f t="shared" si="188"/>
        <v>-1567.2093931133609</v>
      </c>
      <c r="Y71" s="199">
        <f t="shared" si="189"/>
        <v>2079.862399708245</v>
      </c>
      <c r="AB71" s="895">
        <v>9</v>
      </c>
      <c r="AC71" s="897" t="s">
        <v>5</v>
      </c>
      <c r="AD71" s="757">
        <f>'Arable Inputs'!$F$18</f>
        <v>3.5</v>
      </c>
      <c r="AE71" s="757">
        <f>'Arable Inputs'!$F$25+0.5*'Arable Inputs'!$F$25</f>
        <v>2467.5</v>
      </c>
      <c r="AF71" s="757">
        <f>'Arable Inputs'!$F$19</f>
        <v>5.6</v>
      </c>
      <c r="AG71" s="757">
        <f>'Arable Inputs'!$F$26+0.5*'Arable Inputs'!$F$26</f>
        <v>180</v>
      </c>
      <c r="AH71" s="759">
        <f>AD71*AE71+AF71*AG71</f>
        <v>9644.25</v>
      </c>
      <c r="AI71" s="197">
        <f>'Arable NPV'!$E151</f>
        <v>471.64</v>
      </c>
      <c r="AJ71" s="197">
        <f t="shared" si="190"/>
        <v>10115.89</v>
      </c>
      <c r="AK71" s="197">
        <f>'Arable NPV'!$G151</f>
        <v>3562.03775</v>
      </c>
      <c r="AL71" s="197">
        <f>'Arable NPV'!$H151</f>
        <v>2542.6675999999998</v>
      </c>
      <c r="AM71" s="197">
        <f t="shared" si="191"/>
        <v>6104.7053500000002</v>
      </c>
      <c r="AN71" s="197">
        <f t="shared" si="192"/>
        <v>3539.5446499999998</v>
      </c>
      <c r="AO71" s="197">
        <f t="shared" si="193"/>
        <v>4011.1846499999992</v>
      </c>
      <c r="AP71" s="196">
        <f t="shared" si="161"/>
        <v>7046.9590095903823</v>
      </c>
      <c r="AQ71" s="197">
        <f t="shared" si="162"/>
        <v>344.6227282871356</v>
      </c>
      <c r="AR71" s="197">
        <f t="shared" si="163"/>
        <v>4460.6484036682068</v>
      </c>
      <c r="AS71" s="197">
        <f t="shared" si="164"/>
        <v>2586.310605922175</v>
      </c>
      <c r="AT71" s="199">
        <f t="shared" si="165"/>
        <v>2930.93333420931</v>
      </c>
      <c r="AU71" s="196">
        <f t="shared" si="194"/>
        <v>71030.52121150773</v>
      </c>
      <c r="AV71" s="197">
        <f t="shared" si="195"/>
        <v>3647.0717928216054</v>
      </c>
      <c r="AW71" s="197">
        <f t="shared" si="196"/>
        <v>48920.890200785179</v>
      </c>
      <c r="AX71" s="197">
        <f t="shared" si="197"/>
        <v>22109.631010722547</v>
      </c>
      <c r="AY71" s="199">
        <f t="shared" si="198"/>
        <v>25756.702803544147</v>
      </c>
      <c r="BB71" s="895">
        <v>9</v>
      </c>
      <c r="BC71" s="897" t="s">
        <v>5</v>
      </c>
      <c r="BD71" s="757">
        <f>'Arable Inputs'!$F$18</f>
        <v>3.5</v>
      </c>
      <c r="BE71" s="757">
        <f>'Arable Inputs'!$F$25-0.5*'Arable Inputs'!$F$25</f>
        <v>822.5</v>
      </c>
      <c r="BF71" s="757">
        <f>'Arable Inputs'!$F$19</f>
        <v>5.6</v>
      </c>
      <c r="BG71" s="757">
        <f>'Arable Inputs'!$F$26-0.5*'Arable Inputs'!$F$26</f>
        <v>60</v>
      </c>
      <c r="BH71" s="759">
        <f>BD71*BE71+BF71*BG71</f>
        <v>3214.75</v>
      </c>
      <c r="BI71" s="197">
        <f>'Arable NPV'!$E151</f>
        <v>471.64</v>
      </c>
      <c r="BJ71" s="197">
        <f t="shared" si="199"/>
        <v>3686.39</v>
      </c>
      <c r="BK71" s="197">
        <f>'Arable NPV'!$G151</f>
        <v>3562.03775</v>
      </c>
      <c r="BL71" s="197">
        <f>'Arable NPV'!$H151</f>
        <v>2542.6675999999998</v>
      </c>
      <c r="BM71" s="197">
        <f t="shared" si="200"/>
        <v>6104.7053500000002</v>
      </c>
      <c r="BN71" s="197">
        <f t="shared" si="201"/>
        <v>-2889.9553500000002</v>
      </c>
      <c r="BO71" s="197">
        <f t="shared" si="202"/>
        <v>-2418.3153500000003</v>
      </c>
      <c r="BP71" s="196">
        <f t="shared" si="166"/>
        <v>2348.9863365301271</v>
      </c>
      <c r="BQ71" s="197">
        <f t="shared" si="167"/>
        <v>344.6227282871356</v>
      </c>
      <c r="BR71" s="197">
        <f t="shared" si="168"/>
        <v>4460.6484036682068</v>
      </c>
      <c r="BS71" s="197">
        <f t="shared" si="169"/>
        <v>-2111.6620671380797</v>
      </c>
      <c r="BT71" s="199">
        <f t="shared" si="170"/>
        <v>-1767.0393388509444</v>
      </c>
      <c r="BU71" s="196">
        <f t="shared" si="203"/>
        <v>23676.840403835915</v>
      </c>
      <c r="BV71" s="197">
        <f t="shared" si="204"/>
        <v>3647.0717928216054</v>
      </c>
      <c r="BW71" s="197">
        <f t="shared" si="205"/>
        <v>48920.890200785179</v>
      </c>
      <c r="BX71" s="197">
        <f t="shared" si="206"/>
        <v>-25244.049796949272</v>
      </c>
      <c r="BY71" s="199">
        <f t="shared" si="207"/>
        <v>-21596.978004127668</v>
      </c>
      <c r="CB71" s="895">
        <v>9</v>
      </c>
      <c r="CC71" s="897" t="s">
        <v>5</v>
      </c>
      <c r="CD71" s="757">
        <f>'Arable Inputs'!$F$18</f>
        <v>3.5</v>
      </c>
      <c r="CE71" s="757">
        <f>'Arable Inputs'!$F$25+'Arable Inputs'!$F$25</f>
        <v>3290</v>
      </c>
      <c r="CF71" s="757">
        <f>'Arable Inputs'!$F$19</f>
        <v>5.6</v>
      </c>
      <c r="CG71" s="757">
        <f>'Arable Inputs'!$F$26+'Arable Inputs'!$F$26</f>
        <v>240</v>
      </c>
      <c r="CH71" s="759">
        <f>CD71*CE71+CF71*CG71</f>
        <v>12859</v>
      </c>
      <c r="CI71" s="197">
        <f>'Arable NPV'!$E151</f>
        <v>471.64</v>
      </c>
      <c r="CJ71" s="197">
        <f t="shared" si="208"/>
        <v>13330.64</v>
      </c>
      <c r="CK71" s="197">
        <f>'Arable NPV'!$G151</f>
        <v>3562.03775</v>
      </c>
      <c r="CL71" s="197">
        <f>'Arable NPV'!$H151</f>
        <v>2542.6675999999998</v>
      </c>
      <c r="CM71" s="197">
        <f t="shared" si="209"/>
        <v>6104.7053500000002</v>
      </c>
      <c r="CN71" s="197">
        <f t="shared" si="210"/>
        <v>6754.2946499999998</v>
      </c>
      <c r="CO71" s="197">
        <f t="shared" si="211"/>
        <v>7225.9346499999992</v>
      </c>
      <c r="CP71" s="196">
        <f t="shared" si="171"/>
        <v>9395.9453461205085</v>
      </c>
      <c r="CQ71" s="197">
        <f t="shared" si="172"/>
        <v>344.6227282871356</v>
      </c>
      <c r="CR71" s="197">
        <f t="shared" si="173"/>
        <v>4460.6484036682068</v>
      </c>
      <c r="CS71" s="197">
        <f t="shared" si="174"/>
        <v>4935.2969424523026</v>
      </c>
      <c r="CT71" s="199">
        <f t="shared" si="175"/>
        <v>5279.9196707394376</v>
      </c>
      <c r="CU71" s="196">
        <f t="shared" si="212"/>
        <v>94707.36161534366</v>
      </c>
      <c r="CV71" s="197">
        <f t="shared" si="213"/>
        <v>3647.0717928216054</v>
      </c>
      <c r="CW71" s="197">
        <f t="shared" si="214"/>
        <v>48920.890200785179</v>
      </c>
      <c r="CX71" s="197">
        <f t="shared" si="215"/>
        <v>45786.471414558466</v>
      </c>
      <c r="CY71" s="199">
        <f t="shared" si="216"/>
        <v>49433.543207380062</v>
      </c>
      <c r="DB71" s="204">
        <f t="shared" si="226"/>
        <v>9</v>
      </c>
      <c r="DC71" s="897" t="s">
        <v>5</v>
      </c>
      <c r="DD71" s="757">
        <f>'Arable Inputs'!$F$18</f>
        <v>3.5</v>
      </c>
      <c r="DE71" s="757">
        <f>'Arable Inputs'!$F$25-'Arable Inputs'!$F$25</f>
        <v>0</v>
      </c>
      <c r="DF71" s="757">
        <f>'Arable Inputs'!$F$19</f>
        <v>5.6</v>
      </c>
      <c r="DG71" s="757">
        <f>'Arable Inputs'!$F$26-'Arable Inputs'!$F$26</f>
        <v>0</v>
      </c>
      <c r="DH71" s="759">
        <f>DD71*DE71+DF71*DG71</f>
        <v>0</v>
      </c>
      <c r="DI71" s="197">
        <f>'Arable NPV'!$E151</f>
        <v>471.64</v>
      </c>
      <c r="DJ71" s="197">
        <f t="shared" si="217"/>
        <v>471.64</v>
      </c>
      <c r="DK71" s="197">
        <f>'Arable NPV'!$G151</f>
        <v>3562.03775</v>
      </c>
      <c r="DL71" s="197">
        <f>'Arable NPV'!$H151</f>
        <v>2542.6675999999998</v>
      </c>
      <c r="DM71" s="197">
        <f t="shared" si="218"/>
        <v>6104.7053500000002</v>
      </c>
      <c r="DN71" s="197">
        <f t="shared" si="219"/>
        <v>-6104.7053500000002</v>
      </c>
      <c r="DO71" s="197">
        <f t="shared" si="220"/>
        <v>-5633.0653499999999</v>
      </c>
      <c r="DP71" s="196">
        <f t="shared" si="176"/>
        <v>0</v>
      </c>
      <c r="DQ71" s="197">
        <f t="shared" si="177"/>
        <v>344.6227282871356</v>
      </c>
      <c r="DR71" s="197">
        <f t="shared" si="178"/>
        <v>4460.6484036682068</v>
      </c>
      <c r="DS71" s="197">
        <f t="shared" si="179"/>
        <v>-4460.6484036682068</v>
      </c>
      <c r="DT71" s="199">
        <f t="shared" si="180"/>
        <v>-4116.0256753810718</v>
      </c>
      <c r="DU71" s="196">
        <f t="shared" si="221"/>
        <v>0</v>
      </c>
      <c r="DV71" s="197">
        <f t="shared" si="222"/>
        <v>3647.0717928216054</v>
      </c>
      <c r="DW71" s="197">
        <f t="shared" si="223"/>
        <v>48920.890200785179</v>
      </c>
      <c r="DX71" s="197">
        <f t="shared" si="224"/>
        <v>-48920.890200785179</v>
      </c>
      <c r="DY71" s="199">
        <f t="shared" si="225"/>
        <v>-45273.818407963583</v>
      </c>
    </row>
    <row r="72" spans="2:129" x14ac:dyDescent="0.3">
      <c r="B72" s="895">
        <v>10</v>
      </c>
      <c r="C72" s="897" t="s">
        <v>647</v>
      </c>
      <c r="D72" s="757">
        <f>'Arable Inputs'!$E$18</f>
        <v>2.5</v>
      </c>
      <c r="E72" s="757">
        <f>'Arable Inputs'!$E$25</f>
        <v>721</v>
      </c>
      <c r="F72" s="757">
        <f>'Arable Inputs'!$E$19</f>
        <v>3</v>
      </c>
      <c r="G72" s="757">
        <f>'Arable Inputs'!$E$26</f>
        <v>120</v>
      </c>
      <c r="H72" s="759">
        <f>D72*E72+F72*G72</f>
        <v>2162.5</v>
      </c>
      <c r="I72" s="197">
        <f>'Arable NPV'!$E152</f>
        <v>471.64</v>
      </c>
      <c r="J72" s="197">
        <f t="shared" si="181"/>
        <v>2634.14</v>
      </c>
      <c r="K72" s="197">
        <f>'Arable NPV'!$G152</f>
        <v>1959.4805899999999</v>
      </c>
      <c r="L72" s="197">
        <f>'Arable NPV'!$H152</f>
        <v>3608.9468000000006</v>
      </c>
      <c r="M72" s="197">
        <f t="shared" si="182"/>
        <v>5568.4273900000007</v>
      </c>
      <c r="N72" s="197">
        <f t="shared" si="183"/>
        <v>-3405.9273900000007</v>
      </c>
      <c r="O72" s="197">
        <f t="shared" si="184"/>
        <v>-2934.2873900000009</v>
      </c>
      <c r="P72" s="196">
        <f t="shared" si="156"/>
        <v>1519.3438156892209</v>
      </c>
      <c r="Q72" s="197">
        <f t="shared" si="157"/>
        <v>331.36800796839958</v>
      </c>
      <c r="R72" s="197">
        <f t="shared" si="158"/>
        <v>3912.3032222478478</v>
      </c>
      <c r="S72" s="197">
        <f t="shared" si="159"/>
        <v>-2392.9594065586266</v>
      </c>
      <c r="T72" s="199">
        <f t="shared" si="160"/>
        <v>-2061.5913985902271</v>
      </c>
      <c r="U72" s="196">
        <f t="shared" si="185"/>
        <v>48873.024623361052</v>
      </c>
      <c r="V72" s="197">
        <f t="shared" si="186"/>
        <v>3978.4398007900049</v>
      </c>
      <c r="W72" s="197">
        <f t="shared" si="187"/>
        <v>52833.19342303303</v>
      </c>
      <c r="X72" s="197">
        <f t="shared" si="188"/>
        <v>-3960.1687996719875</v>
      </c>
      <c r="Y72" s="199">
        <f t="shared" si="189"/>
        <v>18.271001118017921</v>
      </c>
      <c r="AB72" s="895">
        <v>10</v>
      </c>
      <c r="AC72" s="897" t="s">
        <v>647</v>
      </c>
      <c r="AD72" s="757">
        <f>'Arable Inputs'!$E$18</f>
        <v>2.5</v>
      </c>
      <c r="AE72" s="757">
        <f>'Arable Inputs'!$E$25+0.5*'Arable Inputs'!$E$25</f>
        <v>1081.5</v>
      </c>
      <c r="AF72" s="757">
        <f>'Arable Inputs'!$E$19</f>
        <v>3</v>
      </c>
      <c r="AG72" s="757">
        <f>'Arable Inputs'!$E$26+0.5*'Arable Inputs'!$E$26</f>
        <v>180</v>
      </c>
      <c r="AH72" s="759">
        <f>AD72*AE72+AF72*AG72</f>
        <v>3243.75</v>
      </c>
      <c r="AI72" s="197">
        <f>'Arable NPV'!$E152</f>
        <v>471.64</v>
      </c>
      <c r="AJ72" s="197">
        <f t="shared" si="190"/>
        <v>3715.39</v>
      </c>
      <c r="AK72" s="197">
        <f>'Arable NPV'!$G152</f>
        <v>1959.4805899999999</v>
      </c>
      <c r="AL72" s="197">
        <f>'Arable NPV'!$H152</f>
        <v>3608.9468000000006</v>
      </c>
      <c r="AM72" s="197">
        <f t="shared" si="191"/>
        <v>5568.4273900000007</v>
      </c>
      <c r="AN72" s="197">
        <f t="shared" si="192"/>
        <v>-2324.6773900000007</v>
      </c>
      <c r="AO72" s="197">
        <f t="shared" si="193"/>
        <v>-1853.0373900000009</v>
      </c>
      <c r="AP72" s="196">
        <f t="shared" si="161"/>
        <v>2279.0157235338315</v>
      </c>
      <c r="AQ72" s="197">
        <f t="shared" si="162"/>
        <v>331.36800796839958</v>
      </c>
      <c r="AR72" s="197">
        <f t="shared" si="163"/>
        <v>3912.3032222478478</v>
      </c>
      <c r="AS72" s="197">
        <f t="shared" si="164"/>
        <v>-1633.2874987140162</v>
      </c>
      <c r="AT72" s="199">
        <f t="shared" si="165"/>
        <v>-1301.9194907456167</v>
      </c>
      <c r="AU72" s="196">
        <f t="shared" si="194"/>
        <v>73309.536935041557</v>
      </c>
      <c r="AV72" s="197">
        <f t="shared" si="195"/>
        <v>3978.4398007900049</v>
      </c>
      <c r="AW72" s="197">
        <f t="shared" si="196"/>
        <v>52833.19342303303</v>
      </c>
      <c r="AX72" s="197">
        <f t="shared" si="197"/>
        <v>20476.343512008531</v>
      </c>
      <c r="AY72" s="199">
        <f t="shared" si="198"/>
        <v>24454.783312798529</v>
      </c>
      <c r="BB72" s="895">
        <v>10</v>
      </c>
      <c r="BC72" s="897" t="s">
        <v>647</v>
      </c>
      <c r="BD72" s="757">
        <f>'Arable Inputs'!$E$18</f>
        <v>2.5</v>
      </c>
      <c r="BE72" s="757">
        <f>'Arable Inputs'!$E$25-0.5*'Arable Inputs'!$E$25</f>
        <v>360.5</v>
      </c>
      <c r="BF72" s="757">
        <f>'Arable Inputs'!$E$19</f>
        <v>3</v>
      </c>
      <c r="BG72" s="757">
        <f>'Arable Inputs'!$E$26-0.5*'Arable Inputs'!$E$26</f>
        <v>60</v>
      </c>
      <c r="BH72" s="759">
        <f>BD72*BE72+BF72*BG72</f>
        <v>1081.25</v>
      </c>
      <c r="BI72" s="197">
        <f>'Arable NPV'!$E152</f>
        <v>471.64</v>
      </c>
      <c r="BJ72" s="197">
        <f t="shared" si="199"/>
        <v>1552.8899999999999</v>
      </c>
      <c r="BK72" s="197">
        <f>'Arable NPV'!$G152</f>
        <v>1959.4805899999999</v>
      </c>
      <c r="BL72" s="197">
        <f>'Arable NPV'!$H152</f>
        <v>3608.9468000000006</v>
      </c>
      <c r="BM72" s="197">
        <f t="shared" si="200"/>
        <v>5568.4273900000007</v>
      </c>
      <c r="BN72" s="197">
        <f t="shared" si="201"/>
        <v>-4487.1773900000007</v>
      </c>
      <c r="BO72" s="197">
        <f t="shared" si="202"/>
        <v>-4015.5373900000009</v>
      </c>
      <c r="BP72" s="196">
        <f t="shared" si="166"/>
        <v>759.67190784461047</v>
      </c>
      <c r="BQ72" s="197">
        <f t="shared" si="167"/>
        <v>331.36800796839958</v>
      </c>
      <c r="BR72" s="197">
        <f t="shared" si="168"/>
        <v>3912.3032222478478</v>
      </c>
      <c r="BS72" s="197">
        <f t="shared" si="169"/>
        <v>-3152.6313144032374</v>
      </c>
      <c r="BT72" s="199">
        <f t="shared" si="170"/>
        <v>-2821.2633064348379</v>
      </c>
      <c r="BU72" s="196">
        <f t="shared" si="203"/>
        <v>24436.512311680526</v>
      </c>
      <c r="BV72" s="197">
        <f t="shared" si="204"/>
        <v>3978.4398007900049</v>
      </c>
      <c r="BW72" s="197">
        <f t="shared" si="205"/>
        <v>52833.19342303303</v>
      </c>
      <c r="BX72" s="197">
        <f t="shared" si="206"/>
        <v>-28396.681111352511</v>
      </c>
      <c r="BY72" s="199">
        <f t="shared" si="207"/>
        <v>-24418.241310562506</v>
      </c>
      <c r="CB72" s="895">
        <v>10</v>
      </c>
      <c r="CC72" s="897" t="s">
        <v>647</v>
      </c>
      <c r="CD72" s="757">
        <f>'Arable Inputs'!$E$18</f>
        <v>2.5</v>
      </c>
      <c r="CE72" s="757">
        <f>'Arable Inputs'!$E$25+'Arable Inputs'!$E$25</f>
        <v>1442</v>
      </c>
      <c r="CF72" s="757">
        <f>'Arable Inputs'!$E$19</f>
        <v>3</v>
      </c>
      <c r="CG72" s="757">
        <f>'Arable Inputs'!$E$26+'Arable Inputs'!$E$26</f>
        <v>240</v>
      </c>
      <c r="CH72" s="759">
        <f>CD72*CE72+CF72*CG72</f>
        <v>4325</v>
      </c>
      <c r="CI72" s="197">
        <f>'Arable NPV'!$E152</f>
        <v>471.64</v>
      </c>
      <c r="CJ72" s="197">
        <f t="shared" si="208"/>
        <v>4796.6400000000003</v>
      </c>
      <c r="CK72" s="197">
        <f>'Arable NPV'!$G152</f>
        <v>1959.4805899999999</v>
      </c>
      <c r="CL72" s="197">
        <f>'Arable NPV'!$H152</f>
        <v>3608.9468000000006</v>
      </c>
      <c r="CM72" s="197">
        <f t="shared" si="209"/>
        <v>5568.4273900000007</v>
      </c>
      <c r="CN72" s="197">
        <f t="shared" si="210"/>
        <v>-1243.4273900000007</v>
      </c>
      <c r="CO72" s="197">
        <f t="shared" si="211"/>
        <v>-771.78739000000041</v>
      </c>
      <c r="CP72" s="196">
        <f t="shared" si="171"/>
        <v>3038.6876313784419</v>
      </c>
      <c r="CQ72" s="197">
        <f t="shared" si="172"/>
        <v>331.36800796839958</v>
      </c>
      <c r="CR72" s="197">
        <f t="shared" si="173"/>
        <v>3912.3032222478478</v>
      </c>
      <c r="CS72" s="197">
        <f t="shared" si="174"/>
        <v>-873.61559086940588</v>
      </c>
      <c r="CT72" s="199">
        <f t="shared" si="175"/>
        <v>-542.24758290100601</v>
      </c>
      <c r="CU72" s="196">
        <f t="shared" si="212"/>
        <v>97746.049246722105</v>
      </c>
      <c r="CV72" s="197">
        <f t="shared" si="213"/>
        <v>3978.4398007900049</v>
      </c>
      <c r="CW72" s="197">
        <f t="shared" si="214"/>
        <v>52833.19342303303</v>
      </c>
      <c r="CX72" s="197">
        <f t="shared" si="215"/>
        <v>44912.85582368906</v>
      </c>
      <c r="CY72" s="199">
        <f t="shared" si="216"/>
        <v>48891.295624479055</v>
      </c>
      <c r="DB72" s="204">
        <f t="shared" si="226"/>
        <v>10</v>
      </c>
      <c r="DC72" s="897" t="s">
        <v>647</v>
      </c>
      <c r="DD72" s="757">
        <f>'Arable Inputs'!$E$18</f>
        <v>2.5</v>
      </c>
      <c r="DE72" s="757">
        <f>'Arable Inputs'!$E$25-'Arable Inputs'!$E$25</f>
        <v>0</v>
      </c>
      <c r="DF72" s="757">
        <f>'Arable Inputs'!$E$19</f>
        <v>3</v>
      </c>
      <c r="DG72" s="757">
        <f>'Arable Inputs'!$E$26-'Arable Inputs'!$E$26</f>
        <v>0</v>
      </c>
      <c r="DH72" s="759">
        <f>DD72*DE72+DF72*DG72</f>
        <v>0</v>
      </c>
      <c r="DI72" s="197">
        <f>'Arable NPV'!$E152</f>
        <v>471.64</v>
      </c>
      <c r="DJ72" s="197">
        <f t="shared" si="217"/>
        <v>471.64</v>
      </c>
      <c r="DK72" s="197">
        <f>'Arable NPV'!$G152</f>
        <v>1959.4805899999999</v>
      </c>
      <c r="DL72" s="197">
        <f>'Arable NPV'!$H152</f>
        <v>3608.9468000000006</v>
      </c>
      <c r="DM72" s="197">
        <f t="shared" si="218"/>
        <v>5568.4273900000007</v>
      </c>
      <c r="DN72" s="197">
        <f t="shared" si="219"/>
        <v>-5568.4273900000007</v>
      </c>
      <c r="DO72" s="197">
        <f t="shared" si="220"/>
        <v>-5096.7873900000004</v>
      </c>
      <c r="DP72" s="196">
        <f t="shared" si="176"/>
        <v>0</v>
      </c>
      <c r="DQ72" s="197">
        <f t="shared" si="177"/>
        <v>331.36800796839958</v>
      </c>
      <c r="DR72" s="197">
        <f t="shared" si="178"/>
        <v>3912.3032222478478</v>
      </c>
      <c r="DS72" s="197">
        <f t="shared" si="179"/>
        <v>-3912.3032222478478</v>
      </c>
      <c r="DT72" s="199">
        <f t="shared" si="180"/>
        <v>-3580.9352142794478</v>
      </c>
      <c r="DU72" s="196">
        <f t="shared" si="221"/>
        <v>0</v>
      </c>
      <c r="DV72" s="197">
        <f t="shared" si="222"/>
        <v>3978.4398007900049</v>
      </c>
      <c r="DW72" s="197">
        <f t="shared" si="223"/>
        <v>52833.19342303303</v>
      </c>
      <c r="DX72" s="197">
        <f t="shared" si="224"/>
        <v>-52833.19342303303</v>
      </c>
      <c r="DY72" s="199">
        <f t="shared" si="225"/>
        <v>-48854.753622243028</v>
      </c>
    </row>
    <row r="73" spans="2:129" x14ac:dyDescent="0.3">
      <c r="B73" s="895">
        <v>11</v>
      </c>
      <c r="C73" s="897" t="s">
        <v>4</v>
      </c>
      <c r="D73" s="757">
        <f>'Arable Inputs'!$D$18</f>
        <v>4.5999999999999996</v>
      </c>
      <c r="E73" s="757">
        <f>'Arable Inputs'!$D$25</f>
        <v>867</v>
      </c>
      <c r="F73" s="757">
        <f>'Arable Inputs'!$D$19</f>
        <v>4.9000000000000004</v>
      </c>
      <c r="G73" s="757">
        <f>'Arable Inputs'!$D$26</f>
        <v>140</v>
      </c>
      <c r="H73" s="759">
        <f>D73*E73+F73*G73</f>
        <v>4674.2</v>
      </c>
      <c r="I73" s="197">
        <f>'Arable NPV'!$E153</f>
        <v>471.64</v>
      </c>
      <c r="J73" s="197">
        <f t="shared" si="181"/>
        <v>5145.84</v>
      </c>
      <c r="K73" s="197">
        <f>'Arable NPV'!$G153</f>
        <v>2731.3292000000006</v>
      </c>
      <c r="L73" s="197">
        <f>'Arable NPV'!$H153</f>
        <v>4055.6064000000006</v>
      </c>
      <c r="M73" s="197">
        <f t="shared" si="182"/>
        <v>6786.9356000000007</v>
      </c>
      <c r="N73" s="197">
        <f t="shared" si="183"/>
        <v>-2112.7356000000009</v>
      </c>
      <c r="O73" s="197">
        <f t="shared" si="184"/>
        <v>-1641.0956000000006</v>
      </c>
      <c r="P73" s="196">
        <f t="shared" si="156"/>
        <v>3157.7220379255473</v>
      </c>
      <c r="Q73" s="197">
        <f t="shared" si="157"/>
        <v>318.62308458499962</v>
      </c>
      <c r="R73" s="197">
        <f t="shared" si="158"/>
        <v>4585.0105074882231</v>
      </c>
      <c r="S73" s="197">
        <f t="shared" si="159"/>
        <v>-1427.2884695626753</v>
      </c>
      <c r="T73" s="199">
        <f t="shared" si="160"/>
        <v>-1108.6653849776756</v>
      </c>
      <c r="U73" s="196">
        <f t="shared" si="185"/>
        <v>52030.746661286597</v>
      </c>
      <c r="V73" s="197">
        <f t="shared" si="186"/>
        <v>4297.062885375005</v>
      </c>
      <c r="W73" s="197">
        <f t="shared" si="187"/>
        <v>57418.203930521253</v>
      </c>
      <c r="X73" s="197">
        <f t="shared" si="188"/>
        <v>-5387.4572692346628</v>
      </c>
      <c r="Y73" s="199">
        <f t="shared" si="189"/>
        <v>-1090.3943838596576</v>
      </c>
      <c r="AB73" s="895">
        <v>11</v>
      </c>
      <c r="AC73" s="897" t="s">
        <v>4</v>
      </c>
      <c r="AD73" s="757">
        <f>'Arable Inputs'!$D$18</f>
        <v>4.5999999999999996</v>
      </c>
      <c r="AE73" s="757">
        <f>'Arable Inputs'!$D$25+0.5*'Arable Inputs'!$D$25</f>
        <v>1300.5</v>
      </c>
      <c r="AF73" s="757">
        <f>'Arable Inputs'!$D$19</f>
        <v>4.9000000000000004</v>
      </c>
      <c r="AG73" s="757">
        <f>'Arable Inputs'!$D$26+0.5*'Arable Inputs'!$D$26</f>
        <v>210</v>
      </c>
      <c r="AH73" s="759">
        <f>AD73*AE73+AF73*AG73</f>
        <v>7011.2999999999993</v>
      </c>
      <c r="AI73" s="197">
        <f>'Arable NPV'!$E153</f>
        <v>471.64</v>
      </c>
      <c r="AJ73" s="197">
        <f t="shared" si="190"/>
        <v>7482.94</v>
      </c>
      <c r="AK73" s="197">
        <f>'Arable NPV'!$G153</f>
        <v>2731.3292000000006</v>
      </c>
      <c r="AL73" s="197">
        <f>'Arable NPV'!$H153</f>
        <v>4055.6064000000006</v>
      </c>
      <c r="AM73" s="197">
        <f t="shared" si="191"/>
        <v>6786.9356000000007</v>
      </c>
      <c r="AN73" s="197">
        <f t="shared" si="192"/>
        <v>224.36439999999857</v>
      </c>
      <c r="AO73" s="197">
        <f t="shared" si="193"/>
        <v>696.0043999999989</v>
      </c>
      <c r="AP73" s="196">
        <f t="shared" si="161"/>
        <v>4736.5830568883212</v>
      </c>
      <c r="AQ73" s="197">
        <f t="shared" si="162"/>
        <v>318.62308458499962</v>
      </c>
      <c r="AR73" s="197">
        <f t="shared" si="163"/>
        <v>4585.0105074882231</v>
      </c>
      <c r="AS73" s="197">
        <f t="shared" si="164"/>
        <v>151.57254940009804</v>
      </c>
      <c r="AT73" s="199">
        <f t="shared" si="165"/>
        <v>470.19563398509786</v>
      </c>
      <c r="AU73" s="196">
        <f t="shared" si="194"/>
        <v>78046.119991929882</v>
      </c>
      <c r="AV73" s="197">
        <f t="shared" si="195"/>
        <v>4297.062885375005</v>
      </c>
      <c r="AW73" s="197">
        <f t="shared" si="196"/>
        <v>57418.203930521253</v>
      </c>
      <c r="AX73" s="197">
        <f t="shared" si="197"/>
        <v>20627.916061408629</v>
      </c>
      <c r="AY73" s="199">
        <f t="shared" si="198"/>
        <v>24924.978946783627</v>
      </c>
      <c r="BB73" s="895">
        <v>11</v>
      </c>
      <c r="BC73" s="897" t="s">
        <v>4</v>
      </c>
      <c r="BD73" s="757">
        <f>'Arable Inputs'!$D$18</f>
        <v>4.5999999999999996</v>
      </c>
      <c r="BE73" s="757">
        <f>'Arable Inputs'!$D$25-0.5*'Arable Inputs'!$D$25</f>
        <v>433.5</v>
      </c>
      <c r="BF73" s="757">
        <f>'Arable Inputs'!$D$19</f>
        <v>4.9000000000000004</v>
      </c>
      <c r="BG73" s="757">
        <f>'Arable Inputs'!$D$26-0.5*'Arable Inputs'!$D$26</f>
        <v>70</v>
      </c>
      <c r="BH73" s="759">
        <f>BD73*BE73+BF73*BG73</f>
        <v>2337.1</v>
      </c>
      <c r="BI73" s="197">
        <f>'Arable NPV'!$E153</f>
        <v>471.64</v>
      </c>
      <c r="BJ73" s="197">
        <f t="shared" si="199"/>
        <v>2808.74</v>
      </c>
      <c r="BK73" s="197">
        <f>'Arable NPV'!$G153</f>
        <v>2731.3292000000006</v>
      </c>
      <c r="BL73" s="197">
        <f>'Arable NPV'!$H153</f>
        <v>4055.6064000000006</v>
      </c>
      <c r="BM73" s="197">
        <f t="shared" si="200"/>
        <v>6786.9356000000007</v>
      </c>
      <c r="BN73" s="197">
        <f t="shared" si="201"/>
        <v>-4449.8356000000003</v>
      </c>
      <c r="BO73" s="197">
        <f t="shared" si="202"/>
        <v>-3978.1956000000009</v>
      </c>
      <c r="BP73" s="196">
        <f t="shared" si="166"/>
        <v>1578.8610189627736</v>
      </c>
      <c r="BQ73" s="197">
        <f t="shared" si="167"/>
        <v>318.62308458499962</v>
      </c>
      <c r="BR73" s="197">
        <f t="shared" si="168"/>
        <v>4585.0105074882231</v>
      </c>
      <c r="BS73" s="197">
        <f t="shared" si="169"/>
        <v>-3006.1494885254488</v>
      </c>
      <c r="BT73" s="199">
        <f t="shared" si="170"/>
        <v>-2687.5264039404497</v>
      </c>
      <c r="BU73" s="196">
        <f t="shared" si="203"/>
        <v>26015.373330643299</v>
      </c>
      <c r="BV73" s="197">
        <f t="shared" si="204"/>
        <v>4297.062885375005</v>
      </c>
      <c r="BW73" s="197">
        <f t="shared" si="205"/>
        <v>57418.203930521253</v>
      </c>
      <c r="BX73" s="197">
        <f t="shared" si="206"/>
        <v>-31402.830599877962</v>
      </c>
      <c r="BY73" s="199">
        <f t="shared" si="207"/>
        <v>-27105.767714502956</v>
      </c>
      <c r="CB73" s="895">
        <v>11</v>
      </c>
      <c r="CC73" s="897" t="s">
        <v>4</v>
      </c>
      <c r="CD73" s="757">
        <f>'Arable Inputs'!$D$18</f>
        <v>4.5999999999999996</v>
      </c>
      <c r="CE73" s="757">
        <f>'Arable Inputs'!$D$25+'Arable Inputs'!$D$25</f>
        <v>1734</v>
      </c>
      <c r="CF73" s="757">
        <f>'Arable Inputs'!$D$19</f>
        <v>4.9000000000000004</v>
      </c>
      <c r="CG73" s="757">
        <f>'Arable Inputs'!$D$26+'Arable Inputs'!$D$26</f>
        <v>280</v>
      </c>
      <c r="CH73" s="759">
        <f>CD73*CE73+CF73*CG73</f>
        <v>9348.4</v>
      </c>
      <c r="CI73" s="197">
        <f>'Arable NPV'!$E153</f>
        <v>471.64</v>
      </c>
      <c r="CJ73" s="197">
        <f t="shared" si="208"/>
        <v>9820.0399999999991</v>
      </c>
      <c r="CK73" s="197">
        <f>'Arable NPV'!$G153</f>
        <v>2731.3292000000006</v>
      </c>
      <c r="CL73" s="197">
        <f>'Arable NPV'!$H153</f>
        <v>4055.6064000000006</v>
      </c>
      <c r="CM73" s="197">
        <f t="shared" si="209"/>
        <v>6786.9356000000007</v>
      </c>
      <c r="CN73" s="197">
        <f t="shared" si="210"/>
        <v>2561.4643999999989</v>
      </c>
      <c r="CO73" s="197">
        <f t="shared" si="211"/>
        <v>3033.1043999999983</v>
      </c>
      <c r="CP73" s="196">
        <f t="shared" si="171"/>
        <v>6315.4440758510946</v>
      </c>
      <c r="CQ73" s="197">
        <f t="shared" si="172"/>
        <v>318.62308458499962</v>
      </c>
      <c r="CR73" s="197">
        <f t="shared" si="173"/>
        <v>4585.0105074882231</v>
      </c>
      <c r="CS73" s="197">
        <f t="shared" si="174"/>
        <v>1730.4335683628722</v>
      </c>
      <c r="CT73" s="199">
        <f t="shared" si="175"/>
        <v>2049.0566529478715</v>
      </c>
      <c r="CU73" s="196">
        <f t="shared" si="212"/>
        <v>104061.49332257319</v>
      </c>
      <c r="CV73" s="197">
        <f t="shared" si="213"/>
        <v>4297.062885375005</v>
      </c>
      <c r="CW73" s="197">
        <f t="shared" si="214"/>
        <v>57418.203930521253</v>
      </c>
      <c r="CX73" s="197">
        <f t="shared" si="215"/>
        <v>46643.289392051935</v>
      </c>
      <c r="CY73" s="199">
        <f t="shared" si="216"/>
        <v>50940.35227742693</v>
      </c>
      <c r="DB73" s="204">
        <f t="shared" si="226"/>
        <v>11</v>
      </c>
      <c r="DC73" s="897" t="s">
        <v>4</v>
      </c>
      <c r="DD73" s="757">
        <f>'Arable Inputs'!$D$18</f>
        <v>4.5999999999999996</v>
      </c>
      <c r="DE73" s="757">
        <f>'Arable Inputs'!$D$25-'Arable Inputs'!$D$25</f>
        <v>0</v>
      </c>
      <c r="DF73" s="757">
        <f>'Arable Inputs'!$D$19</f>
        <v>4.9000000000000004</v>
      </c>
      <c r="DG73" s="757">
        <f>'Arable Inputs'!$D$26-'Arable Inputs'!$D$26</f>
        <v>0</v>
      </c>
      <c r="DH73" s="759">
        <f>DD73*DE73+DF73*DG73</f>
        <v>0</v>
      </c>
      <c r="DI73" s="197">
        <f>'Arable NPV'!$E153</f>
        <v>471.64</v>
      </c>
      <c r="DJ73" s="197">
        <f t="shared" si="217"/>
        <v>471.64</v>
      </c>
      <c r="DK73" s="197">
        <f>'Arable NPV'!$G153</f>
        <v>2731.3292000000006</v>
      </c>
      <c r="DL73" s="197">
        <f>'Arable NPV'!$H153</f>
        <v>4055.6064000000006</v>
      </c>
      <c r="DM73" s="197">
        <f t="shared" si="218"/>
        <v>6786.9356000000007</v>
      </c>
      <c r="DN73" s="197">
        <f t="shared" si="219"/>
        <v>-6786.9356000000007</v>
      </c>
      <c r="DO73" s="197">
        <f t="shared" si="220"/>
        <v>-6315.2956000000004</v>
      </c>
      <c r="DP73" s="196">
        <f t="shared" si="176"/>
        <v>0</v>
      </c>
      <c r="DQ73" s="197">
        <f t="shared" si="177"/>
        <v>318.62308458499962</v>
      </c>
      <c r="DR73" s="197">
        <f t="shared" si="178"/>
        <v>4585.0105074882231</v>
      </c>
      <c r="DS73" s="197">
        <f t="shared" si="179"/>
        <v>-4585.0105074882231</v>
      </c>
      <c r="DT73" s="199">
        <f t="shared" si="180"/>
        <v>-4266.3874229032226</v>
      </c>
      <c r="DU73" s="196">
        <f t="shared" si="221"/>
        <v>0</v>
      </c>
      <c r="DV73" s="197">
        <f t="shared" si="222"/>
        <v>4297.062885375005</v>
      </c>
      <c r="DW73" s="197">
        <f t="shared" si="223"/>
        <v>57418.203930521253</v>
      </c>
      <c r="DX73" s="197">
        <f t="shared" si="224"/>
        <v>-57418.203930521253</v>
      </c>
      <c r="DY73" s="199">
        <f t="shared" si="225"/>
        <v>-53121.141045146251</v>
      </c>
    </row>
    <row r="74" spans="2:129" x14ac:dyDescent="0.3">
      <c r="B74" s="895">
        <v>12</v>
      </c>
      <c r="C74" s="897" t="s">
        <v>6</v>
      </c>
      <c r="D74" s="757">
        <f>'Arable Inputs'!$G$18</f>
        <v>56.8</v>
      </c>
      <c r="E74" s="757">
        <f>'Arable Inputs'!$G$25</f>
        <v>120</v>
      </c>
      <c r="H74" s="759">
        <f>D74*E74</f>
        <v>6816</v>
      </c>
      <c r="I74" s="197">
        <f>'Arable NPV'!$E154</f>
        <v>471.64</v>
      </c>
      <c r="J74" s="197">
        <f t="shared" si="181"/>
        <v>7287.64</v>
      </c>
      <c r="K74" s="197">
        <f>'Arable NPV'!$G154</f>
        <v>3648.3062999999997</v>
      </c>
      <c r="L74" s="197">
        <f>'Arable NPV'!$H154</f>
        <v>3375.8132000000005</v>
      </c>
      <c r="M74" s="197">
        <f t="shared" si="182"/>
        <v>7024.1195000000007</v>
      </c>
      <c r="N74" s="197">
        <f t="shared" si="183"/>
        <v>-208.1195000000007</v>
      </c>
      <c r="O74" s="197">
        <f t="shared" si="184"/>
        <v>263.52049999999963</v>
      </c>
      <c r="P74" s="196">
        <f t="shared" si="156"/>
        <v>4427.5436295352338</v>
      </c>
      <c r="Q74" s="197">
        <f t="shared" si="157"/>
        <v>306.36835056249964</v>
      </c>
      <c r="R74" s="197">
        <f t="shared" si="158"/>
        <v>4562.7340882217159</v>
      </c>
      <c r="S74" s="197">
        <f t="shared" si="159"/>
        <v>-135.19045868648197</v>
      </c>
      <c r="T74" s="199">
        <f t="shared" si="160"/>
        <v>171.1778918760179</v>
      </c>
      <c r="U74" s="196">
        <f t="shared" si="185"/>
        <v>56458.290290821831</v>
      </c>
      <c r="V74" s="197">
        <f t="shared" si="186"/>
        <v>4603.4312359375044</v>
      </c>
      <c r="W74" s="197">
        <f t="shared" si="187"/>
        <v>61980.938018742971</v>
      </c>
      <c r="X74" s="197">
        <f t="shared" si="188"/>
        <v>-5522.6477279211449</v>
      </c>
      <c r="Y74" s="199">
        <f t="shared" si="189"/>
        <v>-919.2164919836398</v>
      </c>
      <c r="AB74" s="895">
        <v>12</v>
      </c>
      <c r="AC74" s="897" t="s">
        <v>6</v>
      </c>
      <c r="AD74" s="757">
        <f>'Arable Inputs'!$G$18</f>
        <v>56.8</v>
      </c>
      <c r="AE74" s="757">
        <f>'Arable Inputs'!$G$25+0.5*'Arable Inputs'!$G$25</f>
        <v>180</v>
      </c>
      <c r="AH74" s="759">
        <f>AD74*AE74</f>
        <v>10224</v>
      </c>
      <c r="AI74" s="197">
        <f>'Arable NPV'!$E154</f>
        <v>471.64</v>
      </c>
      <c r="AJ74" s="197">
        <f t="shared" si="190"/>
        <v>10695.64</v>
      </c>
      <c r="AK74" s="197">
        <f>'Arable NPV'!$G154</f>
        <v>3648.3062999999997</v>
      </c>
      <c r="AL74" s="197">
        <f>'Arable NPV'!$H154</f>
        <v>3375.8132000000005</v>
      </c>
      <c r="AM74" s="197">
        <f t="shared" si="191"/>
        <v>7024.1195000000007</v>
      </c>
      <c r="AN74" s="197">
        <f t="shared" si="192"/>
        <v>3199.8804999999993</v>
      </c>
      <c r="AO74" s="197">
        <f t="shared" si="193"/>
        <v>3671.5204999999987</v>
      </c>
      <c r="AP74" s="196">
        <f t="shared" si="161"/>
        <v>6641.3154443028507</v>
      </c>
      <c r="AQ74" s="197">
        <f t="shared" si="162"/>
        <v>306.36835056249964</v>
      </c>
      <c r="AR74" s="197">
        <f t="shared" si="163"/>
        <v>4562.7340882217159</v>
      </c>
      <c r="AS74" s="197">
        <f t="shared" si="164"/>
        <v>2078.5813560811348</v>
      </c>
      <c r="AT74" s="199">
        <f t="shared" si="165"/>
        <v>2384.9497066436343</v>
      </c>
      <c r="AU74" s="196">
        <f t="shared" si="194"/>
        <v>84687.435436232729</v>
      </c>
      <c r="AV74" s="197">
        <f t="shared" si="195"/>
        <v>4603.4312359375044</v>
      </c>
      <c r="AW74" s="197">
        <f t="shared" si="196"/>
        <v>61980.938018742971</v>
      </c>
      <c r="AX74" s="197">
        <f t="shared" si="197"/>
        <v>22706.497417489765</v>
      </c>
      <c r="AY74" s="199">
        <f t="shared" si="198"/>
        <v>27309.928653427261</v>
      </c>
      <c r="BB74" s="895">
        <v>12</v>
      </c>
      <c r="BC74" s="897" t="s">
        <v>6</v>
      </c>
      <c r="BD74" s="757">
        <f>'Arable Inputs'!$G$18</f>
        <v>56.8</v>
      </c>
      <c r="BE74" s="757">
        <f>'Arable Inputs'!$G$25-0.5*'Arable Inputs'!$G$25</f>
        <v>60</v>
      </c>
      <c r="BH74" s="759">
        <f>BD74*BE74</f>
        <v>3408</v>
      </c>
      <c r="BI74" s="197">
        <f>'Arable NPV'!$E154</f>
        <v>471.64</v>
      </c>
      <c r="BJ74" s="197">
        <f t="shared" si="199"/>
        <v>3879.64</v>
      </c>
      <c r="BK74" s="197">
        <f>'Arable NPV'!$G154</f>
        <v>3648.3062999999997</v>
      </c>
      <c r="BL74" s="197">
        <f>'Arable NPV'!$H154</f>
        <v>3375.8132000000005</v>
      </c>
      <c r="BM74" s="197">
        <f t="shared" si="200"/>
        <v>7024.1195000000007</v>
      </c>
      <c r="BN74" s="197">
        <f t="shared" si="201"/>
        <v>-3616.1195000000007</v>
      </c>
      <c r="BO74" s="197">
        <f t="shared" si="202"/>
        <v>-3144.4795000000008</v>
      </c>
      <c r="BP74" s="196">
        <f t="shared" si="166"/>
        <v>2213.7718147676169</v>
      </c>
      <c r="BQ74" s="197">
        <f t="shared" si="167"/>
        <v>306.36835056249964</v>
      </c>
      <c r="BR74" s="197">
        <f t="shared" si="168"/>
        <v>4562.7340882217159</v>
      </c>
      <c r="BS74" s="197">
        <f t="shared" si="169"/>
        <v>-2348.962273454099</v>
      </c>
      <c r="BT74" s="199">
        <f t="shared" si="170"/>
        <v>-2042.5939228915993</v>
      </c>
      <c r="BU74" s="196">
        <f t="shared" si="203"/>
        <v>28229.145145410916</v>
      </c>
      <c r="BV74" s="197">
        <f t="shared" si="204"/>
        <v>4603.4312359375044</v>
      </c>
      <c r="BW74" s="197">
        <f t="shared" si="205"/>
        <v>61980.938018742971</v>
      </c>
      <c r="BX74" s="197">
        <f t="shared" si="206"/>
        <v>-33751.792873332059</v>
      </c>
      <c r="BY74" s="199">
        <f t="shared" si="207"/>
        <v>-29148.361637394555</v>
      </c>
      <c r="CB74" s="895">
        <v>12</v>
      </c>
      <c r="CC74" s="897" t="s">
        <v>6</v>
      </c>
      <c r="CD74" s="757">
        <f>'Arable Inputs'!$G$18</f>
        <v>56.8</v>
      </c>
      <c r="CE74" s="757">
        <f>'Arable Inputs'!$G$25+'Arable Inputs'!$G$25</f>
        <v>240</v>
      </c>
      <c r="CH74" s="759">
        <f>CD74*CE74</f>
        <v>13632</v>
      </c>
      <c r="CI74" s="197">
        <f>'Arable NPV'!$E154</f>
        <v>471.64</v>
      </c>
      <c r="CJ74" s="197">
        <f t="shared" si="208"/>
        <v>14103.64</v>
      </c>
      <c r="CK74" s="197">
        <f>'Arable NPV'!$G154</f>
        <v>3648.3062999999997</v>
      </c>
      <c r="CL74" s="197">
        <f>'Arable NPV'!$H154</f>
        <v>3375.8132000000005</v>
      </c>
      <c r="CM74" s="197">
        <f t="shared" si="209"/>
        <v>7024.1195000000007</v>
      </c>
      <c r="CN74" s="197">
        <f t="shared" si="210"/>
        <v>6607.8804999999993</v>
      </c>
      <c r="CO74" s="197">
        <f t="shared" si="211"/>
        <v>7079.5204999999987</v>
      </c>
      <c r="CP74" s="196">
        <f t="shared" si="171"/>
        <v>8855.0872590704676</v>
      </c>
      <c r="CQ74" s="197">
        <f t="shared" si="172"/>
        <v>306.36835056249964</v>
      </c>
      <c r="CR74" s="197">
        <f t="shared" si="173"/>
        <v>4562.7340882217159</v>
      </c>
      <c r="CS74" s="197">
        <f t="shared" si="174"/>
        <v>4292.3531708487517</v>
      </c>
      <c r="CT74" s="199">
        <f t="shared" si="175"/>
        <v>4598.7215214112512</v>
      </c>
      <c r="CU74" s="196">
        <f t="shared" si="212"/>
        <v>112916.58058164366</v>
      </c>
      <c r="CV74" s="197">
        <f t="shared" si="213"/>
        <v>4603.4312359375044</v>
      </c>
      <c r="CW74" s="197">
        <f t="shared" si="214"/>
        <v>61980.938018742971</v>
      </c>
      <c r="CX74" s="197">
        <f t="shared" si="215"/>
        <v>50935.642562900684</v>
      </c>
      <c r="CY74" s="199">
        <f t="shared" si="216"/>
        <v>55539.073798838181</v>
      </c>
      <c r="DB74" s="204">
        <f t="shared" si="226"/>
        <v>12</v>
      </c>
      <c r="DC74" s="897" t="s">
        <v>6</v>
      </c>
      <c r="DD74" s="757">
        <f>'Arable Inputs'!$G$18</f>
        <v>56.8</v>
      </c>
      <c r="DE74" s="757">
        <f>'Arable Inputs'!$G$25-'Arable Inputs'!$G$25</f>
        <v>0</v>
      </c>
      <c r="DH74" s="759">
        <f>DD74*DE74</f>
        <v>0</v>
      </c>
      <c r="DI74" s="197">
        <f>'Arable NPV'!$E154</f>
        <v>471.64</v>
      </c>
      <c r="DJ74" s="197">
        <f t="shared" si="217"/>
        <v>471.64</v>
      </c>
      <c r="DK74" s="197">
        <f>'Arable NPV'!$G154</f>
        <v>3648.3062999999997</v>
      </c>
      <c r="DL74" s="197">
        <f>'Arable NPV'!$H154</f>
        <v>3375.8132000000005</v>
      </c>
      <c r="DM74" s="197">
        <f t="shared" si="218"/>
        <v>7024.1195000000007</v>
      </c>
      <c r="DN74" s="197">
        <f t="shared" si="219"/>
        <v>-7024.1195000000007</v>
      </c>
      <c r="DO74" s="197">
        <f t="shared" si="220"/>
        <v>-6552.4795000000004</v>
      </c>
      <c r="DP74" s="196">
        <f t="shared" si="176"/>
        <v>0</v>
      </c>
      <c r="DQ74" s="197">
        <f t="shared" si="177"/>
        <v>306.36835056249964</v>
      </c>
      <c r="DR74" s="197">
        <f t="shared" si="178"/>
        <v>4562.7340882217159</v>
      </c>
      <c r="DS74" s="197">
        <f t="shared" si="179"/>
        <v>-4562.7340882217159</v>
      </c>
      <c r="DT74" s="199">
        <f t="shared" si="180"/>
        <v>-4256.3657376592164</v>
      </c>
      <c r="DU74" s="196">
        <f t="shared" si="221"/>
        <v>0</v>
      </c>
      <c r="DV74" s="197">
        <f t="shared" si="222"/>
        <v>4603.4312359375044</v>
      </c>
      <c r="DW74" s="197">
        <f t="shared" si="223"/>
        <v>61980.938018742971</v>
      </c>
      <c r="DX74" s="197">
        <f t="shared" si="224"/>
        <v>-61980.938018742971</v>
      </c>
      <c r="DY74" s="199">
        <f t="shared" si="225"/>
        <v>-57377.506782805467</v>
      </c>
    </row>
    <row r="75" spans="2:129" x14ac:dyDescent="0.3">
      <c r="B75" s="895">
        <v>13</v>
      </c>
      <c r="C75" s="897" t="s">
        <v>258</v>
      </c>
      <c r="D75" s="757">
        <f>'Arable Inputs'!$H$18</f>
        <v>12</v>
      </c>
      <c r="E75" s="757">
        <f>'Arable Inputs'!$H$25</f>
        <v>724</v>
      </c>
      <c r="H75" s="759">
        <f>D75*E75</f>
        <v>8688</v>
      </c>
      <c r="I75" s="197">
        <f>'Arable NPV'!$E155</f>
        <v>471.64</v>
      </c>
      <c r="J75" s="197">
        <f t="shared" si="181"/>
        <v>9159.64</v>
      </c>
      <c r="K75" s="197">
        <f>'Arable NPV'!$G155</f>
        <v>2474.37212</v>
      </c>
      <c r="L75" s="197">
        <f>'Arable NPV'!$H155</f>
        <v>3226.3624</v>
      </c>
      <c r="M75" s="197">
        <f t="shared" si="182"/>
        <v>5700.73452</v>
      </c>
      <c r="N75" s="197">
        <f t="shared" si="183"/>
        <v>2987.26548</v>
      </c>
      <c r="O75" s="197">
        <f t="shared" si="184"/>
        <v>3458.9054799999994</v>
      </c>
      <c r="P75" s="196">
        <f t="shared" si="156"/>
        <v>5426.499166751606</v>
      </c>
      <c r="Q75" s="197">
        <f t="shared" si="157"/>
        <v>294.58495246394193</v>
      </c>
      <c r="R75" s="197">
        <f t="shared" si="158"/>
        <v>3560.6619616312287</v>
      </c>
      <c r="S75" s="197">
        <f t="shared" si="159"/>
        <v>1865.8372051203771</v>
      </c>
      <c r="T75" s="199">
        <f t="shared" si="160"/>
        <v>2160.4221575843185</v>
      </c>
      <c r="U75" s="196">
        <f t="shared" si="185"/>
        <v>61884.789457573439</v>
      </c>
      <c r="V75" s="197">
        <f t="shared" si="186"/>
        <v>4898.016188401446</v>
      </c>
      <c r="W75" s="197">
        <f t="shared" si="187"/>
        <v>65541.599980374202</v>
      </c>
      <c r="X75" s="197">
        <f t="shared" si="188"/>
        <v>-3656.810522800768</v>
      </c>
      <c r="Y75" s="199">
        <f t="shared" si="189"/>
        <v>1241.2056656006787</v>
      </c>
      <c r="AB75" s="895">
        <v>13</v>
      </c>
      <c r="AC75" s="897" t="s">
        <v>29</v>
      </c>
      <c r="AD75" s="757">
        <f>'Arable Inputs'!$H$18</f>
        <v>12</v>
      </c>
      <c r="AE75" s="757">
        <f>'Arable Inputs'!$H$25+0.5*'Arable Inputs'!$H$25</f>
        <v>1086</v>
      </c>
      <c r="AH75" s="759">
        <f>AD75*AE75</f>
        <v>13032</v>
      </c>
      <c r="AI75" s="197">
        <f>'Arable NPV'!$E155</f>
        <v>471.64</v>
      </c>
      <c r="AJ75" s="197">
        <f t="shared" si="190"/>
        <v>13503.64</v>
      </c>
      <c r="AK75" s="197">
        <f>'Arable NPV'!$G155</f>
        <v>2474.37212</v>
      </c>
      <c r="AL75" s="197">
        <f>'Arable NPV'!$H155</f>
        <v>3226.3624</v>
      </c>
      <c r="AM75" s="197">
        <f t="shared" si="191"/>
        <v>5700.73452</v>
      </c>
      <c r="AN75" s="197">
        <f t="shared" si="192"/>
        <v>7331.26548</v>
      </c>
      <c r="AO75" s="197">
        <f t="shared" si="193"/>
        <v>7802.9054799999994</v>
      </c>
      <c r="AP75" s="196">
        <f t="shared" si="161"/>
        <v>8139.748750127409</v>
      </c>
      <c r="AQ75" s="197">
        <f t="shared" si="162"/>
        <v>294.58495246394193</v>
      </c>
      <c r="AR75" s="197">
        <f t="shared" si="163"/>
        <v>3560.6619616312287</v>
      </c>
      <c r="AS75" s="197">
        <f t="shared" si="164"/>
        <v>4579.0867884961799</v>
      </c>
      <c r="AT75" s="199">
        <f t="shared" si="165"/>
        <v>4873.6717409601215</v>
      </c>
      <c r="AU75" s="196">
        <f t="shared" si="194"/>
        <v>92827.184186360144</v>
      </c>
      <c r="AV75" s="197">
        <f t="shared" si="195"/>
        <v>4898.016188401446</v>
      </c>
      <c r="AW75" s="197">
        <f t="shared" si="196"/>
        <v>65541.599980374202</v>
      </c>
      <c r="AX75" s="197">
        <f t="shared" si="197"/>
        <v>27285.584205985946</v>
      </c>
      <c r="AY75" s="199">
        <f t="shared" si="198"/>
        <v>32183.600394387384</v>
      </c>
      <c r="BB75" s="895">
        <v>13</v>
      </c>
      <c r="BC75" s="897" t="s">
        <v>29</v>
      </c>
      <c r="BD75" s="757">
        <f>'Arable Inputs'!$H$18</f>
        <v>12</v>
      </c>
      <c r="BE75" s="757">
        <f>'Arable Inputs'!$H$25-0.5*'Arable Inputs'!$H$25</f>
        <v>362</v>
      </c>
      <c r="BH75" s="759">
        <f>BD75*BE75</f>
        <v>4344</v>
      </c>
      <c r="BI75" s="197">
        <f>'Arable NPV'!$E155</f>
        <v>471.64</v>
      </c>
      <c r="BJ75" s="197">
        <f t="shared" si="199"/>
        <v>4815.6400000000003</v>
      </c>
      <c r="BK75" s="197">
        <f>'Arable NPV'!$G155</f>
        <v>2474.37212</v>
      </c>
      <c r="BL75" s="197">
        <f>'Arable NPV'!$H155</f>
        <v>3226.3624</v>
      </c>
      <c r="BM75" s="197">
        <f t="shared" si="200"/>
        <v>5700.73452</v>
      </c>
      <c r="BN75" s="197">
        <f t="shared" si="201"/>
        <v>-1356.73452</v>
      </c>
      <c r="BO75" s="197">
        <f t="shared" si="202"/>
        <v>-885.09451999999965</v>
      </c>
      <c r="BP75" s="196">
        <f t="shared" si="166"/>
        <v>2713.249583375803</v>
      </c>
      <c r="BQ75" s="197">
        <f t="shared" si="167"/>
        <v>294.58495246394193</v>
      </c>
      <c r="BR75" s="197">
        <f t="shared" si="168"/>
        <v>3560.6619616312287</v>
      </c>
      <c r="BS75" s="197">
        <f t="shared" si="169"/>
        <v>-847.41237825542589</v>
      </c>
      <c r="BT75" s="199">
        <f t="shared" si="170"/>
        <v>-552.82742579148373</v>
      </c>
      <c r="BU75" s="196">
        <f t="shared" si="203"/>
        <v>30942.394728786719</v>
      </c>
      <c r="BV75" s="197">
        <f t="shared" si="204"/>
        <v>4898.016188401446</v>
      </c>
      <c r="BW75" s="197">
        <f t="shared" si="205"/>
        <v>65541.599980374202</v>
      </c>
      <c r="BX75" s="197">
        <f t="shared" si="206"/>
        <v>-34599.205251587482</v>
      </c>
      <c r="BY75" s="199">
        <f t="shared" si="207"/>
        <v>-29701.189063186041</v>
      </c>
      <c r="CB75" s="895">
        <v>13</v>
      </c>
      <c r="CC75" s="897" t="s">
        <v>29</v>
      </c>
      <c r="CD75" s="757">
        <f>'Arable Inputs'!$H$18</f>
        <v>12</v>
      </c>
      <c r="CE75" s="757">
        <f>'Arable Inputs'!$H$25+'Arable Inputs'!$H$25</f>
        <v>1448</v>
      </c>
      <c r="CH75" s="759">
        <f>CD75*CE75</f>
        <v>17376</v>
      </c>
      <c r="CI75" s="197">
        <f>'Arable NPV'!$E155</f>
        <v>471.64</v>
      </c>
      <c r="CJ75" s="197">
        <f t="shared" si="208"/>
        <v>17847.64</v>
      </c>
      <c r="CK75" s="197">
        <f>'Arable NPV'!$G155</f>
        <v>2474.37212</v>
      </c>
      <c r="CL75" s="197">
        <f>'Arable NPV'!$H155</f>
        <v>3226.3624</v>
      </c>
      <c r="CM75" s="197">
        <f t="shared" si="209"/>
        <v>5700.73452</v>
      </c>
      <c r="CN75" s="197">
        <f t="shared" si="210"/>
        <v>11675.26548</v>
      </c>
      <c r="CO75" s="197">
        <f t="shared" si="211"/>
        <v>12146.905479999999</v>
      </c>
      <c r="CP75" s="196">
        <f t="shared" si="171"/>
        <v>10852.998333503212</v>
      </c>
      <c r="CQ75" s="197">
        <f t="shared" si="172"/>
        <v>294.58495246394193</v>
      </c>
      <c r="CR75" s="197">
        <f t="shared" si="173"/>
        <v>3560.6619616312287</v>
      </c>
      <c r="CS75" s="197">
        <f t="shared" si="174"/>
        <v>7292.3363718719829</v>
      </c>
      <c r="CT75" s="199">
        <f t="shared" si="175"/>
        <v>7586.9213243359245</v>
      </c>
      <c r="CU75" s="196">
        <f t="shared" si="212"/>
        <v>123769.57891514688</v>
      </c>
      <c r="CV75" s="197">
        <f t="shared" si="213"/>
        <v>4898.016188401446</v>
      </c>
      <c r="CW75" s="197">
        <f t="shared" si="214"/>
        <v>65541.599980374202</v>
      </c>
      <c r="CX75" s="197">
        <f t="shared" si="215"/>
        <v>58227.978934772669</v>
      </c>
      <c r="CY75" s="199">
        <f t="shared" si="216"/>
        <v>63125.995123174107</v>
      </c>
      <c r="DB75" s="204">
        <f t="shared" si="226"/>
        <v>13</v>
      </c>
      <c r="DC75" s="897" t="s">
        <v>29</v>
      </c>
      <c r="DD75" s="757">
        <f>'Arable Inputs'!$H$18</f>
        <v>12</v>
      </c>
      <c r="DE75" s="757">
        <f>'Arable Inputs'!$H$25-'Arable Inputs'!$H$25</f>
        <v>0</v>
      </c>
      <c r="DH75" s="759">
        <f>DD75*DE75</f>
        <v>0</v>
      </c>
      <c r="DI75" s="197">
        <f>'Arable NPV'!$E155</f>
        <v>471.64</v>
      </c>
      <c r="DJ75" s="197">
        <f t="shared" si="217"/>
        <v>471.64</v>
      </c>
      <c r="DK75" s="197">
        <f>'Arable NPV'!$G155</f>
        <v>2474.37212</v>
      </c>
      <c r="DL75" s="197">
        <f>'Arable NPV'!$H155</f>
        <v>3226.3624</v>
      </c>
      <c r="DM75" s="197">
        <f t="shared" si="218"/>
        <v>5700.73452</v>
      </c>
      <c r="DN75" s="197">
        <f t="shared" si="219"/>
        <v>-5700.73452</v>
      </c>
      <c r="DO75" s="197">
        <f t="shared" si="220"/>
        <v>-5229.0945199999996</v>
      </c>
      <c r="DP75" s="196">
        <f t="shared" si="176"/>
        <v>0</v>
      </c>
      <c r="DQ75" s="197">
        <f t="shared" si="177"/>
        <v>294.58495246394193</v>
      </c>
      <c r="DR75" s="197">
        <f t="shared" si="178"/>
        <v>3560.6619616312287</v>
      </c>
      <c r="DS75" s="197">
        <f t="shared" si="179"/>
        <v>-3560.6619616312287</v>
      </c>
      <c r="DT75" s="199">
        <f t="shared" si="180"/>
        <v>-3266.0770091672866</v>
      </c>
      <c r="DU75" s="196">
        <f t="shared" si="221"/>
        <v>0</v>
      </c>
      <c r="DV75" s="197">
        <f t="shared" si="222"/>
        <v>4898.016188401446</v>
      </c>
      <c r="DW75" s="197">
        <f t="shared" si="223"/>
        <v>65541.599980374202</v>
      </c>
      <c r="DX75" s="197">
        <f t="shared" si="224"/>
        <v>-65541.599980374202</v>
      </c>
      <c r="DY75" s="199">
        <f t="shared" si="225"/>
        <v>-60643.583791972756</v>
      </c>
    </row>
    <row r="76" spans="2:129" x14ac:dyDescent="0.3">
      <c r="B76" s="895">
        <v>14</v>
      </c>
      <c r="C76" s="897" t="s">
        <v>5</v>
      </c>
      <c r="D76" s="757">
        <f>'Arable Inputs'!$F$18</f>
        <v>3.5</v>
      </c>
      <c r="E76" s="757">
        <f>'Arable Inputs'!$F$25</f>
        <v>1645</v>
      </c>
      <c r="F76" s="757">
        <f>'Arable Inputs'!$F$19</f>
        <v>5.6</v>
      </c>
      <c r="G76" s="757">
        <f>'Arable Inputs'!$F$26</f>
        <v>120</v>
      </c>
      <c r="H76" s="759">
        <f>D76*E76+F76*G76</f>
        <v>6429.5</v>
      </c>
      <c r="I76" s="197">
        <f>'Arable NPV'!$E156</f>
        <v>471.64</v>
      </c>
      <c r="J76" s="197">
        <f t="shared" si="181"/>
        <v>6901.14</v>
      </c>
      <c r="K76" s="197">
        <f>'Arable NPV'!$G156</f>
        <v>3562.03775</v>
      </c>
      <c r="L76" s="197">
        <f>'Arable NPV'!$H156</f>
        <v>2542.6675999999998</v>
      </c>
      <c r="M76" s="197">
        <f t="shared" si="182"/>
        <v>6104.7053500000002</v>
      </c>
      <c r="N76" s="197">
        <f t="shared" si="183"/>
        <v>324.79464999999982</v>
      </c>
      <c r="O76" s="197">
        <f t="shared" si="184"/>
        <v>796.43465000000015</v>
      </c>
      <c r="P76" s="196">
        <f t="shared" si="156"/>
        <v>3861.391086802912</v>
      </c>
      <c r="Q76" s="197">
        <f t="shared" si="157"/>
        <v>283.25476198455954</v>
      </c>
      <c r="R76" s="197">
        <f t="shared" si="158"/>
        <v>3666.3278366977297</v>
      </c>
      <c r="S76" s="197">
        <f t="shared" si="159"/>
        <v>195.06325010518248</v>
      </c>
      <c r="T76" s="199">
        <f t="shared" si="160"/>
        <v>478.31801208974224</v>
      </c>
      <c r="U76" s="196">
        <f t="shared" si="185"/>
        <v>65746.180544376344</v>
      </c>
      <c r="V76" s="197">
        <f t="shared" si="186"/>
        <v>5181.270950386006</v>
      </c>
      <c r="W76" s="197">
        <f t="shared" si="187"/>
        <v>69207.927817071934</v>
      </c>
      <c r="X76" s="197">
        <f t="shared" si="188"/>
        <v>-3461.7472726955857</v>
      </c>
      <c r="Y76" s="199">
        <f t="shared" si="189"/>
        <v>1719.523677690421</v>
      </c>
      <c r="AB76" s="895">
        <v>14</v>
      </c>
      <c r="AC76" s="897" t="s">
        <v>5</v>
      </c>
      <c r="AD76" s="757">
        <f>'Arable Inputs'!$F$18</f>
        <v>3.5</v>
      </c>
      <c r="AE76" s="757">
        <f>'Arable Inputs'!$F$25+0.5*'Arable Inputs'!$F$25</f>
        <v>2467.5</v>
      </c>
      <c r="AF76" s="757">
        <f>'Arable Inputs'!$F$19</f>
        <v>5.6</v>
      </c>
      <c r="AG76" s="757">
        <f>'Arable Inputs'!$F$26+0.5*'Arable Inputs'!$F$26</f>
        <v>180</v>
      </c>
      <c r="AH76" s="759">
        <f>AD76*AE76+AF76*AG76</f>
        <v>9644.25</v>
      </c>
      <c r="AI76" s="197">
        <f>'Arable NPV'!$E156</f>
        <v>471.64</v>
      </c>
      <c r="AJ76" s="197">
        <f t="shared" si="190"/>
        <v>10115.89</v>
      </c>
      <c r="AK76" s="197">
        <f>'Arable NPV'!$G156</f>
        <v>3562.03775</v>
      </c>
      <c r="AL76" s="197">
        <f>'Arable NPV'!$H156</f>
        <v>2542.6675999999998</v>
      </c>
      <c r="AM76" s="197">
        <f t="shared" si="191"/>
        <v>6104.7053500000002</v>
      </c>
      <c r="AN76" s="197">
        <f t="shared" si="192"/>
        <v>3539.5446499999998</v>
      </c>
      <c r="AO76" s="197">
        <f t="shared" si="193"/>
        <v>4011.1846499999992</v>
      </c>
      <c r="AP76" s="196">
        <f t="shared" si="161"/>
        <v>5792.0866302043687</v>
      </c>
      <c r="AQ76" s="197">
        <f t="shared" si="162"/>
        <v>283.25476198455954</v>
      </c>
      <c r="AR76" s="197">
        <f t="shared" si="163"/>
        <v>3666.3278366977297</v>
      </c>
      <c r="AS76" s="197">
        <f t="shared" si="164"/>
        <v>2125.7587935066385</v>
      </c>
      <c r="AT76" s="199">
        <f t="shared" si="165"/>
        <v>2409.0135554911976</v>
      </c>
      <c r="AU76" s="196">
        <f t="shared" si="194"/>
        <v>98619.270816564516</v>
      </c>
      <c r="AV76" s="197">
        <f t="shared" si="195"/>
        <v>5181.270950386006</v>
      </c>
      <c r="AW76" s="197">
        <f t="shared" si="196"/>
        <v>69207.927817071934</v>
      </c>
      <c r="AX76" s="197">
        <f t="shared" si="197"/>
        <v>29411.342999492583</v>
      </c>
      <c r="AY76" s="199">
        <f t="shared" si="198"/>
        <v>34592.613949878578</v>
      </c>
      <c r="BB76" s="895">
        <v>14</v>
      </c>
      <c r="BC76" s="897" t="s">
        <v>5</v>
      </c>
      <c r="BD76" s="757">
        <f>'Arable Inputs'!$F$18</f>
        <v>3.5</v>
      </c>
      <c r="BE76" s="757">
        <f>'Arable Inputs'!$F$25-0.5*'Arable Inputs'!$F$25</f>
        <v>822.5</v>
      </c>
      <c r="BF76" s="757">
        <f>'Arable Inputs'!$F$19</f>
        <v>5.6</v>
      </c>
      <c r="BG76" s="757">
        <f>'Arable Inputs'!$F$26-0.5*'Arable Inputs'!$F$26</f>
        <v>60</v>
      </c>
      <c r="BH76" s="759">
        <f>BD76*BE76+BF76*BG76</f>
        <v>3214.75</v>
      </c>
      <c r="BI76" s="197">
        <f>'Arable NPV'!$E156</f>
        <v>471.64</v>
      </c>
      <c r="BJ76" s="197">
        <f t="shared" si="199"/>
        <v>3686.39</v>
      </c>
      <c r="BK76" s="197">
        <f>'Arable NPV'!$G156</f>
        <v>3562.03775</v>
      </c>
      <c r="BL76" s="197">
        <f>'Arable NPV'!$H156</f>
        <v>2542.6675999999998</v>
      </c>
      <c r="BM76" s="197">
        <f t="shared" si="200"/>
        <v>6104.7053500000002</v>
      </c>
      <c r="BN76" s="197">
        <f t="shared" si="201"/>
        <v>-2889.9553500000002</v>
      </c>
      <c r="BO76" s="197">
        <f t="shared" si="202"/>
        <v>-2418.3153500000003</v>
      </c>
      <c r="BP76" s="196">
        <f t="shared" si="166"/>
        <v>1930.695543401456</v>
      </c>
      <c r="BQ76" s="197">
        <f t="shared" si="167"/>
        <v>283.25476198455954</v>
      </c>
      <c r="BR76" s="197">
        <f t="shared" si="168"/>
        <v>3666.3278366977297</v>
      </c>
      <c r="BS76" s="197">
        <f t="shared" si="169"/>
        <v>-1735.6322932962737</v>
      </c>
      <c r="BT76" s="199">
        <f t="shared" si="170"/>
        <v>-1452.3775313117142</v>
      </c>
      <c r="BU76" s="196">
        <f t="shared" si="203"/>
        <v>32873.090272188172</v>
      </c>
      <c r="BV76" s="197">
        <f t="shared" si="204"/>
        <v>5181.270950386006</v>
      </c>
      <c r="BW76" s="197">
        <f t="shared" si="205"/>
        <v>69207.927817071934</v>
      </c>
      <c r="BX76" s="197">
        <f t="shared" si="206"/>
        <v>-36334.837544883754</v>
      </c>
      <c r="BY76" s="199">
        <f t="shared" si="207"/>
        <v>-31153.566594497755</v>
      </c>
      <c r="CB76" s="895">
        <v>14</v>
      </c>
      <c r="CC76" s="897" t="s">
        <v>5</v>
      </c>
      <c r="CD76" s="757">
        <f>'Arable Inputs'!$F$18</f>
        <v>3.5</v>
      </c>
      <c r="CE76" s="757">
        <f>'Arable Inputs'!$F$25+'Arable Inputs'!$F$25</f>
        <v>3290</v>
      </c>
      <c r="CF76" s="757">
        <f>'Arable Inputs'!$F$19</f>
        <v>5.6</v>
      </c>
      <c r="CG76" s="757">
        <f>'Arable Inputs'!$F$26+'Arable Inputs'!$F$26</f>
        <v>240</v>
      </c>
      <c r="CH76" s="759">
        <f>CD76*CE76+CF76*CG76</f>
        <v>12859</v>
      </c>
      <c r="CI76" s="197">
        <f>'Arable NPV'!$E156</f>
        <v>471.64</v>
      </c>
      <c r="CJ76" s="197">
        <f t="shared" si="208"/>
        <v>13330.64</v>
      </c>
      <c r="CK76" s="197">
        <f>'Arable NPV'!$G156</f>
        <v>3562.03775</v>
      </c>
      <c r="CL76" s="197">
        <f>'Arable NPV'!$H156</f>
        <v>2542.6675999999998</v>
      </c>
      <c r="CM76" s="197">
        <f t="shared" si="209"/>
        <v>6104.7053500000002</v>
      </c>
      <c r="CN76" s="197">
        <f t="shared" si="210"/>
        <v>6754.2946499999998</v>
      </c>
      <c r="CO76" s="197">
        <f t="shared" si="211"/>
        <v>7225.9346499999992</v>
      </c>
      <c r="CP76" s="196">
        <f t="shared" si="171"/>
        <v>7722.782173605824</v>
      </c>
      <c r="CQ76" s="197">
        <f t="shared" si="172"/>
        <v>283.25476198455954</v>
      </c>
      <c r="CR76" s="197">
        <f t="shared" si="173"/>
        <v>3666.3278366977297</v>
      </c>
      <c r="CS76" s="197">
        <f t="shared" si="174"/>
        <v>4056.4543369080948</v>
      </c>
      <c r="CT76" s="199">
        <f t="shared" si="175"/>
        <v>4339.7090988926539</v>
      </c>
      <c r="CU76" s="196">
        <f t="shared" si="212"/>
        <v>131492.36108875269</v>
      </c>
      <c r="CV76" s="197">
        <f t="shared" si="213"/>
        <v>5181.270950386006</v>
      </c>
      <c r="CW76" s="197">
        <f t="shared" si="214"/>
        <v>69207.927817071934</v>
      </c>
      <c r="CX76" s="197">
        <f t="shared" si="215"/>
        <v>62284.433271680762</v>
      </c>
      <c r="CY76" s="199">
        <f t="shared" si="216"/>
        <v>67465.704222066764</v>
      </c>
      <c r="DB76" s="204">
        <f t="shared" si="226"/>
        <v>14</v>
      </c>
      <c r="DC76" s="897" t="s">
        <v>5</v>
      </c>
      <c r="DD76" s="757">
        <f>'Arable Inputs'!$F$18</f>
        <v>3.5</v>
      </c>
      <c r="DE76" s="757">
        <f>'Arable Inputs'!$F$25-'Arable Inputs'!$F$25</f>
        <v>0</v>
      </c>
      <c r="DF76" s="757">
        <f>'Arable Inputs'!$F$19</f>
        <v>5.6</v>
      </c>
      <c r="DG76" s="757">
        <f>'Arable Inputs'!$F$26-'Arable Inputs'!$F$26</f>
        <v>0</v>
      </c>
      <c r="DH76" s="759">
        <f>DD76*DE76+DF76*DG76</f>
        <v>0</v>
      </c>
      <c r="DI76" s="197">
        <f>'Arable NPV'!$E156</f>
        <v>471.64</v>
      </c>
      <c r="DJ76" s="197">
        <f t="shared" si="217"/>
        <v>471.64</v>
      </c>
      <c r="DK76" s="197">
        <f>'Arable NPV'!$G156</f>
        <v>3562.03775</v>
      </c>
      <c r="DL76" s="197">
        <f>'Arable NPV'!$H156</f>
        <v>2542.6675999999998</v>
      </c>
      <c r="DM76" s="197">
        <f t="shared" si="218"/>
        <v>6104.7053500000002</v>
      </c>
      <c r="DN76" s="197">
        <f t="shared" si="219"/>
        <v>-6104.7053500000002</v>
      </c>
      <c r="DO76" s="197">
        <f t="shared" si="220"/>
        <v>-5633.0653499999999</v>
      </c>
      <c r="DP76" s="196">
        <f t="shared" si="176"/>
        <v>0</v>
      </c>
      <c r="DQ76" s="197">
        <f t="shared" si="177"/>
        <v>283.25476198455954</v>
      </c>
      <c r="DR76" s="197">
        <f t="shared" si="178"/>
        <v>3666.3278366977297</v>
      </c>
      <c r="DS76" s="197">
        <f t="shared" si="179"/>
        <v>-3666.3278366977297</v>
      </c>
      <c r="DT76" s="199">
        <f t="shared" si="180"/>
        <v>-3383.0730747131702</v>
      </c>
      <c r="DU76" s="196">
        <f t="shared" si="221"/>
        <v>0</v>
      </c>
      <c r="DV76" s="197">
        <f t="shared" si="222"/>
        <v>5181.270950386006</v>
      </c>
      <c r="DW76" s="197">
        <f t="shared" si="223"/>
        <v>69207.927817071934</v>
      </c>
      <c r="DX76" s="197">
        <f t="shared" si="224"/>
        <v>-69207.927817071934</v>
      </c>
      <c r="DY76" s="199">
        <f t="shared" si="225"/>
        <v>-64026.656866685924</v>
      </c>
    </row>
    <row r="77" spans="2:129" x14ac:dyDescent="0.3">
      <c r="B77" s="895">
        <v>15</v>
      </c>
      <c r="C77" s="897" t="s">
        <v>647</v>
      </c>
      <c r="D77" s="757">
        <f>'Arable Inputs'!$E$18</f>
        <v>2.5</v>
      </c>
      <c r="E77" s="757">
        <f>'Arable Inputs'!$E$25</f>
        <v>721</v>
      </c>
      <c r="F77" s="757">
        <f>'Arable Inputs'!$E$19</f>
        <v>3</v>
      </c>
      <c r="G77" s="757">
        <f>'Arable Inputs'!$E$26</f>
        <v>120</v>
      </c>
      <c r="H77" s="759">
        <f>D77*E77+F77*G77</f>
        <v>2162.5</v>
      </c>
      <c r="I77" s="197">
        <f>'Arable NPV'!$E157</f>
        <v>471.64</v>
      </c>
      <c r="J77" s="197">
        <f t="shared" si="181"/>
        <v>2634.14</v>
      </c>
      <c r="K77" s="197">
        <f>'Arable NPV'!$G157</f>
        <v>1959.4805899999999</v>
      </c>
      <c r="L77" s="197">
        <f>'Arable NPV'!$H157</f>
        <v>3608.9468000000006</v>
      </c>
      <c r="M77" s="197">
        <f t="shared" si="182"/>
        <v>5568.4273900000007</v>
      </c>
      <c r="N77" s="197">
        <f t="shared" si="183"/>
        <v>-3405.9273900000007</v>
      </c>
      <c r="O77" s="197">
        <f t="shared" si="184"/>
        <v>-2934.2873900000009</v>
      </c>
      <c r="P77" s="196">
        <f t="shared" si="156"/>
        <v>1248.7898666021549</v>
      </c>
      <c r="Q77" s="197">
        <f t="shared" si="157"/>
        <v>272.36034806207647</v>
      </c>
      <c r="R77" s="197">
        <f t="shared" si="158"/>
        <v>3215.6280682274623</v>
      </c>
      <c r="S77" s="197">
        <f t="shared" si="159"/>
        <v>-1966.8382016253072</v>
      </c>
      <c r="T77" s="199">
        <f t="shared" si="160"/>
        <v>-1694.4778535632308</v>
      </c>
      <c r="U77" s="196">
        <f t="shared" si="185"/>
        <v>66994.970410978494</v>
      </c>
      <c r="V77" s="197">
        <f t="shared" si="186"/>
        <v>5453.6312984480828</v>
      </c>
      <c r="W77" s="197">
        <f t="shared" si="187"/>
        <v>72423.5558852994</v>
      </c>
      <c r="X77" s="197">
        <f t="shared" si="188"/>
        <v>-5428.5854743208929</v>
      </c>
      <c r="Y77" s="199">
        <f t="shared" si="189"/>
        <v>25.045824127190144</v>
      </c>
      <c r="AB77" s="895">
        <v>15</v>
      </c>
      <c r="AC77" s="897" t="s">
        <v>647</v>
      </c>
      <c r="AD77" s="757">
        <f>'Arable Inputs'!$E$18</f>
        <v>2.5</v>
      </c>
      <c r="AE77" s="757">
        <f>'Arable Inputs'!$E$25+0.5*'Arable Inputs'!$E$25</f>
        <v>1081.5</v>
      </c>
      <c r="AF77" s="757">
        <f>'Arable Inputs'!$E$19</f>
        <v>3</v>
      </c>
      <c r="AG77" s="757">
        <f>'Arable Inputs'!$E$26+0.5*'Arable Inputs'!$E$26</f>
        <v>180</v>
      </c>
      <c r="AH77" s="759">
        <f>AD77*AE77+AF77*AG77</f>
        <v>3243.75</v>
      </c>
      <c r="AI77" s="197">
        <f>'Arable NPV'!$E157</f>
        <v>471.64</v>
      </c>
      <c r="AJ77" s="197">
        <f t="shared" si="190"/>
        <v>3715.39</v>
      </c>
      <c r="AK77" s="197">
        <f>'Arable NPV'!$G157</f>
        <v>1959.4805899999999</v>
      </c>
      <c r="AL77" s="197">
        <f>'Arable NPV'!$H157</f>
        <v>3608.9468000000006</v>
      </c>
      <c r="AM77" s="197">
        <f t="shared" si="191"/>
        <v>5568.4273900000007</v>
      </c>
      <c r="AN77" s="197">
        <f t="shared" si="192"/>
        <v>-2324.6773900000007</v>
      </c>
      <c r="AO77" s="197">
        <f t="shared" si="193"/>
        <v>-1853.0373900000009</v>
      </c>
      <c r="AP77" s="196">
        <f t="shared" si="161"/>
        <v>1873.1847999032325</v>
      </c>
      <c r="AQ77" s="197">
        <f t="shared" si="162"/>
        <v>272.36034806207647</v>
      </c>
      <c r="AR77" s="197">
        <f t="shared" si="163"/>
        <v>3215.6280682274623</v>
      </c>
      <c r="AS77" s="197">
        <f t="shared" si="164"/>
        <v>-1342.4432683242296</v>
      </c>
      <c r="AT77" s="199">
        <f t="shared" si="165"/>
        <v>-1070.0829202621533</v>
      </c>
      <c r="AU77" s="196">
        <f t="shared" si="194"/>
        <v>100492.45561646775</v>
      </c>
      <c r="AV77" s="197">
        <f t="shared" si="195"/>
        <v>5453.6312984480828</v>
      </c>
      <c r="AW77" s="197">
        <f t="shared" si="196"/>
        <v>72423.5558852994</v>
      </c>
      <c r="AX77" s="197">
        <f t="shared" si="197"/>
        <v>28068.899731168352</v>
      </c>
      <c r="AY77" s="199">
        <f t="shared" si="198"/>
        <v>33522.531029616424</v>
      </c>
      <c r="BB77" s="895">
        <v>15</v>
      </c>
      <c r="BC77" s="897" t="s">
        <v>647</v>
      </c>
      <c r="BD77" s="757">
        <f>'Arable Inputs'!$E$18</f>
        <v>2.5</v>
      </c>
      <c r="BE77" s="757">
        <f>'Arable Inputs'!$E$25-0.5*'Arable Inputs'!$E$25</f>
        <v>360.5</v>
      </c>
      <c r="BF77" s="757">
        <f>'Arable Inputs'!$E$19</f>
        <v>3</v>
      </c>
      <c r="BG77" s="757">
        <f>'Arable Inputs'!$E$26-0.5*'Arable Inputs'!$E$26</f>
        <v>60</v>
      </c>
      <c r="BH77" s="759">
        <f>BD77*BE77+BF77*BG77</f>
        <v>1081.25</v>
      </c>
      <c r="BI77" s="197">
        <f>'Arable NPV'!$E157</f>
        <v>471.64</v>
      </c>
      <c r="BJ77" s="197">
        <f t="shared" si="199"/>
        <v>1552.8899999999999</v>
      </c>
      <c r="BK77" s="197">
        <f>'Arable NPV'!$G157</f>
        <v>1959.4805899999999</v>
      </c>
      <c r="BL77" s="197">
        <f>'Arable NPV'!$H157</f>
        <v>3608.9468000000006</v>
      </c>
      <c r="BM77" s="197">
        <f t="shared" si="200"/>
        <v>5568.4273900000007</v>
      </c>
      <c r="BN77" s="197">
        <f t="shared" si="201"/>
        <v>-4487.1773900000007</v>
      </c>
      <c r="BO77" s="197">
        <f t="shared" si="202"/>
        <v>-4015.5373900000009</v>
      </c>
      <c r="BP77" s="196">
        <f t="shared" si="166"/>
        <v>624.39493330107746</v>
      </c>
      <c r="BQ77" s="197">
        <f t="shared" si="167"/>
        <v>272.36034806207647</v>
      </c>
      <c r="BR77" s="197">
        <f t="shared" si="168"/>
        <v>3215.6280682274623</v>
      </c>
      <c r="BS77" s="197">
        <f t="shared" si="169"/>
        <v>-2591.2331349263845</v>
      </c>
      <c r="BT77" s="199">
        <f t="shared" si="170"/>
        <v>-2318.8727868643082</v>
      </c>
      <c r="BU77" s="196">
        <f t="shared" si="203"/>
        <v>33497.485205489247</v>
      </c>
      <c r="BV77" s="197">
        <f t="shared" si="204"/>
        <v>5453.6312984480828</v>
      </c>
      <c r="BW77" s="197">
        <f t="shared" si="205"/>
        <v>72423.5558852994</v>
      </c>
      <c r="BX77" s="197">
        <f t="shared" si="206"/>
        <v>-38926.070679810138</v>
      </c>
      <c r="BY77" s="199">
        <f t="shared" si="207"/>
        <v>-33472.439381362063</v>
      </c>
      <c r="CB77" s="895">
        <v>15</v>
      </c>
      <c r="CC77" s="897" t="s">
        <v>647</v>
      </c>
      <c r="CD77" s="757">
        <f>'Arable Inputs'!$E$18</f>
        <v>2.5</v>
      </c>
      <c r="CE77" s="757">
        <f>'Arable Inputs'!$E$25+'Arable Inputs'!$E$25</f>
        <v>1442</v>
      </c>
      <c r="CF77" s="757">
        <f>'Arable Inputs'!$E$19</f>
        <v>3</v>
      </c>
      <c r="CG77" s="757">
        <f>'Arable Inputs'!$E$26+'Arable Inputs'!$E$26</f>
        <v>240</v>
      </c>
      <c r="CH77" s="759">
        <f>CD77*CE77+CF77*CG77</f>
        <v>4325</v>
      </c>
      <c r="CI77" s="197">
        <f>'Arable NPV'!$E157</f>
        <v>471.64</v>
      </c>
      <c r="CJ77" s="197">
        <f t="shared" si="208"/>
        <v>4796.6400000000003</v>
      </c>
      <c r="CK77" s="197">
        <f>'Arable NPV'!$G157</f>
        <v>1959.4805899999999</v>
      </c>
      <c r="CL77" s="197">
        <f>'Arable NPV'!$H157</f>
        <v>3608.9468000000006</v>
      </c>
      <c r="CM77" s="197">
        <f t="shared" si="209"/>
        <v>5568.4273900000007</v>
      </c>
      <c r="CN77" s="197">
        <f t="shared" si="210"/>
        <v>-1243.4273900000007</v>
      </c>
      <c r="CO77" s="197">
        <f t="shared" si="211"/>
        <v>-771.78739000000041</v>
      </c>
      <c r="CP77" s="196">
        <f t="shared" si="171"/>
        <v>2497.5797332043098</v>
      </c>
      <c r="CQ77" s="197">
        <f t="shared" si="172"/>
        <v>272.36034806207647</v>
      </c>
      <c r="CR77" s="197">
        <f t="shared" si="173"/>
        <v>3215.6280682274623</v>
      </c>
      <c r="CS77" s="197">
        <f t="shared" si="174"/>
        <v>-718.04833502315228</v>
      </c>
      <c r="CT77" s="199">
        <f t="shared" si="175"/>
        <v>-445.68798696107558</v>
      </c>
      <c r="CU77" s="196">
        <f t="shared" si="212"/>
        <v>133989.94082195699</v>
      </c>
      <c r="CV77" s="197">
        <f t="shared" si="213"/>
        <v>5453.6312984480828</v>
      </c>
      <c r="CW77" s="197">
        <f t="shared" si="214"/>
        <v>72423.5558852994</v>
      </c>
      <c r="CX77" s="197">
        <f t="shared" si="215"/>
        <v>61566.384936657611</v>
      </c>
      <c r="CY77" s="199">
        <f t="shared" si="216"/>
        <v>67020.016235105693</v>
      </c>
      <c r="DB77" s="204">
        <f t="shared" si="226"/>
        <v>15</v>
      </c>
      <c r="DC77" s="897" t="s">
        <v>647</v>
      </c>
      <c r="DD77" s="757">
        <f>'Arable Inputs'!$E$18</f>
        <v>2.5</v>
      </c>
      <c r="DE77" s="757">
        <f>'Arable Inputs'!$E$25-'Arable Inputs'!$E$25</f>
        <v>0</v>
      </c>
      <c r="DF77" s="757">
        <f>'Arable Inputs'!$E$19</f>
        <v>3</v>
      </c>
      <c r="DG77" s="757">
        <f>'Arable Inputs'!$E$26-'Arable Inputs'!$E$26</f>
        <v>0</v>
      </c>
      <c r="DH77" s="759">
        <f>DD77*DE77+DF77*DG77</f>
        <v>0</v>
      </c>
      <c r="DI77" s="197">
        <f>'Arable NPV'!$E157</f>
        <v>471.64</v>
      </c>
      <c r="DJ77" s="197">
        <f t="shared" si="217"/>
        <v>471.64</v>
      </c>
      <c r="DK77" s="197">
        <f>'Arable NPV'!$G157</f>
        <v>1959.4805899999999</v>
      </c>
      <c r="DL77" s="197">
        <f>'Arable NPV'!$H157</f>
        <v>3608.9468000000006</v>
      </c>
      <c r="DM77" s="197">
        <f t="shared" si="218"/>
        <v>5568.4273900000007</v>
      </c>
      <c r="DN77" s="197">
        <f t="shared" si="219"/>
        <v>-5568.4273900000007</v>
      </c>
      <c r="DO77" s="197">
        <f t="shared" si="220"/>
        <v>-5096.7873900000004</v>
      </c>
      <c r="DP77" s="196">
        <f t="shared" si="176"/>
        <v>0</v>
      </c>
      <c r="DQ77" s="197">
        <f t="shared" si="177"/>
        <v>272.36034806207647</v>
      </c>
      <c r="DR77" s="197">
        <f t="shared" si="178"/>
        <v>3215.6280682274623</v>
      </c>
      <c r="DS77" s="197">
        <f t="shared" si="179"/>
        <v>-3215.6280682274623</v>
      </c>
      <c r="DT77" s="199">
        <f t="shared" si="180"/>
        <v>-2943.2677201653855</v>
      </c>
      <c r="DU77" s="196">
        <f t="shared" si="221"/>
        <v>0</v>
      </c>
      <c r="DV77" s="197">
        <f t="shared" si="222"/>
        <v>5453.6312984480828</v>
      </c>
      <c r="DW77" s="197">
        <f t="shared" si="223"/>
        <v>72423.5558852994</v>
      </c>
      <c r="DX77" s="197">
        <f t="shared" si="224"/>
        <v>-72423.5558852994</v>
      </c>
      <c r="DY77" s="199">
        <f t="shared" si="225"/>
        <v>-66969.92458685131</v>
      </c>
    </row>
    <row r="78" spans="2:129" x14ac:dyDescent="0.3">
      <c r="B78" s="896">
        <v>16</v>
      </c>
      <c r="C78" s="898" t="s">
        <v>4</v>
      </c>
      <c r="D78" s="758">
        <f>'Arable Inputs'!$D$18</f>
        <v>4.5999999999999996</v>
      </c>
      <c r="E78" s="758">
        <f>'Arable Inputs'!$D$25</f>
        <v>867</v>
      </c>
      <c r="F78" s="758">
        <f>'Arable Inputs'!$D$19</f>
        <v>4.9000000000000004</v>
      </c>
      <c r="G78" s="758">
        <f>'Arable Inputs'!$D$26</f>
        <v>140</v>
      </c>
      <c r="H78" s="207">
        <f>D78*E78+F78*G78</f>
        <v>4674.2</v>
      </c>
      <c r="I78" s="207">
        <f>'Arable NPV'!$E158</f>
        <v>471.64</v>
      </c>
      <c r="J78" s="207">
        <f t="shared" si="181"/>
        <v>5145.84</v>
      </c>
      <c r="K78" s="207">
        <f>'Arable NPV'!$G158</f>
        <v>2731.3292000000006</v>
      </c>
      <c r="L78" s="207">
        <f>'Arable NPV'!$H158</f>
        <v>4055.6064000000006</v>
      </c>
      <c r="M78" s="207">
        <f t="shared" si="182"/>
        <v>6786.9356000000007</v>
      </c>
      <c r="N78" s="207">
        <f t="shared" si="183"/>
        <v>-2112.7356000000009</v>
      </c>
      <c r="O78" s="207">
        <f t="shared" si="184"/>
        <v>-1641.0956000000006</v>
      </c>
      <c r="P78" s="208">
        <f t="shared" si="156"/>
        <v>2595.4173385823888</v>
      </c>
      <c r="Q78" s="207">
        <f t="shared" si="157"/>
        <v>261.88495005968895</v>
      </c>
      <c r="R78" s="207">
        <f t="shared" si="158"/>
        <v>3768.5444208810218</v>
      </c>
      <c r="S78" s="207">
        <f t="shared" si="159"/>
        <v>-1173.1270822986328</v>
      </c>
      <c r="T78" s="209">
        <f t="shared" si="160"/>
        <v>-911.24213223894367</v>
      </c>
      <c r="U78" s="208">
        <f t="shared" si="185"/>
        <v>69590.387749560876</v>
      </c>
      <c r="V78" s="207">
        <f t="shared" si="186"/>
        <v>5715.5162485077717</v>
      </c>
      <c r="W78" s="207">
        <f t="shared" si="187"/>
        <v>76192.100306180422</v>
      </c>
      <c r="X78" s="207">
        <f t="shared" si="188"/>
        <v>-6601.7125566195255</v>
      </c>
      <c r="Y78" s="209">
        <f t="shared" si="189"/>
        <v>-886.19630811175352</v>
      </c>
      <c r="AB78" s="896">
        <v>16</v>
      </c>
      <c r="AC78" s="898" t="s">
        <v>4</v>
      </c>
      <c r="AD78" s="758">
        <f>'Arable Inputs'!$D$18</f>
        <v>4.5999999999999996</v>
      </c>
      <c r="AE78" s="758">
        <f>'Arable Inputs'!$D$25+0.5*'Arable Inputs'!$D$25</f>
        <v>1300.5</v>
      </c>
      <c r="AF78" s="758">
        <f>'Arable Inputs'!$D$19</f>
        <v>4.9000000000000004</v>
      </c>
      <c r="AG78" s="758">
        <f>'Arable Inputs'!$D$26+0.5*'Arable Inputs'!$D$26</f>
        <v>210</v>
      </c>
      <c r="AH78" s="207">
        <f>AD78*AE78+AF78*AG78</f>
        <v>7011.2999999999993</v>
      </c>
      <c r="AI78" s="207">
        <f>'Arable NPV'!$E158</f>
        <v>471.64</v>
      </c>
      <c r="AJ78" s="207">
        <f t="shared" si="190"/>
        <v>7482.94</v>
      </c>
      <c r="AK78" s="207">
        <f>'Arable NPV'!$G158</f>
        <v>2731.3292000000006</v>
      </c>
      <c r="AL78" s="207">
        <f>'Arable NPV'!$H158</f>
        <v>4055.6064000000006</v>
      </c>
      <c r="AM78" s="207">
        <f t="shared" si="191"/>
        <v>6786.9356000000007</v>
      </c>
      <c r="AN78" s="207">
        <f t="shared" si="192"/>
        <v>224.36439999999857</v>
      </c>
      <c r="AO78" s="207">
        <f t="shared" si="193"/>
        <v>696.0043999999989</v>
      </c>
      <c r="AP78" s="208">
        <f t="shared" si="161"/>
        <v>3893.1260078735831</v>
      </c>
      <c r="AQ78" s="207">
        <f t="shared" si="162"/>
        <v>261.88495005968895</v>
      </c>
      <c r="AR78" s="207">
        <f t="shared" si="163"/>
        <v>3768.5444208810218</v>
      </c>
      <c r="AS78" s="207">
        <f t="shared" si="164"/>
        <v>124.58158699256148</v>
      </c>
      <c r="AT78" s="209">
        <f t="shared" si="165"/>
        <v>386.4665370522506</v>
      </c>
      <c r="AU78" s="208">
        <f t="shared" si="194"/>
        <v>104385.58162434133</v>
      </c>
      <c r="AV78" s="207">
        <f t="shared" si="195"/>
        <v>5715.5162485077717</v>
      </c>
      <c r="AW78" s="207">
        <f t="shared" si="196"/>
        <v>76192.100306180422</v>
      </c>
      <c r="AX78" s="207">
        <f t="shared" si="197"/>
        <v>28193.481318160913</v>
      </c>
      <c r="AY78" s="209">
        <f t="shared" si="198"/>
        <v>33908.997566668673</v>
      </c>
      <c r="BB78" s="896">
        <v>16</v>
      </c>
      <c r="BC78" s="898" t="s">
        <v>4</v>
      </c>
      <c r="BD78" s="758">
        <f>'Arable Inputs'!$D$18</f>
        <v>4.5999999999999996</v>
      </c>
      <c r="BE78" s="758">
        <f>'Arable Inputs'!$D$25-0.5*'Arable Inputs'!$D$25</f>
        <v>433.5</v>
      </c>
      <c r="BF78" s="758">
        <f>'Arable Inputs'!$D$19</f>
        <v>4.9000000000000004</v>
      </c>
      <c r="BG78" s="758">
        <f>'Arable Inputs'!$D$26-0.5*'Arable Inputs'!$D$26</f>
        <v>70</v>
      </c>
      <c r="BH78" s="207">
        <f>BD78*BE78+BF78*BG78</f>
        <v>2337.1</v>
      </c>
      <c r="BI78" s="207">
        <f>'Arable NPV'!$E158</f>
        <v>471.64</v>
      </c>
      <c r="BJ78" s="207">
        <f t="shared" si="199"/>
        <v>2808.74</v>
      </c>
      <c r="BK78" s="207">
        <f>'Arable NPV'!$G158</f>
        <v>2731.3292000000006</v>
      </c>
      <c r="BL78" s="207">
        <f>'Arable NPV'!$H158</f>
        <v>4055.6064000000006</v>
      </c>
      <c r="BM78" s="207">
        <f>BK78+BL78</f>
        <v>6786.9356000000007</v>
      </c>
      <c r="BN78" s="207">
        <f t="shared" si="201"/>
        <v>-4449.8356000000003</v>
      </c>
      <c r="BO78" s="207">
        <f t="shared" si="202"/>
        <v>-3978.1956000000009</v>
      </c>
      <c r="BP78" s="208">
        <f t="shared" si="166"/>
        <v>1297.7086692911944</v>
      </c>
      <c r="BQ78" s="207">
        <f t="shared" si="167"/>
        <v>261.88495005968895</v>
      </c>
      <c r="BR78" s="207">
        <f t="shared" si="168"/>
        <v>3768.5444208810218</v>
      </c>
      <c r="BS78" s="207">
        <f t="shared" si="169"/>
        <v>-2470.8357515898269</v>
      </c>
      <c r="BT78" s="209">
        <f t="shared" si="170"/>
        <v>-2208.9508015301385</v>
      </c>
      <c r="BU78" s="208">
        <f t="shared" si="203"/>
        <v>34795.193874780438</v>
      </c>
      <c r="BV78" s="207">
        <f t="shared" si="204"/>
        <v>5715.5162485077717</v>
      </c>
      <c r="BW78" s="207">
        <f t="shared" si="205"/>
        <v>76192.100306180422</v>
      </c>
      <c r="BX78" s="207">
        <f t="shared" si="206"/>
        <v>-41396.906431399962</v>
      </c>
      <c r="BY78" s="209">
        <f t="shared" si="207"/>
        <v>-35681.390182892203</v>
      </c>
      <c r="CB78" s="896">
        <v>16</v>
      </c>
      <c r="CC78" s="898" t="s">
        <v>4</v>
      </c>
      <c r="CD78" s="758">
        <f>'Arable Inputs'!$D$18</f>
        <v>4.5999999999999996</v>
      </c>
      <c r="CE78" s="758">
        <f>'Arable Inputs'!$D$25+'Arable Inputs'!$D$25</f>
        <v>1734</v>
      </c>
      <c r="CF78" s="758">
        <f>'Arable Inputs'!$D$19</f>
        <v>4.9000000000000004</v>
      </c>
      <c r="CG78" s="758">
        <f>'Arable Inputs'!$D$26+'Arable Inputs'!$D$26</f>
        <v>280</v>
      </c>
      <c r="CH78" s="207">
        <f>CD78*CE78+CF78*CG78</f>
        <v>9348.4</v>
      </c>
      <c r="CI78" s="207">
        <f>'Arable NPV'!$E158</f>
        <v>471.64</v>
      </c>
      <c r="CJ78" s="207">
        <f t="shared" si="208"/>
        <v>9820.0399999999991</v>
      </c>
      <c r="CK78" s="207">
        <f>'Arable NPV'!$G158</f>
        <v>2731.3292000000006</v>
      </c>
      <c r="CL78" s="207">
        <f>'Arable NPV'!$H158</f>
        <v>4055.6064000000006</v>
      </c>
      <c r="CM78" s="207">
        <f t="shared" si="209"/>
        <v>6786.9356000000007</v>
      </c>
      <c r="CN78" s="207">
        <f t="shared" si="210"/>
        <v>2561.4643999999989</v>
      </c>
      <c r="CO78" s="207">
        <f t="shared" si="211"/>
        <v>3033.1043999999983</v>
      </c>
      <c r="CP78" s="208">
        <f t="shared" si="171"/>
        <v>5190.8346771647775</v>
      </c>
      <c r="CQ78" s="207">
        <f t="shared" si="172"/>
        <v>261.88495005968895</v>
      </c>
      <c r="CR78" s="207">
        <f t="shared" si="173"/>
        <v>3768.5444208810218</v>
      </c>
      <c r="CS78" s="207">
        <f t="shared" si="174"/>
        <v>1422.2902562837562</v>
      </c>
      <c r="CT78" s="209">
        <f t="shared" si="175"/>
        <v>1684.1752063434449</v>
      </c>
      <c r="CU78" s="208">
        <f t="shared" si="212"/>
        <v>139180.77549912175</v>
      </c>
      <c r="CV78" s="207">
        <f t="shared" si="213"/>
        <v>5715.5162485077717</v>
      </c>
      <c r="CW78" s="207">
        <f t="shared" si="214"/>
        <v>76192.100306180422</v>
      </c>
      <c r="CX78" s="207">
        <f t="shared" si="215"/>
        <v>62988.675192941366</v>
      </c>
      <c r="CY78" s="209">
        <f t="shared" si="216"/>
        <v>68704.191441449133</v>
      </c>
      <c r="DB78" s="206">
        <f t="shared" si="226"/>
        <v>16</v>
      </c>
      <c r="DC78" s="898" t="s">
        <v>4</v>
      </c>
      <c r="DD78" s="758">
        <f>'Arable Inputs'!$D$18</f>
        <v>4.5999999999999996</v>
      </c>
      <c r="DE78" s="758">
        <f>'Arable Inputs'!$D$25-'Arable Inputs'!$D$25</f>
        <v>0</v>
      </c>
      <c r="DF78" s="758">
        <f>'Arable Inputs'!$D$19</f>
        <v>4.9000000000000004</v>
      </c>
      <c r="DG78" s="758">
        <f>'Arable Inputs'!$D$26-'Arable Inputs'!$D$26</f>
        <v>0</v>
      </c>
      <c r="DH78" s="207">
        <f>DD78*DE78+DF78*DG78</f>
        <v>0</v>
      </c>
      <c r="DI78" s="207">
        <f>'Arable NPV'!$E158</f>
        <v>471.64</v>
      </c>
      <c r="DJ78" s="207">
        <f t="shared" si="217"/>
        <v>471.64</v>
      </c>
      <c r="DK78" s="207">
        <f>'Arable NPV'!$G158</f>
        <v>2731.3292000000006</v>
      </c>
      <c r="DL78" s="207">
        <f>'Arable NPV'!$H158</f>
        <v>4055.6064000000006</v>
      </c>
      <c r="DM78" s="207">
        <f t="shared" si="218"/>
        <v>6786.9356000000007</v>
      </c>
      <c r="DN78" s="207">
        <f t="shared" si="219"/>
        <v>-6786.9356000000007</v>
      </c>
      <c r="DO78" s="207">
        <f t="shared" si="220"/>
        <v>-6315.2956000000004</v>
      </c>
      <c r="DP78" s="208">
        <f t="shared" si="176"/>
        <v>0</v>
      </c>
      <c r="DQ78" s="207">
        <f t="shared" si="177"/>
        <v>261.88495005968895</v>
      </c>
      <c r="DR78" s="207">
        <f t="shared" si="178"/>
        <v>3768.5444208810218</v>
      </c>
      <c r="DS78" s="207">
        <f t="shared" si="179"/>
        <v>-3768.5444208810218</v>
      </c>
      <c r="DT78" s="209">
        <f t="shared" si="180"/>
        <v>-3506.6594708213324</v>
      </c>
      <c r="DU78" s="208">
        <f t="shared" si="221"/>
        <v>0</v>
      </c>
      <c r="DV78" s="207">
        <f t="shared" si="222"/>
        <v>5715.5162485077717</v>
      </c>
      <c r="DW78" s="207">
        <f t="shared" si="223"/>
        <v>76192.100306180422</v>
      </c>
      <c r="DX78" s="207">
        <f t="shared" si="224"/>
        <v>-76192.100306180422</v>
      </c>
      <c r="DY78" s="209">
        <f t="shared" si="225"/>
        <v>-70476.584057672648</v>
      </c>
    </row>
    <row r="84" spans="2:119" x14ac:dyDescent="0.3">
      <c r="B84" s="211" t="s">
        <v>92</v>
      </c>
      <c r="C84" s="760" t="s">
        <v>386</v>
      </c>
      <c r="D84" s="269" t="s">
        <v>397</v>
      </c>
      <c r="E84" s="901">
        <v>1</v>
      </c>
      <c r="F84" s="193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Z84" s="211" t="s">
        <v>92</v>
      </c>
      <c r="AA84" s="211" t="s">
        <v>308</v>
      </c>
      <c r="AB84" s="904">
        <v>1.5</v>
      </c>
      <c r="AC84" s="194"/>
      <c r="AD84" s="193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X84" s="211" t="s">
        <v>92</v>
      </c>
      <c r="AY84" s="211" t="s">
        <v>319</v>
      </c>
      <c r="AZ84" s="903">
        <v>0.5</v>
      </c>
      <c r="BA84" s="194"/>
      <c r="BB84" s="193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V84" s="211" t="s">
        <v>92</v>
      </c>
      <c r="BW84" s="211" t="s">
        <v>320</v>
      </c>
      <c r="BX84" s="903">
        <v>2</v>
      </c>
      <c r="BY84" s="194"/>
      <c r="BZ84" s="193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  <c r="CM84" s="102"/>
      <c r="CN84" s="102"/>
      <c r="CO84" s="102"/>
      <c r="CP84" s="102"/>
      <c r="CQ84" s="102"/>
      <c r="CT84" s="211" t="s">
        <v>92</v>
      </c>
      <c r="CU84" s="211" t="s">
        <v>321</v>
      </c>
      <c r="CV84" s="903">
        <v>0</v>
      </c>
      <c r="CW84" s="194"/>
      <c r="CX84" s="193"/>
      <c r="CY84" s="102"/>
      <c r="CZ84" s="102"/>
      <c r="DA84" s="102"/>
      <c r="DB84" s="102"/>
      <c r="DC84" s="102"/>
      <c r="DD84" s="102"/>
      <c r="DE84" s="102"/>
      <c r="DF84" s="102"/>
      <c r="DG84" s="102"/>
      <c r="DH84" s="102"/>
      <c r="DI84" s="102"/>
      <c r="DJ84" s="102"/>
      <c r="DK84" s="102"/>
      <c r="DL84" s="102"/>
      <c r="DM84" s="102"/>
      <c r="DN84" s="102"/>
      <c r="DO84" s="102"/>
    </row>
    <row r="85" spans="2:119" x14ac:dyDescent="0.3">
      <c r="B85" s="203"/>
      <c r="C85" s="148"/>
      <c r="D85" s="148"/>
      <c r="E85" s="1082"/>
      <c r="F85" s="1082"/>
      <c r="G85" s="1082"/>
      <c r="H85" s="148"/>
      <c r="I85" s="926"/>
      <c r="J85" s="1082"/>
      <c r="K85" s="1082"/>
      <c r="L85" s="148"/>
      <c r="M85" s="148"/>
      <c r="N85" s="1083" t="s">
        <v>273</v>
      </c>
      <c r="O85" s="1084"/>
      <c r="P85" s="1084"/>
      <c r="Q85" s="1084"/>
      <c r="R85" s="1085"/>
      <c r="S85" s="1083" t="s">
        <v>274</v>
      </c>
      <c r="T85" s="1084"/>
      <c r="U85" s="1084"/>
      <c r="V85" s="1084"/>
      <c r="W85" s="1085"/>
      <c r="Z85" s="203"/>
      <c r="AA85" s="148"/>
      <c r="AB85" s="148"/>
      <c r="AC85" s="985"/>
      <c r="AD85" s="985"/>
      <c r="AE85" s="985"/>
      <c r="AF85" s="148"/>
      <c r="AG85" s="926"/>
      <c r="AH85" s="985"/>
      <c r="AI85" s="985"/>
      <c r="AJ85" s="148"/>
      <c r="AK85" s="148"/>
      <c r="AL85" s="986" t="s">
        <v>273</v>
      </c>
      <c r="AM85" s="987"/>
      <c r="AN85" s="987"/>
      <c r="AO85" s="987"/>
      <c r="AP85" s="988"/>
      <c r="AQ85" s="986" t="s">
        <v>274</v>
      </c>
      <c r="AR85" s="987"/>
      <c r="AS85" s="987"/>
      <c r="AT85" s="987"/>
      <c r="AU85" s="988"/>
      <c r="AX85" s="203"/>
      <c r="AY85" s="148"/>
      <c r="AZ85" s="148"/>
      <c r="BA85" s="985"/>
      <c r="BB85" s="985"/>
      <c r="BC85" s="985"/>
      <c r="BD85" s="148"/>
      <c r="BE85" s="926"/>
      <c r="BF85" s="985"/>
      <c r="BG85" s="985"/>
      <c r="BH85" s="148"/>
      <c r="BI85" s="148"/>
      <c r="BJ85" s="986" t="s">
        <v>273</v>
      </c>
      <c r="BK85" s="987"/>
      <c r="BL85" s="987"/>
      <c r="BM85" s="987"/>
      <c r="BN85" s="988"/>
      <c r="BO85" s="986" t="s">
        <v>274</v>
      </c>
      <c r="BP85" s="987"/>
      <c r="BQ85" s="987"/>
      <c r="BR85" s="987"/>
      <c r="BS85" s="988"/>
      <c r="BV85" s="203"/>
      <c r="BW85" s="148"/>
      <c r="BX85" s="148"/>
      <c r="BY85" s="985"/>
      <c r="BZ85" s="985"/>
      <c r="CA85" s="985"/>
      <c r="CB85" s="148"/>
      <c r="CC85" s="926"/>
      <c r="CD85" s="985"/>
      <c r="CE85" s="985"/>
      <c r="CF85" s="148"/>
      <c r="CG85" s="148"/>
      <c r="CH85" s="986" t="s">
        <v>273</v>
      </c>
      <c r="CI85" s="987"/>
      <c r="CJ85" s="987"/>
      <c r="CK85" s="987"/>
      <c r="CL85" s="988"/>
      <c r="CM85" s="986" t="s">
        <v>274</v>
      </c>
      <c r="CN85" s="987"/>
      <c r="CO85" s="987"/>
      <c r="CP85" s="987"/>
      <c r="CQ85" s="988"/>
      <c r="CT85" s="203"/>
      <c r="CU85" s="148"/>
      <c r="CV85" s="148"/>
      <c r="CW85" s="985"/>
      <c r="CX85" s="985"/>
      <c r="CY85" s="985"/>
      <c r="CZ85" s="148"/>
      <c r="DA85" s="926"/>
      <c r="DB85" s="985"/>
      <c r="DC85" s="985"/>
      <c r="DD85" s="148"/>
      <c r="DE85" s="148"/>
      <c r="DF85" s="986" t="s">
        <v>273</v>
      </c>
      <c r="DG85" s="987"/>
      <c r="DH85" s="987"/>
      <c r="DI85" s="987"/>
      <c r="DJ85" s="988"/>
      <c r="DK85" s="986" t="s">
        <v>274</v>
      </c>
      <c r="DL85" s="987"/>
      <c r="DM85" s="987"/>
      <c r="DN85" s="987"/>
      <c r="DO85" s="988"/>
    </row>
    <row r="86" spans="2:119" ht="51" x14ac:dyDescent="0.3">
      <c r="B86" s="204" t="s">
        <v>275</v>
      </c>
      <c r="C86" s="205" t="s">
        <v>293</v>
      </c>
      <c r="D86" s="205" t="s">
        <v>294</v>
      </c>
      <c r="E86" s="171" t="s">
        <v>622</v>
      </c>
      <c r="F86" s="171" t="s">
        <v>591</v>
      </c>
      <c r="G86" s="171" t="s">
        <v>623</v>
      </c>
      <c r="H86" s="205" t="s">
        <v>291</v>
      </c>
      <c r="I86" s="930" t="str">
        <f>'Energy NPV'!U11</f>
        <v>Total Recurring Costs</v>
      </c>
      <c r="J86" s="205" t="s">
        <v>295</v>
      </c>
      <c r="K86" s="171" t="s">
        <v>279</v>
      </c>
      <c r="L86" s="171" t="s">
        <v>624</v>
      </c>
      <c r="M86" s="171" t="s">
        <v>625</v>
      </c>
      <c r="N86" s="195" t="s">
        <v>280</v>
      </c>
      <c r="O86" s="171" t="s">
        <v>626</v>
      </c>
      <c r="P86" s="171" t="s">
        <v>281</v>
      </c>
      <c r="Q86" s="171" t="s">
        <v>627</v>
      </c>
      <c r="R86" s="198" t="s">
        <v>282</v>
      </c>
      <c r="S86" s="195" t="s">
        <v>283</v>
      </c>
      <c r="T86" s="171" t="s">
        <v>628</v>
      </c>
      <c r="U86" s="171" t="s">
        <v>284</v>
      </c>
      <c r="V86" s="171" t="s">
        <v>629</v>
      </c>
      <c r="W86" s="198" t="s">
        <v>285</v>
      </c>
      <c r="Z86" s="204" t="s">
        <v>275</v>
      </c>
      <c r="AA86" s="205" t="s">
        <v>293</v>
      </c>
      <c r="AB86" s="205" t="s">
        <v>294</v>
      </c>
      <c r="AC86" s="171" t="s">
        <v>622</v>
      </c>
      <c r="AD86" s="171" t="s">
        <v>591</v>
      </c>
      <c r="AE86" s="171" t="s">
        <v>623</v>
      </c>
      <c r="AF86" s="205" t="s">
        <v>291</v>
      </c>
      <c r="AG86" s="930" t="str">
        <f>'Energy NPV'!U11</f>
        <v>Total Recurring Costs</v>
      </c>
      <c r="AH86" s="205" t="s">
        <v>295</v>
      </c>
      <c r="AI86" s="171" t="s">
        <v>279</v>
      </c>
      <c r="AJ86" s="171" t="s">
        <v>624</v>
      </c>
      <c r="AK86" s="171" t="s">
        <v>625</v>
      </c>
      <c r="AL86" s="195" t="s">
        <v>280</v>
      </c>
      <c r="AM86" s="171" t="s">
        <v>626</v>
      </c>
      <c r="AN86" s="171" t="s">
        <v>281</v>
      </c>
      <c r="AO86" s="171" t="s">
        <v>627</v>
      </c>
      <c r="AP86" s="198" t="s">
        <v>282</v>
      </c>
      <c r="AQ86" s="195" t="s">
        <v>283</v>
      </c>
      <c r="AR86" s="171" t="s">
        <v>628</v>
      </c>
      <c r="AS86" s="171" t="s">
        <v>284</v>
      </c>
      <c r="AT86" s="171" t="s">
        <v>629</v>
      </c>
      <c r="AU86" s="198" t="s">
        <v>285</v>
      </c>
      <c r="AX86" s="204" t="s">
        <v>275</v>
      </c>
      <c r="AY86" s="205" t="s">
        <v>293</v>
      </c>
      <c r="AZ86" s="205" t="s">
        <v>294</v>
      </c>
      <c r="BA86" s="171" t="s">
        <v>622</v>
      </c>
      <c r="BB86" s="171" t="s">
        <v>591</v>
      </c>
      <c r="BC86" s="171" t="s">
        <v>623</v>
      </c>
      <c r="BD86" s="205" t="s">
        <v>291</v>
      </c>
      <c r="BE86" s="930" t="str">
        <f>'Energy NPV'!U11</f>
        <v>Total Recurring Costs</v>
      </c>
      <c r="BF86" s="205" t="s">
        <v>295</v>
      </c>
      <c r="BG86" s="171" t="s">
        <v>279</v>
      </c>
      <c r="BH86" s="171" t="s">
        <v>624</v>
      </c>
      <c r="BI86" s="171" t="s">
        <v>625</v>
      </c>
      <c r="BJ86" s="195" t="s">
        <v>280</v>
      </c>
      <c r="BK86" s="171" t="s">
        <v>626</v>
      </c>
      <c r="BL86" s="171" t="s">
        <v>281</v>
      </c>
      <c r="BM86" s="171" t="s">
        <v>627</v>
      </c>
      <c r="BN86" s="198" t="s">
        <v>282</v>
      </c>
      <c r="BO86" s="195" t="s">
        <v>283</v>
      </c>
      <c r="BP86" s="171" t="s">
        <v>628</v>
      </c>
      <c r="BQ86" s="171" t="s">
        <v>284</v>
      </c>
      <c r="BR86" s="171" t="s">
        <v>629</v>
      </c>
      <c r="BS86" s="198" t="s">
        <v>285</v>
      </c>
      <c r="BV86" s="204" t="s">
        <v>275</v>
      </c>
      <c r="BW86" s="205" t="s">
        <v>293</v>
      </c>
      <c r="BX86" s="205" t="s">
        <v>294</v>
      </c>
      <c r="BY86" s="171" t="s">
        <v>622</v>
      </c>
      <c r="BZ86" s="171" t="s">
        <v>591</v>
      </c>
      <c r="CA86" s="171" t="s">
        <v>623</v>
      </c>
      <c r="CB86" s="205" t="s">
        <v>291</v>
      </c>
      <c r="CC86" s="930" t="str">
        <f>'Energy NPV'!U11</f>
        <v>Total Recurring Costs</v>
      </c>
      <c r="CD86" s="205" t="s">
        <v>295</v>
      </c>
      <c r="CE86" s="171" t="s">
        <v>279</v>
      </c>
      <c r="CF86" s="171" t="s">
        <v>624</v>
      </c>
      <c r="CG86" s="171" t="s">
        <v>625</v>
      </c>
      <c r="CH86" s="195" t="s">
        <v>280</v>
      </c>
      <c r="CI86" s="171" t="s">
        <v>626</v>
      </c>
      <c r="CJ86" s="171" t="s">
        <v>281</v>
      </c>
      <c r="CK86" s="171" t="s">
        <v>627</v>
      </c>
      <c r="CL86" s="198" t="s">
        <v>282</v>
      </c>
      <c r="CM86" s="195" t="s">
        <v>283</v>
      </c>
      <c r="CN86" s="171" t="s">
        <v>628</v>
      </c>
      <c r="CO86" s="171" t="s">
        <v>284</v>
      </c>
      <c r="CP86" s="171" t="s">
        <v>629</v>
      </c>
      <c r="CQ86" s="198" t="s">
        <v>285</v>
      </c>
      <c r="CT86" s="204" t="s">
        <v>275</v>
      </c>
      <c r="CU86" s="205" t="s">
        <v>293</v>
      </c>
      <c r="CV86" s="205" t="s">
        <v>294</v>
      </c>
      <c r="CW86" s="171" t="s">
        <v>622</v>
      </c>
      <c r="CX86" s="171" t="s">
        <v>591</v>
      </c>
      <c r="CY86" s="171" t="s">
        <v>623</v>
      </c>
      <c r="CZ86" s="205" t="s">
        <v>291</v>
      </c>
      <c r="DA86" s="930" t="str">
        <f>'Energy NPV'!U11</f>
        <v>Total Recurring Costs</v>
      </c>
      <c r="DB86" s="205" t="s">
        <v>295</v>
      </c>
      <c r="DC86" s="171" t="s">
        <v>279</v>
      </c>
      <c r="DD86" s="171" t="s">
        <v>624</v>
      </c>
      <c r="DE86" s="171" t="s">
        <v>625</v>
      </c>
      <c r="DF86" s="195" t="s">
        <v>280</v>
      </c>
      <c r="DG86" s="171" t="s">
        <v>626</v>
      </c>
      <c r="DH86" s="171" t="s">
        <v>281</v>
      </c>
      <c r="DI86" s="171" t="s">
        <v>627</v>
      </c>
      <c r="DJ86" s="198" t="s">
        <v>282</v>
      </c>
      <c r="DK86" s="195" t="s">
        <v>283</v>
      </c>
      <c r="DL86" s="171" t="s">
        <v>628</v>
      </c>
      <c r="DM86" s="171" t="s">
        <v>284</v>
      </c>
      <c r="DN86" s="171" t="s">
        <v>629</v>
      </c>
      <c r="DO86" s="198" t="s">
        <v>285</v>
      </c>
    </row>
    <row r="87" spans="2:119" x14ac:dyDescent="0.3">
      <c r="B87" s="173"/>
      <c r="C87" s="226" t="s">
        <v>336</v>
      </c>
      <c r="D87" s="226" t="s">
        <v>573</v>
      </c>
      <c r="E87" s="201" t="s">
        <v>571</v>
      </c>
      <c r="F87" s="201" t="s">
        <v>571</v>
      </c>
      <c r="G87" s="201" t="s">
        <v>571</v>
      </c>
      <c r="H87" s="201" t="s">
        <v>571</v>
      </c>
      <c r="I87" s="964" t="str">
        <f>'Energy NPV'!U12</f>
        <v>(PLN ha-1)</v>
      </c>
      <c r="J87" s="201" t="s">
        <v>571</v>
      </c>
      <c r="K87" s="201" t="s">
        <v>571</v>
      </c>
      <c r="L87" s="201" t="s">
        <v>571</v>
      </c>
      <c r="M87" s="202" t="s">
        <v>571</v>
      </c>
      <c r="N87" s="201" t="s">
        <v>571</v>
      </c>
      <c r="O87" s="201" t="s">
        <v>571</v>
      </c>
      <c r="P87" s="201" t="s">
        <v>571</v>
      </c>
      <c r="Q87" s="201" t="s">
        <v>571</v>
      </c>
      <c r="R87" s="202" t="s">
        <v>571</v>
      </c>
      <c r="S87" s="201" t="s">
        <v>571</v>
      </c>
      <c r="T87" s="201" t="s">
        <v>571</v>
      </c>
      <c r="U87" s="201" t="s">
        <v>571</v>
      </c>
      <c r="V87" s="201" t="s">
        <v>571</v>
      </c>
      <c r="W87" s="202" t="s">
        <v>571</v>
      </c>
      <c r="Z87" s="173"/>
      <c r="AA87" s="226" t="s">
        <v>336</v>
      </c>
      <c r="AB87" s="226" t="s">
        <v>573</v>
      </c>
      <c r="AC87" s="201" t="s">
        <v>571</v>
      </c>
      <c r="AD87" s="201" t="s">
        <v>571</v>
      </c>
      <c r="AE87" s="201" t="s">
        <v>571</v>
      </c>
      <c r="AF87" s="201" t="s">
        <v>571</v>
      </c>
      <c r="AG87" s="964" t="str">
        <f>'Energy NPV'!U12</f>
        <v>(PLN ha-1)</v>
      </c>
      <c r="AH87" s="201" t="s">
        <v>571</v>
      </c>
      <c r="AI87" s="201" t="s">
        <v>571</v>
      </c>
      <c r="AJ87" s="201" t="s">
        <v>571</v>
      </c>
      <c r="AK87" s="202" t="s">
        <v>571</v>
      </c>
      <c r="AL87" s="201" t="s">
        <v>571</v>
      </c>
      <c r="AM87" s="201" t="s">
        <v>571</v>
      </c>
      <c r="AN87" s="201" t="s">
        <v>571</v>
      </c>
      <c r="AO87" s="201" t="s">
        <v>571</v>
      </c>
      <c r="AP87" s="202" t="s">
        <v>571</v>
      </c>
      <c r="AQ87" s="201" t="s">
        <v>571</v>
      </c>
      <c r="AR87" s="201" t="s">
        <v>571</v>
      </c>
      <c r="AS87" s="201" t="s">
        <v>571</v>
      </c>
      <c r="AT87" s="201" t="s">
        <v>571</v>
      </c>
      <c r="AU87" s="202" t="s">
        <v>571</v>
      </c>
      <c r="AX87" s="173"/>
      <c r="AY87" s="226" t="s">
        <v>336</v>
      </c>
      <c r="AZ87" s="226" t="s">
        <v>573</v>
      </c>
      <c r="BA87" s="201" t="s">
        <v>571</v>
      </c>
      <c r="BB87" s="201" t="s">
        <v>571</v>
      </c>
      <c r="BC87" s="201" t="s">
        <v>571</v>
      </c>
      <c r="BD87" s="201" t="s">
        <v>571</v>
      </c>
      <c r="BE87" s="964" t="str">
        <f>'Energy NPV'!U12</f>
        <v>(PLN ha-1)</v>
      </c>
      <c r="BF87" s="201" t="s">
        <v>571</v>
      </c>
      <c r="BG87" s="201" t="s">
        <v>571</v>
      </c>
      <c r="BH87" s="201" t="s">
        <v>571</v>
      </c>
      <c r="BI87" s="202" t="s">
        <v>571</v>
      </c>
      <c r="BJ87" s="201" t="s">
        <v>571</v>
      </c>
      <c r="BK87" s="201" t="s">
        <v>571</v>
      </c>
      <c r="BL87" s="201" t="s">
        <v>571</v>
      </c>
      <c r="BM87" s="201" t="s">
        <v>571</v>
      </c>
      <c r="BN87" s="202" t="s">
        <v>571</v>
      </c>
      <c r="BO87" s="201" t="s">
        <v>571</v>
      </c>
      <c r="BP87" s="201" t="s">
        <v>571</v>
      </c>
      <c r="BQ87" s="201" t="s">
        <v>571</v>
      </c>
      <c r="BR87" s="201" t="s">
        <v>571</v>
      </c>
      <c r="BS87" s="202" t="s">
        <v>571</v>
      </c>
      <c r="BV87" s="173"/>
      <c r="BW87" s="226" t="s">
        <v>336</v>
      </c>
      <c r="BX87" s="226" t="s">
        <v>573</v>
      </c>
      <c r="BY87" s="201" t="s">
        <v>571</v>
      </c>
      <c r="BZ87" s="201" t="s">
        <v>571</v>
      </c>
      <c r="CA87" s="201" t="s">
        <v>571</v>
      </c>
      <c r="CB87" s="201" t="s">
        <v>571</v>
      </c>
      <c r="CC87" s="964" t="str">
        <f>'Energy NPV'!U12</f>
        <v>(PLN ha-1)</v>
      </c>
      <c r="CD87" s="201" t="s">
        <v>571</v>
      </c>
      <c r="CE87" s="201" t="s">
        <v>571</v>
      </c>
      <c r="CF87" s="201" t="s">
        <v>571</v>
      </c>
      <c r="CG87" s="202" t="s">
        <v>571</v>
      </c>
      <c r="CH87" s="201" t="s">
        <v>571</v>
      </c>
      <c r="CI87" s="201" t="s">
        <v>571</v>
      </c>
      <c r="CJ87" s="201" t="s">
        <v>571</v>
      </c>
      <c r="CK87" s="201" t="s">
        <v>571</v>
      </c>
      <c r="CL87" s="202" t="s">
        <v>571</v>
      </c>
      <c r="CM87" s="201" t="s">
        <v>571</v>
      </c>
      <c r="CN87" s="201" t="s">
        <v>571</v>
      </c>
      <c r="CO87" s="201" t="s">
        <v>571</v>
      </c>
      <c r="CP87" s="201" t="s">
        <v>571</v>
      </c>
      <c r="CQ87" s="202" t="s">
        <v>571</v>
      </c>
      <c r="CT87" s="173"/>
      <c r="CU87" s="226" t="s">
        <v>336</v>
      </c>
      <c r="CV87" s="226" t="s">
        <v>573</v>
      </c>
      <c r="CW87" s="201" t="s">
        <v>571</v>
      </c>
      <c r="CX87" s="201" t="s">
        <v>571</v>
      </c>
      <c r="CY87" s="201" t="s">
        <v>571</v>
      </c>
      <c r="CZ87" s="201" t="s">
        <v>571</v>
      </c>
      <c r="DA87" s="964" t="str">
        <f>'Energy NPV'!U12</f>
        <v>(PLN ha-1)</v>
      </c>
      <c r="DB87" s="201" t="s">
        <v>571</v>
      </c>
      <c r="DC87" s="201" t="s">
        <v>571</v>
      </c>
      <c r="DD87" s="201" t="s">
        <v>571</v>
      </c>
      <c r="DE87" s="202" t="s">
        <v>571</v>
      </c>
      <c r="DF87" s="201" t="s">
        <v>571</v>
      </c>
      <c r="DG87" s="201" t="s">
        <v>571</v>
      </c>
      <c r="DH87" s="201" t="s">
        <v>571</v>
      </c>
      <c r="DI87" s="201" t="s">
        <v>571</v>
      </c>
      <c r="DJ87" s="202" t="s">
        <v>571</v>
      </c>
      <c r="DK87" s="201" t="s">
        <v>571</v>
      </c>
      <c r="DL87" s="201" t="s">
        <v>571</v>
      </c>
      <c r="DM87" s="201" t="s">
        <v>571</v>
      </c>
      <c r="DN87" s="201" t="s">
        <v>571</v>
      </c>
      <c r="DO87" s="202" t="s">
        <v>571</v>
      </c>
    </row>
    <row r="88" spans="2:119" x14ac:dyDescent="0.3">
      <c r="B88" s="894">
        <v>1</v>
      </c>
      <c r="C88" s="757">
        <f>'Energy NPV'!$D13</f>
        <v>0</v>
      </c>
      <c r="D88" s="197">
        <f>'Energy Inputs'!$D$58*$E$84</f>
        <v>269.5</v>
      </c>
      <c r="E88" s="197">
        <f>C88*D88</f>
        <v>0</v>
      </c>
      <c r="F88" s="197">
        <f>'Margins summary'!$Q$14</f>
        <v>471.64</v>
      </c>
      <c r="G88" s="197">
        <f>E88+F88</f>
        <v>471.64</v>
      </c>
      <c r="H88" s="197">
        <f>'Margins summary'!$P$20</f>
        <v>7477.7999999999993</v>
      </c>
      <c r="I88" s="913">
        <f>'Energy NPV'!U13</f>
        <v>0</v>
      </c>
      <c r="J88" s="197"/>
      <c r="K88" s="197">
        <f>H88+I88+J88</f>
        <v>7477.7999999999993</v>
      </c>
      <c r="L88" s="197">
        <f t="shared" ref="L88:L103" si="227">E88-K88</f>
        <v>-7477.7999999999993</v>
      </c>
      <c r="M88" s="197">
        <f t="shared" ref="M88:M103" si="228">G88-K88</f>
        <v>-7006.1599999999989</v>
      </c>
      <c r="N88" s="1014">
        <f>E88/((1+$B$4)^(B88-1))</f>
        <v>0</v>
      </c>
      <c r="O88" s="213">
        <f>F88/((1+$B$4)^(B88-1))</f>
        <v>471.64</v>
      </c>
      <c r="P88" s="213">
        <f>K88/((1+$B$4)^(B88-1))</f>
        <v>7477.7999999999993</v>
      </c>
      <c r="Q88" s="213">
        <f>L88/((1+$B$4)^(B88-1))</f>
        <v>-7477.7999999999993</v>
      </c>
      <c r="R88" s="924">
        <f>M88/((1+$B$4)^(B88-1))</f>
        <v>-7006.1599999999989</v>
      </c>
      <c r="S88" s="196">
        <f>N88</f>
        <v>0</v>
      </c>
      <c r="T88" s="197">
        <f>O88</f>
        <v>471.64</v>
      </c>
      <c r="U88" s="197">
        <f>P88</f>
        <v>7477.7999999999993</v>
      </c>
      <c r="V88" s="197">
        <f>Q88</f>
        <v>-7477.7999999999993</v>
      </c>
      <c r="W88" s="199">
        <f>R88</f>
        <v>-7006.1599999999989</v>
      </c>
      <c r="Z88" s="894">
        <v>1</v>
      </c>
      <c r="AA88" s="756">
        <f>'Energy NPV'!$D13</f>
        <v>0</v>
      </c>
      <c r="AB88" s="197">
        <f>'Energy Inputs'!$D$58*$AB$84</f>
        <v>404.25</v>
      </c>
      <c r="AC88" s="197">
        <f>AA88*AB88</f>
        <v>0</v>
      </c>
      <c r="AD88" s="197">
        <f>'Margins summary'!$Q$14</f>
        <v>471.64</v>
      </c>
      <c r="AE88" s="197">
        <f>AC88+AD88</f>
        <v>471.64</v>
      </c>
      <c r="AF88" s="197">
        <f>'Margins summary'!$P$20</f>
        <v>7477.7999999999993</v>
      </c>
      <c r="AG88" s="913">
        <f>'Energy NPV'!U13</f>
        <v>0</v>
      </c>
      <c r="AH88" s="197"/>
      <c r="AI88" s="197">
        <f>AF88+AG88+AH88</f>
        <v>7477.7999999999993</v>
      </c>
      <c r="AJ88" s="197">
        <f t="shared" ref="AJ88:AJ103" si="229">AC88-AI88</f>
        <v>-7477.7999999999993</v>
      </c>
      <c r="AK88" s="197">
        <f t="shared" ref="AK88:AK103" si="230">AE88-AI88</f>
        <v>-7006.1599999999989</v>
      </c>
      <c r="AL88" s="1014">
        <f>AC88/((1+$B$4)^(Z88-1))</f>
        <v>0</v>
      </c>
      <c r="AM88" s="213">
        <f>AD88/((1+$B$4)^(Z88-1))</f>
        <v>471.64</v>
      </c>
      <c r="AN88" s="213">
        <f>AI88/((1+$B$4)^(Z88-1))</f>
        <v>7477.7999999999993</v>
      </c>
      <c r="AO88" s="213">
        <f>AJ88/((1+$B$4)^(Z88-1))</f>
        <v>-7477.7999999999993</v>
      </c>
      <c r="AP88" s="924">
        <f>AK88/((1+$B$4)^(Z88-1))</f>
        <v>-7006.1599999999989</v>
      </c>
      <c r="AQ88" s="196">
        <f>AL88</f>
        <v>0</v>
      </c>
      <c r="AR88" s="197">
        <f>AM88</f>
        <v>471.64</v>
      </c>
      <c r="AS88" s="197">
        <f>AN88</f>
        <v>7477.7999999999993</v>
      </c>
      <c r="AT88" s="197">
        <f>AO88</f>
        <v>-7477.7999999999993</v>
      </c>
      <c r="AU88" s="199">
        <f>AP88</f>
        <v>-7006.1599999999989</v>
      </c>
      <c r="AX88" s="894">
        <v>1</v>
      </c>
      <c r="AY88" s="756">
        <f>'Energy NPV'!$D13</f>
        <v>0</v>
      </c>
      <c r="AZ88" s="197">
        <f>'Energy Inputs'!$D$58*$AZ$84</f>
        <v>134.75</v>
      </c>
      <c r="BA88" s="197">
        <f>AY88*AZ88</f>
        <v>0</v>
      </c>
      <c r="BB88" s="197">
        <f>'Margins summary'!$Q$14</f>
        <v>471.64</v>
      </c>
      <c r="BC88" s="197">
        <f>BA88+BB88</f>
        <v>471.64</v>
      </c>
      <c r="BD88" s="197">
        <f>'Margins summary'!$P$20</f>
        <v>7477.7999999999993</v>
      </c>
      <c r="BE88" s="913">
        <f>'Energy NPV'!U13</f>
        <v>0</v>
      </c>
      <c r="BF88" s="197"/>
      <c r="BG88" s="197">
        <f>BD88+BE88+BF88</f>
        <v>7477.7999999999993</v>
      </c>
      <c r="BH88" s="197">
        <f t="shared" ref="BH88:BH103" si="231">BA88-BG88</f>
        <v>-7477.7999999999993</v>
      </c>
      <c r="BI88" s="197">
        <f t="shared" ref="BI88:BI103" si="232">BC88-BG88</f>
        <v>-7006.1599999999989</v>
      </c>
      <c r="BJ88" s="1014">
        <f>BA88/((1+$B$4)^(AX88-1))</f>
        <v>0</v>
      </c>
      <c r="BK88" s="213">
        <f>BB88/((1+$B$4)^(AX88-1))</f>
        <v>471.64</v>
      </c>
      <c r="BL88" s="213">
        <f>BG88/((1+$B$4)^(AX88-1))</f>
        <v>7477.7999999999993</v>
      </c>
      <c r="BM88" s="213">
        <f>BH88/((1+$B$4)^(AX88-1))</f>
        <v>-7477.7999999999993</v>
      </c>
      <c r="BN88" s="924">
        <f>BI88/((1+$B$4)^(AX88-1))</f>
        <v>-7006.1599999999989</v>
      </c>
      <c r="BO88" s="196">
        <f>BJ88</f>
        <v>0</v>
      </c>
      <c r="BP88" s="197">
        <f>BK88</f>
        <v>471.64</v>
      </c>
      <c r="BQ88" s="197">
        <f>BL88</f>
        <v>7477.7999999999993</v>
      </c>
      <c r="BR88" s="197">
        <f>BM88</f>
        <v>-7477.7999999999993</v>
      </c>
      <c r="BS88" s="199">
        <f>BN88</f>
        <v>-7006.1599999999989</v>
      </c>
      <c r="BV88" s="725">
        <v>1</v>
      </c>
      <c r="BW88" s="756">
        <f>'Energy NPV'!$D13</f>
        <v>0</v>
      </c>
      <c r="BX88" s="197">
        <f>'Energy Inputs'!$D$58*$BX$84</f>
        <v>539</v>
      </c>
      <c r="BY88" s="197">
        <f>BW88*BX88</f>
        <v>0</v>
      </c>
      <c r="BZ88" s="197">
        <f>'Margins summary'!$Q$14</f>
        <v>471.64</v>
      </c>
      <c r="CA88" s="197">
        <f>BY88+BZ88</f>
        <v>471.64</v>
      </c>
      <c r="CB88" s="197">
        <f>'Margins summary'!$P$20</f>
        <v>7477.7999999999993</v>
      </c>
      <c r="CC88" s="913">
        <f>'Energy NPV'!U13</f>
        <v>0</v>
      </c>
      <c r="CD88" s="197"/>
      <c r="CE88" s="197">
        <f>CB88+CC88+CD88</f>
        <v>7477.7999999999993</v>
      </c>
      <c r="CF88" s="197">
        <f t="shared" ref="CF88:CF103" si="233">BY88-CE88</f>
        <v>-7477.7999999999993</v>
      </c>
      <c r="CG88" s="197">
        <f t="shared" ref="CG88:CG103" si="234">CA88-CE88</f>
        <v>-7006.1599999999989</v>
      </c>
      <c r="CH88" s="1014">
        <f>BY88/((1+$B$4)^(BV88-1))</f>
        <v>0</v>
      </c>
      <c r="CI88" s="213">
        <f>BZ88/((1+$B$4)^(BV88-1))</f>
        <v>471.64</v>
      </c>
      <c r="CJ88" s="213">
        <f>CE88/((1+$B$4)^(BV88-1))</f>
        <v>7477.7999999999993</v>
      </c>
      <c r="CK88" s="213">
        <f>CF88/((1+$B$4)^(BV88-1))</f>
        <v>-7477.7999999999993</v>
      </c>
      <c r="CL88" s="924">
        <f>CG88/((1+$B$4)^(BV88-1))</f>
        <v>-7006.1599999999989</v>
      </c>
      <c r="CM88" s="196">
        <f>CH88</f>
        <v>0</v>
      </c>
      <c r="CN88" s="197">
        <f>CI88</f>
        <v>471.64</v>
      </c>
      <c r="CO88" s="197">
        <f>CJ88</f>
        <v>7477.7999999999993</v>
      </c>
      <c r="CP88" s="197">
        <f>CK88</f>
        <v>-7477.7999999999993</v>
      </c>
      <c r="CQ88" s="199">
        <f>CL88</f>
        <v>-7006.1599999999989</v>
      </c>
      <c r="CT88" s="204">
        <v>1</v>
      </c>
      <c r="CU88" s="756">
        <f>'Energy NPV'!$D13</f>
        <v>0</v>
      </c>
      <c r="CV88" s="197">
        <f>'Energy Inputs'!$D$58*$CV$84</f>
        <v>0</v>
      </c>
      <c r="CW88" s="197">
        <f>CU88*CV88</f>
        <v>0</v>
      </c>
      <c r="CX88" s="197">
        <f>'Margins summary'!$Q$14</f>
        <v>471.64</v>
      </c>
      <c r="CY88" s="197">
        <f>CW88+CX88</f>
        <v>471.64</v>
      </c>
      <c r="CZ88" s="197">
        <f>'Margins summary'!$P$20</f>
        <v>7477.7999999999993</v>
      </c>
      <c r="DA88" s="913">
        <f>'Energy NPV'!U13</f>
        <v>0</v>
      </c>
      <c r="DB88" s="197"/>
      <c r="DC88" s="197">
        <f>CZ88+DA88+DB88</f>
        <v>7477.7999999999993</v>
      </c>
      <c r="DD88" s="197">
        <f t="shared" ref="DD88:DD103" si="235">CW88-DC88</f>
        <v>-7477.7999999999993</v>
      </c>
      <c r="DE88" s="197">
        <f t="shared" ref="DE88:DE103" si="236">CY88-DC88</f>
        <v>-7006.1599999999989</v>
      </c>
      <c r="DF88" s="1014">
        <f>CW88/((1+$B$4)^(CT88-1))</f>
        <v>0</v>
      </c>
      <c r="DG88" s="213">
        <f>CX88/((1+$B$4)^(CT88-1))</f>
        <v>471.64</v>
      </c>
      <c r="DH88" s="213">
        <f>DC88/((1+$B$4)^(CT88-1))</f>
        <v>7477.7999999999993</v>
      </c>
      <c r="DI88" s="213">
        <f>DD88/((1+$B$4)^(CT88-1))</f>
        <v>-7477.7999999999993</v>
      </c>
      <c r="DJ88" s="924">
        <f>DE88/((1+$B$4)^(CT88-1))</f>
        <v>-7006.1599999999989</v>
      </c>
      <c r="DK88" s="196">
        <f>DF88</f>
        <v>0</v>
      </c>
      <c r="DL88" s="197">
        <f>DG88</f>
        <v>471.64</v>
      </c>
      <c r="DM88" s="197">
        <f>DH88</f>
        <v>7477.7999999999993</v>
      </c>
      <c r="DN88" s="197">
        <f>DI88</f>
        <v>-7477.7999999999993</v>
      </c>
      <c r="DO88" s="199">
        <f>DJ88</f>
        <v>-7006.1599999999989</v>
      </c>
    </row>
    <row r="89" spans="2:119" x14ac:dyDescent="0.3">
      <c r="B89" s="895">
        <v>2</v>
      </c>
      <c r="C89" s="757">
        <f>'Energy NPV'!$D14</f>
        <v>0</v>
      </c>
      <c r="D89" s="197">
        <f>'Energy Inputs'!$D$58*$E$84</f>
        <v>269.5</v>
      </c>
      <c r="E89" s="197">
        <f>C89*D89</f>
        <v>0</v>
      </c>
      <c r="F89" s="197">
        <f>'Margins summary'!$Q$14</f>
        <v>471.64</v>
      </c>
      <c r="G89" s="197">
        <f t="shared" ref="G89:G103" si="237">E89+F89</f>
        <v>471.64</v>
      </c>
      <c r="H89" s="197"/>
      <c r="I89" s="913">
        <f>'Energy NPV'!U14</f>
        <v>687.5680000000001</v>
      </c>
      <c r="J89" s="197"/>
      <c r="K89" s="197">
        <f t="shared" ref="K89:K103" si="238">H89+I89+J89</f>
        <v>687.5680000000001</v>
      </c>
      <c r="L89" s="197">
        <f t="shared" si="227"/>
        <v>-687.5680000000001</v>
      </c>
      <c r="M89" s="197">
        <f t="shared" si="228"/>
        <v>-215.92800000000011</v>
      </c>
      <c r="N89" s="196">
        <f t="shared" ref="N89:N103" si="239">E89/((1+$B$4)^(B89-1))</f>
        <v>0</v>
      </c>
      <c r="O89" s="197">
        <f t="shared" ref="O89:O103" si="240">F89/((1+$B$4)^(B89-1))</f>
        <v>453.49999999999994</v>
      </c>
      <c r="P89" s="197">
        <f t="shared" ref="P89:P103" si="241">K89/((1+$B$4)^(B89-1))</f>
        <v>661.12307692307695</v>
      </c>
      <c r="Q89" s="197">
        <f t="shared" ref="Q89:Q103" si="242">L89/((1+$B$4)^(B89-1))</f>
        <v>-661.12307692307695</v>
      </c>
      <c r="R89" s="199">
        <f t="shared" ref="R89:R102" si="243">M89/((1+$B$4)^(B89-1))</f>
        <v>-207.62307692307704</v>
      </c>
      <c r="S89" s="196">
        <f>S88+N89</f>
        <v>0</v>
      </c>
      <c r="T89" s="197">
        <f t="shared" ref="T89:T103" si="244">T88+O89</f>
        <v>925.13999999999987</v>
      </c>
      <c r="U89" s="197">
        <f t="shared" ref="U89:U103" si="245">U88+P89</f>
        <v>8138.9230769230762</v>
      </c>
      <c r="V89" s="197">
        <f t="shared" ref="V89:V103" si="246">V88+Q89</f>
        <v>-8138.9230769230762</v>
      </c>
      <c r="W89" s="199">
        <f t="shared" ref="W89:W103" si="247">W88+R89</f>
        <v>-7213.7830769230759</v>
      </c>
      <c r="Z89" s="895">
        <v>2</v>
      </c>
      <c r="AA89" s="756">
        <f>'Energy NPV'!$D14</f>
        <v>0</v>
      </c>
      <c r="AB89" s="197">
        <f>'Energy Inputs'!$D$58*$AB$84</f>
        <v>404.25</v>
      </c>
      <c r="AC89" s="197">
        <f>AA89*AB89</f>
        <v>0</v>
      </c>
      <c r="AD89" s="197">
        <f>'Margins summary'!$Q$14</f>
        <v>471.64</v>
      </c>
      <c r="AE89" s="197">
        <f t="shared" ref="AE89:AE103" si="248">AC89+AD89</f>
        <v>471.64</v>
      </c>
      <c r="AF89" s="197"/>
      <c r="AG89" s="913">
        <f>'Energy NPV'!U14</f>
        <v>687.5680000000001</v>
      </c>
      <c r="AH89" s="197"/>
      <c r="AI89" s="197">
        <f t="shared" ref="AI89:AI103" si="249">AF89+AG89+AH89</f>
        <v>687.5680000000001</v>
      </c>
      <c r="AJ89" s="197">
        <f t="shared" si="229"/>
        <v>-687.5680000000001</v>
      </c>
      <c r="AK89" s="197">
        <f t="shared" si="230"/>
        <v>-215.92800000000011</v>
      </c>
      <c r="AL89" s="196">
        <f t="shared" ref="AL89:AL103" si="250">AC89/((1+$B$4)^(Z89-1))</f>
        <v>0</v>
      </c>
      <c r="AM89" s="197">
        <f t="shared" ref="AM89:AM103" si="251">AD89/((1+$B$4)^(Z89-1))</f>
        <v>453.49999999999994</v>
      </c>
      <c r="AN89" s="197">
        <f t="shared" ref="AN89:AN103" si="252">AI89/((1+$B$4)^(Z89-1))</f>
        <v>661.12307692307695</v>
      </c>
      <c r="AO89" s="197">
        <f t="shared" ref="AO89:AO103" si="253">AJ89/((1+$B$4)^(Z89-1))</f>
        <v>-661.12307692307695</v>
      </c>
      <c r="AP89" s="199">
        <f t="shared" ref="AP89:AP102" si="254">AK89/((1+$B$4)^(Z89-1))</f>
        <v>-207.62307692307704</v>
      </c>
      <c r="AQ89" s="196">
        <f>AQ88+AL89</f>
        <v>0</v>
      </c>
      <c r="AR89" s="197">
        <f t="shared" ref="AR89:AR103" si="255">AR88+AM89</f>
        <v>925.13999999999987</v>
      </c>
      <c r="AS89" s="197">
        <f t="shared" ref="AS89:AS103" si="256">AS88+AN89</f>
        <v>8138.9230769230762</v>
      </c>
      <c r="AT89" s="197">
        <f t="shared" ref="AT89:AT103" si="257">AT88+AO89</f>
        <v>-8138.9230769230762</v>
      </c>
      <c r="AU89" s="199">
        <f t="shared" ref="AU89:AU103" si="258">AU88+AP89</f>
        <v>-7213.7830769230759</v>
      </c>
      <c r="AX89" s="895">
        <v>2</v>
      </c>
      <c r="AY89" s="756">
        <f>'Energy NPV'!$D14</f>
        <v>0</v>
      </c>
      <c r="AZ89" s="197">
        <f>'Energy Inputs'!$D$58*$AZ$84</f>
        <v>134.75</v>
      </c>
      <c r="BA89" s="197">
        <f>AY89*AZ89</f>
        <v>0</v>
      </c>
      <c r="BB89" s="197">
        <f>'Margins summary'!$Q$14</f>
        <v>471.64</v>
      </c>
      <c r="BC89" s="197">
        <f t="shared" ref="BC89:BC103" si="259">BA89+BB89</f>
        <v>471.64</v>
      </c>
      <c r="BD89" s="197"/>
      <c r="BE89" s="913">
        <f>'Energy NPV'!U14</f>
        <v>687.5680000000001</v>
      </c>
      <c r="BF89" s="197"/>
      <c r="BG89" s="197">
        <f t="shared" ref="BG89:BG103" si="260">BD89+BE89+BF89</f>
        <v>687.5680000000001</v>
      </c>
      <c r="BH89" s="197">
        <f t="shared" si="231"/>
        <v>-687.5680000000001</v>
      </c>
      <c r="BI89" s="197">
        <f t="shared" si="232"/>
        <v>-215.92800000000011</v>
      </c>
      <c r="BJ89" s="196">
        <f t="shared" ref="BJ89:BJ103" si="261">BA89/((1+$B$4)^(AX89-1))</f>
        <v>0</v>
      </c>
      <c r="BK89" s="197">
        <f t="shared" ref="BK89:BK103" si="262">BB89/((1+$B$4)^(AX89-1))</f>
        <v>453.49999999999994</v>
      </c>
      <c r="BL89" s="197">
        <f t="shared" ref="BL89:BL103" si="263">BG89/((1+$B$4)^(AX89-1))</f>
        <v>661.12307692307695</v>
      </c>
      <c r="BM89" s="197">
        <f t="shared" ref="BM89:BM103" si="264">BH89/((1+$B$4)^(AX89-1))</f>
        <v>-661.12307692307695</v>
      </c>
      <c r="BN89" s="199">
        <f t="shared" ref="BN89:BN102" si="265">BI89/((1+$B$4)^(AX89-1))</f>
        <v>-207.62307692307704</v>
      </c>
      <c r="BO89" s="196">
        <f>BO88+BJ89</f>
        <v>0</v>
      </c>
      <c r="BP89" s="197">
        <f t="shared" ref="BP89:BP103" si="266">BP88+BK89</f>
        <v>925.13999999999987</v>
      </c>
      <c r="BQ89" s="197">
        <f t="shared" ref="BQ89:BQ103" si="267">BQ88+BL89</f>
        <v>8138.9230769230762</v>
      </c>
      <c r="BR89" s="197">
        <f t="shared" ref="BR89:BR103" si="268">BR88+BM89</f>
        <v>-8138.9230769230762</v>
      </c>
      <c r="BS89" s="199">
        <f t="shared" ref="BS89:BS103" si="269">BS88+BN89</f>
        <v>-7213.7830769230759</v>
      </c>
      <c r="BV89" s="417">
        <v>2</v>
      </c>
      <c r="BW89" s="756">
        <f>'Energy NPV'!$D14</f>
        <v>0</v>
      </c>
      <c r="BX89" s="197">
        <f>'Energy Inputs'!$D$58*$BX$84</f>
        <v>539</v>
      </c>
      <c r="BY89" s="197">
        <f>BW89*BX89</f>
        <v>0</v>
      </c>
      <c r="BZ89" s="197">
        <f>'Margins summary'!$Q$14</f>
        <v>471.64</v>
      </c>
      <c r="CA89" s="197">
        <f t="shared" ref="CA89:CA103" si="270">BY89+BZ89</f>
        <v>471.64</v>
      </c>
      <c r="CB89" s="197"/>
      <c r="CC89" s="913">
        <f>'Energy NPV'!U14</f>
        <v>687.5680000000001</v>
      </c>
      <c r="CD89" s="197"/>
      <c r="CE89" s="197">
        <f t="shared" ref="CE89:CE103" si="271">CB89+CC89+CD89</f>
        <v>687.5680000000001</v>
      </c>
      <c r="CF89" s="197">
        <f t="shared" si="233"/>
        <v>-687.5680000000001</v>
      </c>
      <c r="CG89" s="197">
        <f t="shared" si="234"/>
        <v>-215.92800000000011</v>
      </c>
      <c r="CH89" s="196">
        <f t="shared" ref="CH89:CH103" si="272">BY89/((1+$B$4)^(BV89-1))</f>
        <v>0</v>
      </c>
      <c r="CI89" s="197">
        <f t="shared" ref="CI89:CI103" si="273">BZ89/((1+$B$4)^(BV89-1))</f>
        <v>453.49999999999994</v>
      </c>
      <c r="CJ89" s="197">
        <f t="shared" ref="CJ89:CJ103" si="274">CE89/((1+$B$4)^(BV89-1))</f>
        <v>661.12307692307695</v>
      </c>
      <c r="CK89" s="197">
        <f t="shared" ref="CK89:CK103" si="275">CF89/((1+$B$4)^(BV89-1))</f>
        <v>-661.12307692307695</v>
      </c>
      <c r="CL89" s="199">
        <f t="shared" ref="CL89:CL102" si="276">CG89/((1+$B$4)^(BV89-1))</f>
        <v>-207.62307692307704</v>
      </c>
      <c r="CM89" s="196">
        <f>CM88+CH89</f>
        <v>0</v>
      </c>
      <c r="CN89" s="197">
        <f t="shared" ref="CN89:CN103" si="277">CN88+CI89</f>
        <v>925.13999999999987</v>
      </c>
      <c r="CO89" s="197">
        <f t="shared" ref="CO89:CO103" si="278">CO88+CJ89</f>
        <v>8138.9230769230762</v>
      </c>
      <c r="CP89" s="197">
        <f t="shared" ref="CP89:CP103" si="279">CP88+CK89</f>
        <v>-8138.9230769230762</v>
      </c>
      <c r="CQ89" s="199">
        <f t="shared" ref="CQ89:CQ103" si="280">CQ88+CL89</f>
        <v>-7213.7830769230759</v>
      </c>
      <c r="CT89" s="204">
        <v>2</v>
      </c>
      <c r="CU89" s="756">
        <f>'Energy NPV'!$D14</f>
        <v>0</v>
      </c>
      <c r="CV89" s="197">
        <f>'Energy Inputs'!$D$58*$CV$84</f>
        <v>0</v>
      </c>
      <c r="CW89" s="197">
        <f>CU89*CV89</f>
        <v>0</v>
      </c>
      <c r="CX89" s="197">
        <f>'Margins summary'!$Q$14</f>
        <v>471.64</v>
      </c>
      <c r="CY89" s="197">
        <f t="shared" ref="CY89:CY103" si="281">CW89+CX89</f>
        <v>471.64</v>
      </c>
      <c r="CZ89" s="197"/>
      <c r="DA89" s="913">
        <f>'Energy NPV'!U14</f>
        <v>687.5680000000001</v>
      </c>
      <c r="DB89" s="197"/>
      <c r="DC89" s="197">
        <f t="shared" ref="DC89:DC103" si="282">CZ89+DA89+DB89</f>
        <v>687.5680000000001</v>
      </c>
      <c r="DD89" s="197">
        <f t="shared" si="235"/>
        <v>-687.5680000000001</v>
      </c>
      <c r="DE89" s="197">
        <f t="shared" si="236"/>
        <v>-215.92800000000011</v>
      </c>
      <c r="DF89" s="196">
        <f t="shared" ref="DF89:DF103" si="283">CW89/((1+$B$4)^(CT89-1))</f>
        <v>0</v>
      </c>
      <c r="DG89" s="197">
        <f t="shared" ref="DG89:DG103" si="284">CX89/((1+$B$4)^(CT89-1))</f>
        <v>453.49999999999994</v>
      </c>
      <c r="DH89" s="197">
        <f t="shared" ref="DH89:DH103" si="285">DC89/((1+$B$4)^(CT89-1))</f>
        <v>661.12307692307695</v>
      </c>
      <c r="DI89" s="197">
        <f t="shared" ref="DI89:DI103" si="286">DD89/((1+$B$4)^(CT89-1))</f>
        <v>-661.12307692307695</v>
      </c>
      <c r="DJ89" s="199">
        <f t="shared" ref="DJ89:DJ102" si="287">DE89/((1+$B$4)^(CT89-1))</f>
        <v>-207.62307692307704</v>
      </c>
      <c r="DK89" s="196">
        <f>DK88+DF89</f>
        <v>0</v>
      </c>
      <c r="DL89" s="197">
        <f t="shared" ref="DL89:DL103" si="288">DL88+DG89</f>
        <v>925.13999999999987</v>
      </c>
      <c r="DM89" s="197">
        <f t="shared" ref="DM89:DM103" si="289">DM88+DH89</f>
        <v>8138.9230769230762</v>
      </c>
      <c r="DN89" s="197">
        <f t="shared" ref="DN89:DN103" si="290">DN88+DI89</f>
        <v>-8138.9230769230762</v>
      </c>
      <c r="DO89" s="199">
        <f t="shared" ref="DO89:DO103" si="291">DO88+DJ89</f>
        <v>-7213.7830769230759</v>
      </c>
    </row>
    <row r="90" spans="2:119" x14ac:dyDescent="0.3">
      <c r="B90" s="895">
        <v>3</v>
      </c>
      <c r="C90" s="757">
        <f>'Energy NPV'!$D15</f>
        <v>0</v>
      </c>
      <c r="D90" s="197">
        <f>'Energy Inputs'!$D$58*$E$84</f>
        <v>269.5</v>
      </c>
      <c r="E90" s="197">
        <f t="shared" ref="E90:E103" si="292">C90*D90</f>
        <v>0</v>
      </c>
      <c r="F90" s="197">
        <f>'Margins summary'!$Q$14</f>
        <v>471.64</v>
      </c>
      <c r="G90" s="197">
        <f t="shared" si="237"/>
        <v>471.64</v>
      </c>
      <c r="H90" s="197"/>
      <c r="I90" s="913">
        <f>'Energy NPV'!U15</f>
        <v>687.5680000000001</v>
      </c>
      <c r="J90" s="197"/>
      <c r="K90" s="197">
        <f t="shared" si="238"/>
        <v>687.5680000000001</v>
      </c>
      <c r="L90" s="197">
        <f t="shared" si="227"/>
        <v>-687.5680000000001</v>
      </c>
      <c r="M90" s="197">
        <f t="shared" si="228"/>
        <v>-215.92800000000011</v>
      </c>
      <c r="N90" s="196">
        <f t="shared" si="239"/>
        <v>0</v>
      </c>
      <c r="O90" s="197">
        <f t="shared" si="240"/>
        <v>436.05769230769226</v>
      </c>
      <c r="P90" s="197">
        <f t="shared" si="241"/>
        <v>635.69526627218931</v>
      </c>
      <c r="Q90" s="197">
        <f t="shared" si="242"/>
        <v>-635.69526627218931</v>
      </c>
      <c r="R90" s="199">
        <f t="shared" si="243"/>
        <v>-199.63757396449714</v>
      </c>
      <c r="S90" s="196">
        <f t="shared" ref="S90:S103" si="293">S89+N90</f>
        <v>0</v>
      </c>
      <c r="T90" s="197">
        <f t="shared" si="244"/>
        <v>1361.1976923076923</v>
      </c>
      <c r="U90" s="197">
        <f t="shared" si="245"/>
        <v>8774.618343195265</v>
      </c>
      <c r="V90" s="197">
        <f t="shared" si="246"/>
        <v>-8774.618343195265</v>
      </c>
      <c r="W90" s="199">
        <f t="shared" si="247"/>
        <v>-7413.4206508875732</v>
      </c>
      <c r="Z90" s="895">
        <v>3</v>
      </c>
      <c r="AA90" s="756">
        <f>'Energy NPV'!$D15</f>
        <v>0</v>
      </c>
      <c r="AB90" s="197">
        <f>'Energy Inputs'!$D$58*$AB$84</f>
        <v>404.25</v>
      </c>
      <c r="AC90" s="197">
        <f t="shared" ref="AC90:AC103" si="294">AA90*AB90</f>
        <v>0</v>
      </c>
      <c r="AD90" s="197">
        <f>'Margins summary'!$Q$14</f>
        <v>471.64</v>
      </c>
      <c r="AE90" s="197">
        <f t="shared" si="248"/>
        <v>471.64</v>
      </c>
      <c r="AF90" s="197"/>
      <c r="AG90" s="913">
        <f>'Energy NPV'!U15</f>
        <v>687.5680000000001</v>
      </c>
      <c r="AH90" s="197"/>
      <c r="AI90" s="197">
        <f t="shared" si="249"/>
        <v>687.5680000000001</v>
      </c>
      <c r="AJ90" s="197">
        <f t="shared" si="229"/>
        <v>-687.5680000000001</v>
      </c>
      <c r="AK90" s="197">
        <f t="shared" si="230"/>
        <v>-215.92800000000011</v>
      </c>
      <c r="AL90" s="196">
        <f t="shared" si="250"/>
        <v>0</v>
      </c>
      <c r="AM90" s="197">
        <f t="shared" si="251"/>
        <v>436.05769230769226</v>
      </c>
      <c r="AN90" s="197">
        <f t="shared" si="252"/>
        <v>635.69526627218931</v>
      </c>
      <c r="AO90" s="197">
        <f t="shared" si="253"/>
        <v>-635.69526627218931</v>
      </c>
      <c r="AP90" s="199">
        <f t="shared" si="254"/>
        <v>-199.63757396449714</v>
      </c>
      <c r="AQ90" s="196">
        <f t="shared" ref="AQ90:AQ102" si="295">AQ89+AL90</f>
        <v>0</v>
      </c>
      <c r="AR90" s="197">
        <f t="shared" si="255"/>
        <v>1361.1976923076923</v>
      </c>
      <c r="AS90" s="197">
        <f t="shared" si="256"/>
        <v>8774.618343195265</v>
      </c>
      <c r="AT90" s="197">
        <f t="shared" si="257"/>
        <v>-8774.618343195265</v>
      </c>
      <c r="AU90" s="199">
        <f t="shared" si="258"/>
        <v>-7413.4206508875732</v>
      </c>
      <c r="AX90" s="895">
        <v>3</v>
      </c>
      <c r="AY90" s="756">
        <f>'Energy NPV'!$D15</f>
        <v>0</v>
      </c>
      <c r="AZ90" s="197">
        <f>'Energy Inputs'!$D$58*$AZ$84</f>
        <v>134.75</v>
      </c>
      <c r="BA90" s="197">
        <f t="shared" ref="BA90:BA103" si="296">AY90*AZ90</f>
        <v>0</v>
      </c>
      <c r="BB90" s="197">
        <f>'Margins summary'!$Q$14</f>
        <v>471.64</v>
      </c>
      <c r="BC90" s="197">
        <f t="shared" si="259"/>
        <v>471.64</v>
      </c>
      <c r="BD90" s="197"/>
      <c r="BE90" s="913">
        <f>'Energy NPV'!U15</f>
        <v>687.5680000000001</v>
      </c>
      <c r="BF90" s="197"/>
      <c r="BG90" s="197">
        <f t="shared" si="260"/>
        <v>687.5680000000001</v>
      </c>
      <c r="BH90" s="197">
        <f t="shared" si="231"/>
        <v>-687.5680000000001</v>
      </c>
      <c r="BI90" s="197">
        <f t="shared" si="232"/>
        <v>-215.92800000000011</v>
      </c>
      <c r="BJ90" s="196">
        <f t="shared" si="261"/>
        <v>0</v>
      </c>
      <c r="BK90" s="197">
        <f t="shared" si="262"/>
        <v>436.05769230769226</v>
      </c>
      <c r="BL90" s="197">
        <f t="shared" si="263"/>
        <v>635.69526627218931</v>
      </c>
      <c r="BM90" s="197">
        <f t="shared" si="264"/>
        <v>-635.69526627218931</v>
      </c>
      <c r="BN90" s="199">
        <f t="shared" si="265"/>
        <v>-199.63757396449714</v>
      </c>
      <c r="BO90" s="196">
        <f t="shared" ref="BO90:BO103" si="297">BO89+BJ90</f>
        <v>0</v>
      </c>
      <c r="BP90" s="197">
        <f t="shared" si="266"/>
        <v>1361.1976923076923</v>
      </c>
      <c r="BQ90" s="197">
        <f t="shared" si="267"/>
        <v>8774.618343195265</v>
      </c>
      <c r="BR90" s="197">
        <f t="shared" si="268"/>
        <v>-8774.618343195265</v>
      </c>
      <c r="BS90" s="199">
        <f t="shared" si="269"/>
        <v>-7413.4206508875732</v>
      </c>
      <c r="BV90" s="417">
        <v>3</v>
      </c>
      <c r="BW90" s="756">
        <f>'Energy NPV'!$D15</f>
        <v>0</v>
      </c>
      <c r="BX90" s="197">
        <f>'Energy Inputs'!$D$58*$BX$84</f>
        <v>539</v>
      </c>
      <c r="BY90" s="197">
        <f t="shared" ref="BY90:BY103" si="298">BW90*BX90</f>
        <v>0</v>
      </c>
      <c r="BZ90" s="197">
        <f>'Margins summary'!$Q$14</f>
        <v>471.64</v>
      </c>
      <c r="CA90" s="197">
        <f t="shared" si="270"/>
        <v>471.64</v>
      </c>
      <c r="CB90" s="197"/>
      <c r="CC90" s="913">
        <f>'Energy NPV'!U15</f>
        <v>687.5680000000001</v>
      </c>
      <c r="CD90" s="197"/>
      <c r="CE90" s="197">
        <f t="shared" si="271"/>
        <v>687.5680000000001</v>
      </c>
      <c r="CF90" s="197">
        <f t="shared" si="233"/>
        <v>-687.5680000000001</v>
      </c>
      <c r="CG90" s="197">
        <f t="shared" si="234"/>
        <v>-215.92800000000011</v>
      </c>
      <c r="CH90" s="196">
        <f t="shared" si="272"/>
        <v>0</v>
      </c>
      <c r="CI90" s="197">
        <f t="shared" si="273"/>
        <v>436.05769230769226</v>
      </c>
      <c r="CJ90" s="197">
        <f t="shared" si="274"/>
        <v>635.69526627218931</v>
      </c>
      <c r="CK90" s="197">
        <f t="shared" si="275"/>
        <v>-635.69526627218931</v>
      </c>
      <c r="CL90" s="199">
        <f t="shared" si="276"/>
        <v>-199.63757396449714</v>
      </c>
      <c r="CM90" s="196">
        <f t="shared" ref="CM90:CM103" si="299">CM89+CH90</f>
        <v>0</v>
      </c>
      <c r="CN90" s="197">
        <f t="shared" si="277"/>
        <v>1361.1976923076923</v>
      </c>
      <c r="CO90" s="197">
        <f t="shared" si="278"/>
        <v>8774.618343195265</v>
      </c>
      <c r="CP90" s="197">
        <f t="shared" si="279"/>
        <v>-8774.618343195265</v>
      </c>
      <c r="CQ90" s="199">
        <f t="shared" si="280"/>
        <v>-7413.4206508875732</v>
      </c>
      <c r="CT90" s="204">
        <f t="shared" ref="CT90:CT103" si="300">CT89+1</f>
        <v>3</v>
      </c>
      <c r="CU90" s="756">
        <f>'Energy NPV'!$D15</f>
        <v>0</v>
      </c>
      <c r="CV90" s="197">
        <f>'Energy Inputs'!$D$58*$CV$84</f>
        <v>0</v>
      </c>
      <c r="CW90" s="197">
        <f t="shared" ref="CW90:CW103" si="301">CU90*CV90</f>
        <v>0</v>
      </c>
      <c r="CX90" s="197">
        <f>'Margins summary'!$Q$14</f>
        <v>471.64</v>
      </c>
      <c r="CY90" s="197">
        <f t="shared" si="281"/>
        <v>471.64</v>
      </c>
      <c r="CZ90" s="197"/>
      <c r="DA90" s="913">
        <f>'Energy NPV'!U15</f>
        <v>687.5680000000001</v>
      </c>
      <c r="DB90" s="197"/>
      <c r="DC90" s="197">
        <f t="shared" si="282"/>
        <v>687.5680000000001</v>
      </c>
      <c r="DD90" s="197">
        <f t="shared" si="235"/>
        <v>-687.5680000000001</v>
      </c>
      <c r="DE90" s="197">
        <f t="shared" si="236"/>
        <v>-215.92800000000011</v>
      </c>
      <c r="DF90" s="196">
        <f t="shared" si="283"/>
        <v>0</v>
      </c>
      <c r="DG90" s="197">
        <f t="shared" si="284"/>
        <v>436.05769230769226</v>
      </c>
      <c r="DH90" s="197">
        <f t="shared" si="285"/>
        <v>635.69526627218931</v>
      </c>
      <c r="DI90" s="197">
        <f t="shared" si="286"/>
        <v>-635.69526627218931</v>
      </c>
      <c r="DJ90" s="199">
        <f t="shared" si="287"/>
        <v>-199.63757396449714</v>
      </c>
      <c r="DK90" s="196">
        <f t="shared" ref="DK90:DK103" si="302">DK89+DF90</f>
        <v>0</v>
      </c>
      <c r="DL90" s="197">
        <f t="shared" si="288"/>
        <v>1361.1976923076923</v>
      </c>
      <c r="DM90" s="197">
        <f t="shared" si="289"/>
        <v>8774.618343195265</v>
      </c>
      <c r="DN90" s="197">
        <f t="shared" si="290"/>
        <v>-8774.618343195265</v>
      </c>
      <c r="DO90" s="199">
        <f t="shared" si="291"/>
        <v>-7413.4206508875732</v>
      </c>
    </row>
    <row r="91" spans="2:119" x14ac:dyDescent="0.3">
      <c r="B91" s="895">
        <v>4</v>
      </c>
      <c r="C91" s="757">
        <f>'Energy NPV'!$D16</f>
        <v>25</v>
      </c>
      <c r="D91" s="197">
        <f>'Energy Inputs'!$D$58*$E$84</f>
        <v>269.5</v>
      </c>
      <c r="E91" s="197">
        <f t="shared" si="292"/>
        <v>6737.5</v>
      </c>
      <c r="F91" s="197">
        <f>'Margins summary'!$Q$14</f>
        <v>471.64</v>
      </c>
      <c r="G91" s="197">
        <f t="shared" si="237"/>
        <v>7209.14</v>
      </c>
      <c r="H91" s="197"/>
      <c r="I91" s="913">
        <f>'Energy NPV'!U16</f>
        <v>2318.3679999999999</v>
      </c>
      <c r="J91" s="197"/>
      <c r="K91" s="197">
        <f t="shared" si="238"/>
        <v>2318.3679999999999</v>
      </c>
      <c r="L91" s="197">
        <f t="shared" si="227"/>
        <v>4419.1319999999996</v>
      </c>
      <c r="M91" s="197">
        <f t="shared" si="228"/>
        <v>4890.7720000000008</v>
      </c>
      <c r="N91" s="196">
        <f t="shared" si="239"/>
        <v>5989.6129665452881</v>
      </c>
      <c r="O91" s="197">
        <f t="shared" si="240"/>
        <v>419.28624260355025</v>
      </c>
      <c r="P91" s="197">
        <f t="shared" si="241"/>
        <v>2061.0207100591715</v>
      </c>
      <c r="Q91" s="197">
        <f t="shared" si="242"/>
        <v>3928.5922564861166</v>
      </c>
      <c r="R91" s="199">
        <f t="shared" si="243"/>
        <v>4347.8784990896684</v>
      </c>
      <c r="S91" s="196">
        <f t="shared" si="293"/>
        <v>5989.6129665452881</v>
      </c>
      <c r="T91" s="197">
        <f t="shared" si="244"/>
        <v>1780.4839349112426</v>
      </c>
      <c r="U91" s="197">
        <f t="shared" si="245"/>
        <v>10835.639053254436</v>
      </c>
      <c r="V91" s="197">
        <f t="shared" si="246"/>
        <v>-4846.0260867091483</v>
      </c>
      <c r="W91" s="199">
        <f t="shared" si="247"/>
        <v>-3065.5421517979048</v>
      </c>
      <c r="Z91" s="895">
        <v>4</v>
      </c>
      <c r="AA91" s="756">
        <f>'Energy NPV'!$D16</f>
        <v>25</v>
      </c>
      <c r="AB91" s="197">
        <f>'Energy Inputs'!$D$58*$AB$84</f>
        <v>404.25</v>
      </c>
      <c r="AC91" s="197">
        <f t="shared" si="294"/>
        <v>10106.25</v>
      </c>
      <c r="AD91" s="197">
        <f>'Margins summary'!$Q$14</f>
        <v>471.64</v>
      </c>
      <c r="AE91" s="197">
        <f t="shared" si="248"/>
        <v>10577.89</v>
      </c>
      <c r="AF91" s="197"/>
      <c r="AG91" s="913">
        <f>'Energy NPV'!U16</f>
        <v>2318.3679999999999</v>
      </c>
      <c r="AH91" s="197"/>
      <c r="AI91" s="197">
        <f t="shared" si="249"/>
        <v>2318.3679999999999</v>
      </c>
      <c r="AJ91" s="197">
        <f t="shared" si="229"/>
        <v>7787.8819999999996</v>
      </c>
      <c r="AK91" s="197">
        <f t="shared" si="230"/>
        <v>8259.521999999999</v>
      </c>
      <c r="AL91" s="196">
        <f t="shared" si="250"/>
        <v>8984.4194498179331</v>
      </c>
      <c r="AM91" s="197">
        <f t="shared" si="251"/>
        <v>419.28624260355025</v>
      </c>
      <c r="AN91" s="197">
        <f t="shared" si="252"/>
        <v>2061.0207100591715</v>
      </c>
      <c r="AO91" s="197">
        <f t="shared" si="253"/>
        <v>6923.3987397587607</v>
      </c>
      <c r="AP91" s="199">
        <f t="shared" si="254"/>
        <v>7342.6849823623106</v>
      </c>
      <c r="AQ91" s="196">
        <f t="shared" si="295"/>
        <v>8984.4194498179331</v>
      </c>
      <c r="AR91" s="197">
        <f t="shared" si="255"/>
        <v>1780.4839349112426</v>
      </c>
      <c r="AS91" s="197">
        <f t="shared" si="256"/>
        <v>10835.639053254436</v>
      </c>
      <c r="AT91" s="197">
        <f t="shared" si="257"/>
        <v>-1851.2196034365043</v>
      </c>
      <c r="AU91" s="199">
        <f t="shared" si="258"/>
        <v>-70.735668525262554</v>
      </c>
      <c r="AX91" s="895">
        <v>4</v>
      </c>
      <c r="AY91" s="756">
        <f>'Energy NPV'!$D16</f>
        <v>25</v>
      </c>
      <c r="AZ91" s="197">
        <f>'Energy Inputs'!$D$58*$AZ$84</f>
        <v>134.75</v>
      </c>
      <c r="BA91" s="197">
        <f t="shared" si="296"/>
        <v>3368.75</v>
      </c>
      <c r="BB91" s="197">
        <f>'Margins summary'!$Q$14</f>
        <v>471.64</v>
      </c>
      <c r="BC91" s="197">
        <f t="shared" si="259"/>
        <v>3840.39</v>
      </c>
      <c r="BD91" s="197"/>
      <c r="BE91" s="913">
        <f>'Energy NPV'!U16</f>
        <v>2318.3679999999999</v>
      </c>
      <c r="BF91" s="197"/>
      <c r="BG91" s="197">
        <f t="shared" si="260"/>
        <v>2318.3679999999999</v>
      </c>
      <c r="BH91" s="197">
        <f t="shared" si="231"/>
        <v>1050.3820000000001</v>
      </c>
      <c r="BI91" s="197">
        <f t="shared" si="232"/>
        <v>1522.0219999999999</v>
      </c>
      <c r="BJ91" s="196">
        <f t="shared" si="261"/>
        <v>2994.8064832726441</v>
      </c>
      <c r="BK91" s="197">
        <f t="shared" si="262"/>
        <v>419.28624260355025</v>
      </c>
      <c r="BL91" s="197">
        <f t="shared" si="263"/>
        <v>2061.0207100591715</v>
      </c>
      <c r="BM91" s="197">
        <f t="shared" si="264"/>
        <v>933.78577321347291</v>
      </c>
      <c r="BN91" s="199">
        <f t="shared" si="265"/>
        <v>1353.0720158170232</v>
      </c>
      <c r="BO91" s="196">
        <f t="shared" si="297"/>
        <v>2994.8064832726441</v>
      </c>
      <c r="BP91" s="197">
        <f t="shared" si="266"/>
        <v>1780.4839349112426</v>
      </c>
      <c r="BQ91" s="197">
        <f t="shared" si="267"/>
        <v>10835.639053254436</v>
      </c>
      <c r="BR91" s="197">
        <f t="shared" si="268"/>
        <v>-7840.8325699817924</v>
      </c>
      <c r="BS91" s="199">
        <f t="shared" si="269"/>
        <v>-6060.3486350705498</v>
      </c>
      <c r="BV91" s="417">
        <v>4</v>
      </c>
      <c r="BW91" s="756">
        <f>'Energy NPV'!$D16</f>
        <v>25</v>
      </c>
      <c r="BX91" s="197">
        <f>'Energy Inputs'!$D$58*$BX$84</f>
        <v>539</v>
      </c>
      <c r="BY91" s="197">
        <f t="shared" si="298"/>
        <v>13475</v>
      </c>
      <c r="BZ91" s="197">
        <f>'Margins summary'!$Q$14</f>
        <v>471.64</v>
      </c>
      <c r="CA91" s="197">
        <f t="shared" si="270"/>
        <v>13946.64</v>
      </c>
      <c r="CB91" s="197"/>
      <c r="CC91" s="913">
        <f>'Energy NPV'!U16</f>
        <v>2318.3679999999999</v>
      </c>
      <c r="CD91" s="197"/>
      <c r="CE91" s="197">
        <f t="shared" si="271"/>
        <v>2318.3679999999999</v>
      </c>
      <c r="CF91" s="197">
        <f t="shared" si="233"/>
        <v>11156.632</v>
      </c>
      <c r="CG91" s="197">
        <f t="shared" si="234"/>
        <v>11628.271999999999</v>
      </c>
      <c r="CH91" s="196">
        <f t="shared" si="272"/>
        <v>11979.225933090576</v>
      </c>
      <c r="CI91" s="197">
        <f t="shared" si="273"/>
        <v>419.28624260355025</v>
      </c>
      <c r="CJ91" s="197">
        <f t="shared" si="274"/>
        <v>2061.0207100591715</v>
      </c>
      <c r="CK91" s="197">
        <f t="shared" si="275"/>
        <v>9918.2052230314057</v>
      </c>
      <c r="CL91" s="199">
        <f t="shared" si="276"/>
        <v>10337.491465634956</v>
      </c>
      <c r="CM91" s="196">
        <f t="shared" si="299"/>
        <v>11979.225933090576</v>
      </c>
      <c r="CN91" s="197">
        <f t="shared" si="277"/>
        <v>1780.4839349112426</v>
      </c>
      <c r="CO91" s="197">
        <f t="shared" si="278"/>
        <v>10835.639053254436</v>
      </c>
      <c r="CP91" s="197">
        <f t="shared" si="279"/>
        <v>1143.5868798361407</v>
      </c>
      <c r="CQ91" s="199">
        <f t="shared" si="280"/>
        <v>2924.0708147473824</v>
      </c>
      <c r="CT91" s="204">
        <f t="shared" si="300"/>
        <v>4</v>
      </c>
      <c r="CU91" s="756">
        <f>'Energy NPV'!$D16</f>
        <v>25</v>
      </c>
      <c r="CV91" s="197">
        <f>'Energy Inputs'!$D$58*$CV$84</f>
        <v>0</v>
      </c>
      <c r="CW91" s="197">
        <f t="shared" si="301"/>
        <v>0</v>
      </c>
      <c r="CX91" s="197">
        <f>'Margins summary'!$Q$14</f>
        <v>471.64</v>
      </c>
      <c r="CY91" s="197">
        <f t="shared" si="281"/>
        <v>471.64</v>
      </c>
      <c r="CZ91" s="197"/>
      <c r="DA91" s="913">
        <f>'Energy NPV'!U16</f>
        <v>2318.3679999999999</v>
      </c>
      <c r="DB91" s="197"/>
      <c r="DC91" s="197">
        <f t="shared" si="282"/>
        <v>2318.3679999999999</v>
      </c>
      <c r="DD91" s="197">
        <f t="shared" si="235"/>
        <v>-2318.3679999999999</v>
      </c>
      <c r="DE91" s="197">
        <f t="shared" si="236"/>
        <v>-1846.7280000000001</v>
      </c>
      <c r="DF91" s="196">
        <f t="shared" si="283"/>
        <v>0</v>
      </c>
      <c r="DG91" s="197">
        <f t="shared" si="284"/>
        <v>419.28624260355025</v>
      </c>
      <c r="DH91" s="197">
        <f t="shared" si="285"/>
        <v>2061.0207100591715</v>
      </c>
      <c r="DI91" s="197">
        <f t="shared" si="286"/>
        <v>-2061.0207100591715</v>
      </c>
      <c r="DJ91" s="199">
        <f t="shared" si="287"/>
        <v>-1641.7344674556211</v>
      </c>
      <c r="DK91" s="196">
        <f t="shared" si="302"/>
        <v>0</v>
      </c>
      <c r="DL91" s="197">
        <f t="shared" si="288"/>
        <v>1780.4839349112426</v>
      </c>
      <c r="DM91" s="197">
        <f t="shared" si="289"/>
        <v>10835.639053254436</v>
      </c>
      <c r="DN91" s="197">
        <f t="shared" si="290"/>
        <v>-10835.639053254436</v>
      </c>
      <c r="DO91" s="199">
        <f t="shared" si="291"/>
        <v>-9055.1551183431948</v>
      </c>
    </row>
    <row r="92" spans="2:119" x14ac:dyDescent="0.3">
      <c r="B92" s="895">
        <v>5</v>
      </c>
      <c r="C92" s="757">
        <f>'Energy NPV'!$D17</f>
        <v>0</v>
      </c>
      <c r="D92" s="197">
        <f>'Energy Inputs'!$D$58*$E$84</f>
        <v>269.5</v>
      </c>
      <c r="E92" s="197">
        <f t="shared" si="292"/>
        <v>0</v>
      </c>
      <c r="F92" s="197">
        <f>'Margins summary'!$Q$14</f>
        <v>471.64</v>
      </c>
      <c r="G92" s="197">
        <f t="shared" si="237"/>
        <v>471.64</v>
      </c>
      <c r="H92" s="197"/>
      <c r="I92" s="913">
        <f>'Energy NPV'!U17</f>
        <v>197.56800000000001</v>
      </c>
      <c r="J92" s="197"/>
      <c r="K92" s="197">
        <f t="shared" si="238"/>
        <v>197.56800000000001</v>
      </c>
      <c r="L92" s="197">
        <f t="shared" si="227"/>
        <v>-197.56800000000001</v>
      </c>
      <c r="M92" s="197">
        <f t="shared" si="228"/>
        <v>274.072</v>
      </c>
      <c r="N92" s="196">
        <f t="shared" si="239"/>
        <v>0</v>
      </c>
      <c r="O92" s="197">
        <f t="shared" si="240"/>
        <v>403.15984865725983</v>
      </c>
      <c r="P92" s="197">
        <f t="shared" si="241"/>
        <v>168.88195441336086</v>
      </c>
      <c r="Q92" s="197">
        <f t="shared" si="242"/>
        <v>-168.88195441336086</v>
      </c>
      <c r="R92" s="199">
        <f t="shared" si="243"/>
        <v>234.27789424389897</v>
      </c>
      <c r="S92" s="196">
        <f t="shared" si="293"/>
        <v>5989.6129665452881</v>
      </c>
      <c r="T92" s="197">
        <f t="shared" si="244"/>
        <v>2183.6437835685024</v>
      </c>
      <c r="U92" s="197">
        <f t="shared" si="245"/>
        <v>11004.521007667796</v>
      </c>
      <c r="V92" s="197">
        <f t="shared" si="246"/>
        <v>-5014.9080411225095</v>
      </c>
      <c r="W92" s="199">
        <f t="shared" si="247"/>
        <v>-2831.2642575540058</v>
      </c>
      <c r="Z92" s="895">
        <v>5</v>
      </c>
      <c r="AA92" s="756">
        <f>'Energy NPV'!$D17</f>
        <v>0</v>
      </c>
      <c r="AB92" s="197">
        <f>'Energy Inputs'!$D$58*$AB$84</f>
        <v>404.25</v>
      </c>
      <c r="AC92" s="197">
        <f t="shared" si="294"/>
        <v>0</v>
      </c>
      <c r="AD92" s="197">
        <f>'Margins summary'!$Q$14</f>
        <v>471.64</v>
      </c>
      <c r="AE92" s="197">
        <f t="shared" si="248"/>
        <v>471.64</v>
      </c>
      <c r="AF92" s="197"/>
      <c r="AG92" s="913">
        <f>'Energy NPV'!U17</f>
        <v>197.56800000000001</v>
      </c>
      <c r="AH92" s="197"/>
      <c r="AI92" s="197">
        <f t="shared" si="249"/>
        <v>197.56800000000001</v>
      </c>
      <c r="AJ92" s="197">
        <f t="shared" si="229"/>
        <v>-197.56800000000001</v>
      </c>
      <c r="AK92" s="197">
        <f t="shared" si="230"/>
        <v>274.072</v>
      </c>
      <c r="AL92" s="196">
        <f t="shared" si="250"/>
        <v>0</v>
      </c>
      <c r="AM92" s="197">
        <f t="shared" si="251"/>
        <v>403.15984865725983</v>
      </c>
      <c r="AN92" s="197">
        <f t="shared" si="252"/>
        <v>168.88195441336086</v>
      </c>
      <c r="AO92" s="197">
        <f t="shared" si="253"/>
        <v>-168.88195441336086</v>
      </c>
      <c r="AP92" s="199">
        <f t="shared" si="254"/>
        <v>234.27789424389897</v>
      </c>
      <c r="AQ92" s="196">
        <f t="shared" si="295"/>
        <v>8984.4194498179331</v>
      </c>
      <c r="AR92" s="197">
        <f t="shared" si="255"/>
        <v>2183.6437835685024</v>
      </c>
      <c r="AS92" s="197">
        <f t="shared" si="256"/>
        <v>11004.521007667796</v>
      </c>
      <c r="AT92" s="197">
        <f t="shared" si="257"/>
        <v>-2020.101557849865</v>
      </c>
      <c r="AU92" s="199">
        <f t="shared" si="258"/>
        <v>163.54222571863642</v>
      </c>
      <c r="AX92" s="895">
        <v>5</v>
      </c>
      <c r="AY92" s="756">
        <f>'Energy NPV'!$D17</f>
        <v>0</v>
      </c>
      <c r="AZ92" s="197">
        <f>'Energy Inputs'!$D$58*$AZ$84</f>
        <v>134.75</v>
      </c>
      <c r="BA92" s="197">
        <f t="shared" si="296"/>
        <v>0</v>
      </c>
      <c r="BB92" s="197">
        <f>'Margins summary'!$Q$14</f>
        <v>471.64</v>
      </c>
      <c r="BC92" s="197">
        <f t="shared" si="259"/>
        <v>471.64</v>
      </c>
      <c r="BD92" s="197"/>
      <c r="BE92" s="913">
        <f>'Energy NPV'!U17</f>
        <v>197.56800000000001</v>
      </c>
      <c r="BF92" s="197"/>
      <c r="BG92" s="197">
        <f t="shared" si="260"/>
        <v>197.56800000000001</v>
      </c>
      <c r="BH92" s="197">
        <f t="shared" si="231"/>
        <v>-197.56800000000001</v>
      </c>
      <c r="BI92" s="197">
        <f t="shared" si="232"/>
        <v>274.072</v>
      </c>
      <c r="BJ92" s="196">
        <f t="shared" si="261"/>
        <v>0</v>
      </c>
      <c r="BK92" s="197">
        <f t="shared" si="262"/>
        <v>403.15984865725983</v>
      </c>
      <c r="BL92" s="197">
        <f t="shared" si="263"/>
        <v>168.88195441336086</v>
      </c>
      <c r="BM92" s="197">
        <f t="shared" si="264"/>
        <v>-168.88195441336086</v>
      </c>
      <c r="BN92" s="199">
        <f t="shared" si="265"/>
        <v>234.27789424389897</v>
      </c>
      <c r="BO92" s="196">
        <f t="shared" si="297"/>
        <v>2994.8064832726441</v>
      </c>
      <c r="BP92" s="197">
        <f t="shared" si="266"/>
        <v>2183.6437835685024</v>
      </c>
      <c r="BQ92" s="197">
        <f t="shared" si="267"/>
        <v>11004.521007667796</v>
      </c>
      <c r="BR92" s="197">
        <f t="shared" si="268"/>
        <v>-8009.7145243951536</v>
      </c>
      <c r="BS92" s="199">
        <f t="shared" si="269"/>
        <v>-5826.0707408266508</v>
      </c>
      <c r="BV92" s="417">
        <v>5</v>
      </c>
      <c r="BW92" s="756">
        <f>'Energy NPV'!$D17</f>
        <v>0</v>
      </c>
      <c r="BX92" s="197">
        <f>'Energy Inputs'!$D$58*$BX$84</f>
        <v>539</v>
      </c>
      <c r="BY92" s="197">
        <f t="shared" si="298"/>
        <v>0</v>
      </c>
      <c r="BZ92" s="197">
        <f>'Margins summary'!$Q$14</f>
        <v>471.64</v>
      </c>
      <c r="CA92" s="197">
        <f t="shared" si="270"/>
        <v>471.64</v>
      </c>
      <c r="CB92" s="197"/>
      <c r="CC92" s="913">
        <f>'Energy NPV'!U17</f>
        <v>197.56800000000001</v>
      </c>
      <c r="CD92" s="197"/>
      <c r="CE92" s="197">
        <f t="shared" si="271"/>
        <v>197.56800000000001</v>
      </c>
      <c r="CF92" s="197">
        <f t="shared" si="233"/>
        <v>-197.56800000000001</v>
      </c>
      <c r="CG92" s="197">
        <f t="shared" si="234"/>
        <v>274.072</v>
      </c>
      <c r="CH92" s="196">
        <f t="shared" si="272"/>
        <v>0</v>
      </c>
      <c r="CI92" s="197">
        <f t="shared" si="273"/>
        <v>403.15984865725983</v>
      </c>
      <c r="CJ92" s="197">
        <f t="shared" si="274"/>
        <v>168.88195441336086</v>
      </c>
      <c r="CK92" s="197">
        <f t="shared" si="275"/>
        <v>-168.88195441336086</v>
      </c>
      <c r="CL92" s="199">
        <f t="shared" si="276"/>
        <v>234.27789424389897</v>
      </c>
      <c r="CM92" s="196">
        <f t="shared" si="299"/>
        <v>11979.225933090576</v>
      </c>
      <c r="CN92" s="197">
        <f t="shared" si="277"/>
        <v>2183.6437835685024</v>
      </c>
      <c r="CO92" s="197">
        <f t="shared" si="278"/>
        <v>11004.521007667796</v>
      </c>
      <c r="CP92" s="197">
        <f t="shared" si="279"/>
        <v>974.70492542277987</v>
      </c>
      <c r="CQ92" s="199">
        <f t="shared" si="280"/>
        <v>3158.3487089912815</v>
      </c>
      <c r="CT92" s="204">
        <f t="shared" si="300"/>
        <v>5</v>
      </c>
      <c r="CU92" s="756">
        <f>'Energy NPV'!$D17</f>
        <v>0</v>
      </c>
      <c r="CV92" s="197">
        <f>'Energy Inputs'!$D$58*$CV$84</f>
        <v>0</v>
      </c>
      <c r="CW92" s="197">
        <f t="shared" si="301"/>
        <v>0</v>
      </c>
      <c r="CX92" s="197">
        <f>'Margins summary'!$Q$14</f>
        <v>471.64</v>
      </c>
      <c r="CY92" s="197">
        <f t="shared" si="281"/>
        <v>471.64</v>
      </c>
      <c r="CZ92" s="197"/>
      <c r="DA92" s="913">
        <f>'Energy NPV'!U17</f>
        <v>197.56800000000001</v>
      </c>
      <c r="DB92" s="197"/>
      <c r="DC92" s="197">
        <f t="shared" si="282"/>
        <v>197.56800000000001</v>
      </c>
      <c r="DD92" s="197">
        <f t="shared" si="235"/>
        <v>-197.56800000000001</v>
      </c>
      <c r="DE92" s="197">
        <f t="shared" si="236"/>
        <v>274.072</v>
      </c>
      <c r="DF92" s="196">
        <f t="shared" si="283"/>
        <v>0</v>
      </c>
      <c r="DG92" s="197">
        <f t="shared" si="284"/>
        <v>403.15984865725983</v>
      </c>
      <c r="DH92" s="197">
        <f t="shared" si="285"/>
        <v>168.88195441336086</v>
      </c>
      <c r="DI92" s="197">
        <f t="shared" si="286"/>
        <v>-168.88195441336086</v>
      </c>
      <c r="DJ92" s="199">
        <f t="shared" si="287"/>
        <v>234.27789424389897</v>
      </c>
      <c r="DK92" s="196">
        <f t="shared" si="302"/>
        <v>0</v>
      </c>
      <c r="DL92" s="197">
        <f t="shared" si="288"/>
        <v>2183.6437835685024</v>
      </c>
      <c r="DM92" s="197">
        <f t="shared" si="289"/>
        <v>11004.521007667796</v>
      </c>
      <c r="DN92" s="197">
        <f t="shared" si="290"/>
        <v>-11004.521007667796</v>
      </c>
      <c r="DO92" s="199">
        <f t="shared" si="291"/>
        <v>-8820.8772240992967</v>
      </c>
    </row>
    <row r="93" spans="2:119" x14ac:dyDescent="0.3">
      <c r="B93" s="895">
        <v>6</v>
      </c>
      <c r="C93" s="757">
        <f>'Energy NPV'!$D18</f>
        <v>0</v>
      </c>
      <c r="D93" s="197">
        <f>'Energy Inputs'!$D$58*$E$84</f>
        <v>269.5</v>
      </c>
      <c r="E93" s="197">
        <f t="shared" si="292"/>
        <v>0</v>
      </c>
      <c r="F93" s="197">
        <f>'Margins summary'!$Q$14</f>
        <v>471.64</v>
      </c>
      <c r="G93" s="197">
        <f t="shared" si="237"/>
        <v>471.64</v>
      </c>
      <c r="H93" s="197"/>
      <c r="I93" s="913">
        <f>'Energy NPV'!U18</f>
        <v>197.56800000000001</v>
      </c>
      <c r="J93" s="197"/>
      <c r="K93" s="197">
        <f t="shared" si="238"/>
        <v>197.56800000000001</v>
      </c>
      <c r="L93" s="197">
        <f t="shared" si="227"/>
        <v>-197.56800000000001</v>
      </c>
      <c r="M93" s="197">
        <f t="shared" si="228"/>
        <v>274.072</v>
      </c>
      <c r="N93" s="196">
        <f t="shared" si="239"/>
        <v>0</v>
      </c>
      <c r="O93" s="197">
        <f t="shared" si="240"/>
        <v>387.65370063198054</v>
      </c>
      <c r="P93" s="197">
        <f t="shared" si="241"/>
        <v>162.38649462823159</v>
      </c>
      <c r="Q93" s="197">
        <f t="shared" si="242"/>
        <v>-162.38649462823159</v>
      </c>
      <c r="R93" s="199">
        <f t="shared" si="243"/>
        <v>225.26720600374901</v>
      </c>
      <c r="S93" s="196">
        <f t="shared" si="293"/>
        <v>5989.6129665452881</v>
      </c>
      <c r="T93" s="197">
        <f t="shared" si="244"/>
        <v>2571.2974842004828</v>
      </c>
      <c r="U93" s="197">
        <f t="shared" si="245"/>
        <v>11166.907502296028</v>
      </c>
      <c r="V93" s="197">
        <f t="shared" si="246"/>
        <v>-5177.2945357507415</v>
      </c>
      <c r="W93" s="199">
        <f t="shared" si="247"/>
        <v>-2605.9970515502569</v>
      </c>
      <c r="Z93" s="895">
        <v>6</v>
      </c>
      <c r="AA93" s="756">
        <f>'Energy NPV'!$D18</f>
        <v>0</v>
      </c>
      <c r="AB93" s="197">
        <f>'Energy Inputs'!$D$58*$AB$84</f>
        <v>404.25</v>
      </c>
      <c r="AC93" s="197">
        <f t="shared" si="294"/>
        <v>0</v>
      </c>
      <c r="AD93" s="197">
        <f>'Margins summary'!$Q$14</f>
        <v>471.64</v>
      </c>
      <c r="AE93" s="197">
        <f t="shared" si="248"/>
        <v>471.64</v>
      </c>
      <c r="AF93" s="197"/>
      <c r="AG93" s="913">
        <f>'Energy NPV'!U18</f>
        <v>197.56800000000001</v>
      </c>
      <c r="AH93" s="197"/>
      <c r="AI93" s="197">
        <f t="shared" si="249"/>
        <v>197.56800000000001</v>
      </c>
      <c r="AJ93" s="197">
        <f t="shared" si="229"/>
        <v>-197.56800000000001</v>
      </c>
      <c r="AK93" s="197">
        <f t="shared" si="230"/>
        <v>274.072</v>
      </c>
      <c r="AL93" s="196">
        <f t="shared" si="250"/>
        <v>0</v>
      </c>
      <c r="AM93" s="197">
        <f t="shared" si="251"/>
        <v>387.65370063198054</v>
      </c>
      <c r="AN93" s="197">
        <f t="shared" si="252"/>
        <v>162.38649462823159</v>
      </c>
      <c r="AO93" s="197">
        <f t="shared" si="253"/>
        <v>-162.38649462823159</v>
      </c>
      <c r="AP93" s="199">
        <f t="shared" si="254"/>
        <v>225.26720600374901</v>
      </c>
      <c r="AQ93" s="196">
        <f t="shared" si="295"/>
        <v>8984.4194498179331</v>
      </c>
      <c r="AR93" s="197">
        <f t="shared" si="255"/>
        <v>2571.2974842004828</v>
      </c>
      <c r="AS93" s="197">
        <f t="shared" si="256"/>
        <v>11166.907502296028</v>
      </c>
      <c r="AT93" s="197">
        <f t="shared" si="257"/>
        <v>-2182.4880524780965</v>
      </c>
      <c r="AU93" s="199">
        <f t="shared" si="258"/>
        <v>388.8094317223854</v>
      </c>
      <c r="AX93" s="895">
        <v>6</v>
      </c>
      <c r="AY93" s="756">
        <f>'Energy NPV'!$D18</f>
        <v>0</v>
      </c>
      <c r="AZ93" s="197">
        <f>'Energy Inputs'!$D$58*$AZ$84</f>
        <v>134.75</v>
      </c>
      <c r="BA93" s="197">
        <f t="shared" si="296"/>
        <v>0</v>
      </c>
      <c r="BB93" s="197">
        <f>'Margins summary'!$Q$14</f>
        <v>471.64</v>
      </c>
      <c r="BC93" s="197">
        <f t="shared" si="259"/>
        <v>471.64</v>
      </c>
      <c r="BD93" s="197"/>
      <c r="BE93" s="913">
        <f>'Energy NPV'!U18</f>
        <v>197.56800000000001</v>
      </c>
      <c r="BF93" s="197"/>
      <c r="BG93" s="197">
        <f t="shared" si="260"/>
        <v>197.56800000000001</v>
      </c>
      <c r="BH93" s="197">
        <f t="shared" si="231"/>
        <v>-197.56800000000001</v>
      </c>
      <c r="BI93" s="197">
        <f t="shared" si="232"/>
        <v>274.072</v>
      </c>
      <c r="BJ93" s="196">
        <f t="shared" si="261"/>
        <v>0</v>
      </c>
      <c r="BK93" s="197">
        <f t="shared" si="262"/>
        <v>387.65370063198054</v>
      </c>
      <c r="BL93" s="197">
        <f t="shared" si="263"/>
        <v>162.38649462823159</v>
      </c>
      <c r="BM93" s="197">
        <f t="shared" si="264"/>
        <v>-162.38649462823159</v>
      </c>
      <c r="BN93" s="199">
        <f t="shared" si="265"/>
        <v>225.26720600374901</v>
      </c>
      <c r="BO93" s="196">
        <f t="shared" si="297"/>
        <v>2994.8064832726441</v>
      </c>
      <c r="BP93" s="197">
        <f t="shared" si="266"/>
        <v>2571.2974842004828</v>
      </c>
      <c r="BQ93" s="197">
        <f t="shared" si="267"/>
        <v>11166.907502296028</v>
      </c>
      <c r="BR93" s="197">
        <f t="shared" si="268"/>
        <v>-8172.1010190233856</v>
      </c>
      <c r="BS93" s="199">
        <f t="shared" si="269"/>
        <v>-5600.8035348229014</v>
      </c>
      <c r="BV93" s="417">
        <v>6</v>
      </c>
      <c r="BW93" s="756">
        <f>'Energy NPV'!$D18</f>
        <v>0</v>
      </c>
      <c r="BX93" s="197">
        <f>'Energy Inputs'!$D$58*$BX$84</f>
        <v>539</v>
      </c>
      <c r="BY93" s="197">
        <f t="shared" si="298"/>
        <v>0</v>
      </c>
      <c r="BZ93" s="197">
        <f>'Margins summary'!$Q$14</f>
        <v>471.64</v>
      </c>
      <c r="CA93" s="197">
        <f t="shared" si="270"/>
        <v>471.64</v>
      </c>
      <c r="CB93" s="197"/>
      <c r="CC93" s="913">
        <f>'Energy NPV'!U18</f>
        <v>197.56800000000001</v>
      </c>
      <c r="CD93" s="197"/>
      <c r="CE93" s="197">
        <f t="shared" si="271"/>
        <v>197.56800000000001</v>
      </c>
      <c r="CF93" s="197">
        <f t="shared" si="233"/>
        <v>-197.56800000000001</v>
      </c>
      <c r="CG93" s="197">
        <f t="shared" si="234"/>
        <v>274.072</v>
      </c>
      <c r="CH93" s="196">
        <f t="shared" si="272"/>
        <v>0</v>
      </c>
      <c r="CI93" s="197">
        <f t="shared" si="273"/>
        <v>387.65370063198054</v>
      </c>
      <c r="CJ93" s="197">
        <f t="shared" si="274"/>
        <v>162.38649462823159</v>
      </c>
      <c r="CK93" s="197">
        <f t="shared" si="275"/>
        <v>-162.38649462823159</v>
      </c>
      <c r="CL93" s="199">
        <f t="shared" si="276"/>
        <v>225.26720600374901</v>
      </c>
      <c r="CM93" s="196">
        <f t="shared" si="299"/>
        <v>11979.225933090576</v>
      </c>
      <c r="CN93" s="197">
        <f t="shared" si="277"/>
        <v>2571.2974842004828</v>
      </c>
      <c r="CO93" s="197">
        <f t="shared" si="278"/>
        <v>11166.907502296028</v>
      </c>
      <c r="CP93" s="197">
        <f t="shared" si="279"/>
        <v>812.31843079454825</v>
      </c>
      <c r="CQ93" s="199">
        <f t="shared" si="280"/>
        <v>3383.6159149950304</v>
      </c>
      <c r="CT93" s="204">
        <f t="shared" si="300"/>
        <v>6</v>
      </c>
      <c r="CU93" s="756">
        <f>'Energy NPV'!$D18</f>
        <v>0</v>
      </c>
      <c r="CV93" s="197">
        <f>'Energy Inputs'!$D$58*$CV$84</f>
        <v>0</v>
      </c>
      <c r="CW93" s="197">
        <f t="shared" si="301"/>
        <v>0</v>
      </c>
      <c r="CX93" s="197">
        <f>'Margins summary'!$Q$14</f>
        <v>471.64</v>
      </c>
      <c r="CY93" s="197">
        <f t="shared" si="281"/>
        <v>471.64</v>
      </c>
      <c r="CZ93" s="197"/>
      <c r="DA93" s="913">
        <f>'Energy NPV'!U18</f>
        <v>197.56800000000001</v>
      </c>
      <c r="DB93" s="197"/>
      <c r="DC93" s="197">
        <f t="shared" si="282"/>
        <v>197.56800000000001</v>
      </c>
      <c r="DD93" s="197">
        <f t="shared" si="235"/>
        <v>-197.56800000000001</v>
      </c>
      <c r="DE93" s="197">
        <f t="shared" si="236"/>
        <v>274.072</v>
      </c>
      <c r="DF93" s="196">
        <f t="shared" si="283"/>
        <v>0</v>
      </c>
      <c r="DG93" s="197">
        <f t="shared" si="284"/>
        <v>387.65370063198054</v>
      </c>
      <c r="DH93" s="197">
        <f t="shared" si="285"/>
        <v>162.38649462823159</v>
      </c>
      <c r="DI93" s="197">
        <f t="shared" si="286"/>
        <v>-162.38649462823159</v>
      </c>
      <c r="DJ93" s="199">
        <f t="shared" si="287"/>
        <v>225.26720600374901</v>
      </c>
      <c r="DK93" s="196">
        <f t="shared" si="302"/>
        <v>0</v>
      </c>
      <c r="DL93" s="197">
        <f t="shared" si="288"/>
        <v>2571.2974842004828</v>
      </c>
      <c r="DM93" s="197">
        <f t="shared" si="289"/>
        <v>11166.907502296028</v>
      </c>
      <c r="DN93" s="197">
        <f t="shared" si="290"/>
        <v>-11166.907502296028</v>
      </c>
      <c r="DO93" s="199">
        <f t="shared" si="291"/>
        <v>-8595.6100180955473</v>
      </c>
    </row>
    <row r="94" spans="2:119" x14ac:dyDescent="0.3">
      <c r="B94" s="895">
        <v>7</v>
      </c>
      <c r="C94" s="757">
        <f>'Energy NPV'!$D19</f>
        <v>25</v>
      </c>
      <c r="D94" s="197">
        <f>'Energy Inputs'!$D$58*$E$84</f>
        <v>269.5</v>
      </c>
      <c r="E94" s="197">
        <f t="shared" si="292"/>
        <v>6737.5</v>
      </c>
      <c r="F94" s="197">
        <f>'Margins summary'!$Q$14</f>
        <v>471.64</v>
      </c>
      <c r="G94" s="197">
        <f t="shared" si="237"/>
        <v>7209.14</v>
      </c>
      <c r="H94" s="197"/>
      <c r="I94" s="913">
        <f>'Energy NPV'!U19</f>
        <v>2318.3679999999999</v>
      </c>
      <c r="J94" s="197"/>
      <c r="K94" s="197">
        <f t="shared" si="238"/>
        <v>2318.3679999999999</v>
      </c>
      <c r="L94" s="197">
        <f t="shared" si="227"/>
        <v>4419.1319999999996</v>
      </c>
      <c r="M94" s="197">
        <f t="shared" si="228"/>
        <v>4890.7720000000008</v>
      </c>
      <c r="N94" s="196">
        <f t="shared" si="239"/>
        <v>5324.7441171068567</v>
      </c>
      <c r="O94" s="197">
        <f t="shared" si="240"/>
        <v>372.74394291536589</v>
      </c>
      <c r="P94" s="197">
        <f t="shared" si="241"/>
        <v>1832.2399063879463</v>
      </c>
      <c r="Q94" s="197">
        <f t="shared" si="242"/>
        <v>3492.5042107189101</v>
      </c>
      <c r="R94" s="199">
        <f t="shared" si="243"/>
        <v>3865.2481536342771</v>
      </c>
      <c r="S94" s="196">
        <f t="shared" si="293"/>
        <v>11314.357083652145</v>
      </c>
      <c r="T94" s="197">
        <f t="shared" si="244"/>
        <v>2944.0414271158488</v>
      </c>
      <c r="U94" s="197">
        <f t="shared" si="245"/>
        <v>12999.147408683973</v>
      </c>
      <c r="V94" s="197">
        <f t="shared" si="246"/>
        <v>-1684.7903250318313</v>
      </c>
      <c r="W94" s="199">
        <f t="shared" si="247"/>
        <v>1259.2511020840202</v>
      </c>
      <c r="Z94" s="895">
        <v>7</v>
      </c>
      <c r="AA94" s="756">
        <f>'Energy NPV'!$D19</f>
        <v>25</v>
      </c>
      <c r="AB94" s="197">
        <f>'Energy Inputs'!$D$58*$AB$84</f>
        <v>404.25</v>
      </c>
      <c r="AC94" s="197">
        <f t="shared" si="294"/>
        <v>10106.25</v>
      </c>
      <c r="AD94" s="197">
        <f>'Margins summary'!$Q$14</f>
        <v>471.64</v>
      </c>
      <c r="AE94" s="197">
        <f t="shared" si="248"/>
        <v>10577.89</v>
      </c>
      <c r="AF94" s="197"/>
      <c r="AG94" s="913">
        <f>'Energy NPV'!U19</f>
        <v>2318.3679999999999</v>
      </c>
      <c r="AH94" s="197"/>
      <c r="AI94" s="197">
        <f t="shared" si="249"/>
        <v>2318.3679999999999</v>
      </c>
      <c r="AJ94" s="197">
        <f t="shared" si="229"/>
        <v>7787.8819999999996</v>
      </c>
      <c r="AK94" s="197">
        <f t="shared" si="230"/>
        <v>8259.521999999999</v>
      </c>
      <c r="AL94" s="196">
        <f t="shared" si="250"/>
        <v>7987.1161756602851</v>
      </c>
      <c r="AM94" s="197">
        <f t="shared" si="251"/>
        <v>372.74394291536589</v>
      </c>
      <c r="AN94" s="197">
        <f t="shared" si="252"/>
        <v>1832.2399063879463</v>
      </c>
      <c r="AO94" s="197">
        <f t="shared" si="253"/>
        <v>6154.8762692723385</v>
      </c>
      <c r="AP94" s="199">
        <f t="shared" si="254"/>
        <v>6527.6202121877041</v>
      </c>
      <c r="AQ94" s="196">
        <f t="shared" si="295"/>
        <v>16971.535625478216</v>
      </c>
      <c r="AR94" s="197">
        <f t="shared" si="255"/>
        <v>2944.0414271158488</v>
      </c>
      <c r="AS94" s="197">
        <f t="shared" si="256"/>
        <v>12999.147408683973</v>
      </c>
      <c r="AT94" s="197">
        <f t="shared" si="257"/>
        <v>3972.388216794242</v>
      </c>
      <c r="AU94" s="199">
        <f t="shared" si="258"/>
        <v>6916.429643910089</v>
      </c>
      <c r="AX94" s="895">
        <v>7</v>
      </c>
      <c r="AY94" s="756">
        <f>'Energy NPV'!$D19</f>
        <v>25</v>
      </c>
      <c r="AZ94" s="197">
        <f>'Energy Inputs'!$D$58*$AZ$84</f>
        <v>134.75</v>
      </c>
      <c r="BA94" s="197">
        <f t="shared" si="296"/>
        <v>3368.75</v>
      </c>
      <c r="BB94" s="197">
        <f>'Margins summary'!$Q$14</f>
        <v>471.64</v>
      </c>
      <c r="BC94" s="197">
        <f t="shared" si="259"/>
        <v>3840.39</v>
      </c>
      <c r="BD94" s="197"/>
      <c r="BE94" s="913">
        <f>'Energy NPV'!U19</f>
        <v>2318.3679999999999</v>
      </c>
      <c r="BF94" s="197"/>
      <c r="BG94" s="197">
        <f t="shared" si="260"/>
        <v>2318.3679999999999</v>
      </c>
      <c r="BH94" s="197">
        <f t="shared" si="231"/>
        <v>1050.3820000000001</v>
      </c>
      <c r="BI94" s="197">
        <f t="shared" si="232"/>
        <v>1522.0219999999999</v>
      </c>
      <c r="BJ94" s="196">
        <f t="shared" si="261"/>
        <v>2662.3720585534284</v>
      </c>
      <c r="BK94" s="197">
        <f t="shared" si="262"/>
        <v>372.74394291536589</v>
      </c>
      <c r="BL94" s="197">
        <f t="shared" si="263"/>
        <v>1832.2399063879463</v>
      </c>
      <c r="BM94" s="197">
        <f t="shared" si="264"/>
        <v>830.13215216548201</v>
      </c>
      <c r="BN94" s="199">
        <f t="shared" si="265"/>
        <v>1202.8760950808478</v>
      </c>
      <c r="BO94" s="196">
        <f t="shared" si="297"/>
        <v>5657.1785418260724</v>
      </c>
      <c r="BP94" s="197">
        <f t="shared" si="266"/>
        <v>2944.0414271158488</v>
      </c>
      <c r="BQ94" s="197">
        <f t="shared" si="267"/>
        <v>12999.147408683973</v>
      </c>
      <c r="BR94" s="197">
        <f t="shared" si="268"/>
        <v>-7341.9688668579038</v>
      </c>
      <c r="BS94" s="199">
        <f t="shared" si="269"/>
        <v>-4397.927439742054</v>
      </c>
      <c r="BV94" s="417">
        <v>7</v>
      </c>
      <c r="BW94" s="756">
        <f>'Energy NPV'!$D19</f>
        <v>25</v>
      </c>
      <c r="BX94" s="197">
        <f>'Energy Inputs'!$D$58*$BX$84</f>
        <v>539</v>
      </c>
      <c r="BY94" s="197">
        <f t="shared" si="298"/>
        <v>13475</v>
      </c>
      <c r="BZ94" s="197">
        <f>'Margins summary'!$Q$14</f>
        <v>471.64</v>
      </c>
      <c r="CA94" s="197">
        <f t="shared" si="270"/>
        <v>13946.64</v>
      </c>
      <c r="CB94" s="197"/>
      <c r="CC94" s="913">
        <f>'Energy NPV'!U19</f>
        <v>2318.3679999999999</v>
      </c>
      <c r="CD94" s="197"/>
      <c r="CE94" s="197">
        <f t="shared" si="271"/>
        <v>2318.3679999999999</v>
      </c>
      <c r="CF94" s="197">
        <f t="shared" si="233"/>
        <v>11156.632</v>
      </c>
      <c r="CG94" s="197">
        <f t="shared" si="234"/>
        <v>11628.271999999999</v>
      </c>
      <c r="CH94" s="196">
        <f t="shared" si="272"/>
        <v>10649.488234213713</v>
      </c>
      <c r="CI94" s="197">
        <f t="shared" si="273"/>
        <v>372.74394291536589</v>
      </c>
      <c r="CJ94" s="197">
        <f t="shared" si="274"/>
        <v>1832.2399063879463</v>
      </c>
      <c r="CK94" s="197">
        <f t="shared" si="275"/>
        <v>8817.248327825766</v>
      </c>
      <c r="CL94" s="199">
        <f t="shared" si="276"/>
        <v>9189.9922707411315</v>
      </c>
      <c r="CM94" s="196">
        <f t="shared" si="299"/>
        <v>22628.71416730429</v>
      </c>
      <c r="CN94" s="197">
        <f t="shared" si="277"/>
        <v>2944.0414271158488</v>
      </c>
      <c r="CO94" s="197">
        <f t="shared" si="278"/>
        <v>12999.147408683973</v>
      </c>
      <c r="CP94" s="197">
        <f t="shared" si="279"/>
        <v>9629.5667586203144</v>
      </c>
      <c r="CQ94" s="199">
        <f t="shared" si="280"/>
        <v>12573.608185736162</v>
      </c>
      <c r="CT94" s="204">
        <f t="shared" si="300"/>
        <v>7</v>
      </c>
      <c r="CU94" s="756">
        <f>'Energy NPV'!$D19</f>
        <v>25</v>
      </c>
      <c r="CV94" s="197">
        <f>'Energy Inputs'!$D$58*$CV$84</f>
        <v>0</v>
      </c>
      <c r="CW94" s="197">
        <f t="shared" si="301"/>
        <v>0</v>
      </c>
      <c r="CX94" s="197">
        <f>'Margins summary'!$Q$14</f>
        <v>471.64</v>
      </c>
      <c r="CY94" s="197">
        <f t="shared" si="281"/>
        <v>471.64</v>
      </c>
      <c r="CZ94" s="197"/>
      <c r="DA94" s="913">
        <f>'Energy NPV'!U19</f>
        <v>2318.3679999999999</v>
      </c>
      <c r="DB94" s="197"/>
      <c r="DC94" s="197">
        <f t="shared" si="282"/>
        <v>2318.3679999999999</v>
      </c>
      <c r="DD94" s="197">
        <f t="shared" si="235"/>
        <v>-2318.3679999999999</v>
      </c>
      <c r="DE94" s="197">
        <f t="shared" si="236"/>
        <v>-1846.7280000000001</v>
      </c>
      <c r="DF94" s="196">
        <f t="shared" si="283"/>
        <v>0</v>
      </c>
      <c r="DG94" s="197">
        <f t="shared" si="284"/>
        <v>372.74394291536589</v>
      </c>
      <c r="DH94" s="197">
        <f t="shared" si="285"/>
        <v>1832.2399063879463</v>
      </c>
      <c r="DI94" s="197">
        <f t="shared" si="286"/>
        <v>-1832.2399063879463</v>
      </c>
      <c r="DJ94" s="199">
        <f t="shared" si="287"/>
        <v>-1459.4959634725806</v>
      </c>
      <c r="DK94" s="196">
        <f t="shared" si="302"/>
        <v>0</v>
      </c>
      <c r="DL94" s="197">
        <f t="shared" si="288"/>
        <v>2944.0414271158488</v>
      </c>
      <c r="DM94" s="197">
        <f t="shared" si="289"/>
        <v>12999.147408683973</v>
      </c>
      <c r="DN94" s="197">
        <f t="shared" si="290"/>
        <v>-12999.147408683973</v>
      </c>
      <c r="DO94" s="199">
        <f t="shared" si="291"/>
        <v>-10055.105981568127</v>
      </c>
    </row>
    <row r="95" spans="2:119" x14ac:dyDescent="0.3">
      <c r="B95" s="895">
        <v>8</v>
      </c>
      <c r="C95" s="757">
        <f>'Energy NPV'!$D20</f>
        <v>0</v>
      </c>
      <c r="D95" s="197">
        <f>'Energy Inputs'!$D$58*$E$84</f>
        <v>269.5</v>
      </c>
      <c r="E95" s="197">
        <f t="shared" si="292"/>
        <v>0</v>
      </c>
      <c r="F95" s="197">
        <f>'Margins summary'!$Q$14</f>
        <v>471.64</v>
      </c>
      <c r="G95" s="197">
        <f t="shared" si="237"/>
        <v>471.64</v>
      </c>
      <c r="H95" s="197"/>
      <c r="I95" s="913">
        <f>'Energy NPV'!U20</f>
        <v>197.56800000000001</v>
      </c>
      <c r="J95" s="197"/>
      <c r="K95" s="197">
        <f t="shared" si="238"/>
        <v>197.56800000000001</v>
      </c>
      <c r="L95" s="197">
        <f t="shared" si="227"/>
        <v>-197.56800000000001</v>
      </c>
      <c r="M95" s="197">
        <f t="shared" si="228"/>
        <v>274.072</v>
      </c>
      <c r="N95" s="196">
        <f t="shared" si="239"/>
        <v>0</v>
      </c>
      <c r="O95" s="197">
        <f t="shared" si="240"/>
        <v>358.40763741862111</v>
      </c>
      <c r="P95" s="197">
        <f t="shared" si="241"/>
        <v>150.13544251870525</v>
      </c>
      <c r="Q95" s="197">
        <f t="shared" si="242"/>
        <v>-150.13544251870525</v>
      </c>
      <c r="R95" s="199">
        <f t="shared" si="243"/>
        <v>208.27219489991589</v>
      </c>
      <c r="S95" s="196">
        <f t="shared" si="293"/>
        <v>11314.357083652145</v>
      </c>
      <c r="T95" s="197">
        <f t="shared" si="244"/>
        <v>3302.4490645344699</v>
      </c>
      <c r="U95" s="197">
        <f t="shared" si="245"/>
        <v>13149.282851202679</v>
      </c>
      <c r="V95" s="197">
        <f t="shared" si="246"/>
        <v>-1834.9257675505366</v>
      </c>
      <c r="W95" s="199">
        <f t="shared" si="247"/>
        <v>1467.523296983936</v>
      </c>
      <c r="Z95" s="895">
        <v>8</v>
      </c>
      <c r="AA95" s="756">
        <f>'Energy NPV'!$D20</f>
        <v>0</v>
      </c>
      <c r="AB95" s="197">
        <f>'Energy Inputs'!$D$58*$AB$84</f>
        <v>404.25</v>
      </c>
      <c r="AC95" s="197">
        <f t="shared" si="294"/>
        <v>0</v>
      </c>
      <c r="AD95" s="197">
        <f>'Margins summary'!$Q$14</f>
        <v>471.64</v>
      </c>
      <c r="AE95" s="197">
        <f t="shared" si="248"/>
        <v>471.64</v>
      </c>
      <c r="AF95" s="197"/>
      <c r="AG95" s="913">
        <f>'Energy NPV'!U20</f>
        <v>197.56800000000001</v>
      </c>
      <c r="AH95" s="197"/>
      <c r="AI95" s="197">
        <f t="shared" si="249"/>
        <v>197.56800000000001</v>
      </c>
      <c r="AJ95" s="197">
        <f t="shared" si="229"/>
        <v>-197.56800000000001</v>
      </c>
      <c r="AK95" s="197">
        <f t="shared" si="230"/>
        <v>274.072</v>
      </c>
      <c r="AL95" s="196">
        <f t="shared" si="250"/>
        <v>0</v>
      </c>
      <c r="AM95" s="197">
        <f t="shared" si="251"/>
        <v>358.40763741862111</v>
      </c>
      <c r="AN95" s="197">
        <f t="shared" si="252"/>
        <v>150.13544251870525</v>
      </c>
      <c r="AO95" s="197">
        <f t="shared" si="253"/>
        <v>-150.13544251870525</v>
      </c>
      <c r="AP95" s="199">
        <f t="shared" si="254"/>
        <v>208.27219489991589</v>
      </c>
      <c r="AQ95" s="196">
        <f t="shared" si="295"/>
        <v>16971.535625478216</v>
      </c>
      <c r="AR95" s="197">
        <f t="shared" si="255"/>
        <v>3302.4490645344699</v>
      </c>
      <c r="AS95" s="197">
        <f t="shared" si="256"/>
        <v>13149.282851202679</v>
      </c>
      <c r="AT95" s="197">
        <f t="shared" si="257"/>
        <v>3822.2527742755369</v>
      </c>
      <c r="AU95" s="199">
        <f t="shared" si="258"/>
        <v>7124.701838810005</v>
      </c>
      <c r="AX95" s="895">
        <v>8</v>
      </c>
      <c r="AY95" s="756">
        <f>'Energy NPV'!$D20</f>
        <v>0</v>
      </c>
      <c r="AZ95" s="197">
        <f>'Energy Inputs'!$D$58*$AZ$84</f>
        <v>134.75</v>
      </c>
      <c r="BA95" s="197">
        <f t="shared" si="296"/>
        <v>0</v>
      </c>
      <c r="BB95" s="197">
        <f>'Margins summary'!$Q$14</f>
        <v>471.64</v>
      </c>
      <c r="BC95" s="197">
        <f t="shared" si="259"/>
        <v>471.64</v>
      </c>
      <c r="BD95" s="197"/>
      <c r="BE95" s="913">
        <f>'Energy NPV'!U20</f>
        <v>197.56800000000001</v>
      </c>
      <c r="BF95" s="197"/>
      <c r="BG95" s="197">
        <f t="shared" si="260"/>
        <v>197.56800000000001</v>
      </c>
      <c r="BH95" s="197">
        <f t="shared" si="231"/>
        <v>-197.56800000000001</v>
      </c>
      <c r="BI95" s="197">
        <f t="shared" si="232"/>
        <v>274.072</v>
      </c>
      <c r="BJ95" s="196">
        <f t="shared" si="261"/>
        <v>0</v>
      </c>
      <c r="BK95" s="197">
        <f t="shared" si="262"/>
        <v>358.40763741862111</v>
      </c>
      <c r="BL95" s="197">
        <f t="shared" si="263"/>
        <v>150.13544251870525</v>
      </c>
      <c r="BM95" s="197">
        <f t="shared" si="264"/>
        <v>-150.13544251870525</v>
      </c>
      <c r="BN95" s="199">
        <f t="shared" si="265"/>
        <v>208.27219489991589</v>
      </c>
      <c r="BO95" s="196">
        <f t="shared" si="297"/>
        <v>5657.1785418260724</v>
      </c>
      <c r="BP95" s="197">
        <f t="shared" si="266"/>
        <v>3302.4490645344699</v>
      </c>
      <c r="BQ95" s="197">
        <f t="shared" si="267"/>
        <v>13149.282851202679</v>
      </c>
      <c r="BR95" s="197">
        <f t="shared" si="268"/>
        <v>-7492.1043093766093</v>
      </c>
      <c r="BS95" s="199">
        <f t="shared" si="269"/>
        <v>-4189.655244842138</v>
      </c>
      <c r="BV95" s="417">
        <v>8</v>
      </c>
      <c r="BW95" s="756">
        <f>'Energy NPV'!$D20</f>
        <v>0</v>
      </c>
      <c r="BX95" s="197">
        <f>'Energy Inputs'!$D$58*$BX$84</f>
        <v>539</v>
      </c>
      <c r="BY95" s="197">
        <f t="shared" si="298"/>
        <v>0</v>
      </c>
      <c r="BZ95" s="197">
        <f>'Margins summary'!$Q$14</f>
        <v>471.64</v>
      </c>
      <c r="CA95" s="197">
        <f t="shared" si="270"/>
        <v>471.64</v>
      </c>
      <c r="CB95" s="197"/>
      <c r="CC95" s="913">
        <f>'Energy NPV'!U20</f>
        <v>197.56800000000001</v>
      </c>
      <c r="CD95" s="197"/>
      <c r="CE95" s="197">
        <f t="shared" si="271"/>
        <v>197.56800000000001</v>
      </c>
      <c r="CF95" s="197">
        <f t="shared" si="233"/>
        <v>-197.56800000000001</v>
      </c>
      <c r="CG95" s="197">
        <f t="shared" si="234"/>
        <v>274.072</v>
      </c>
      <c r="CH95" s="196">
        <f t="shared" si="272"/>
        <v>0</v>
      </c>
      <c r="CI95" s="197">
        <f t="shared" si="273"/>
        <v>358.40763741862111</v>
      </c>
      <c r="CJ95" s="197">
        <f t="shared" si="274"/>
        <v>150.13544251870525</v>
      </c>
      <c r="CK95" s="197">
        <f t="shared" si="275"/>
        <v>-150.13544251870525</v>
      </c>
      <c r="CL95" s="199">
        <f t="shared" si="276"/>
        <v>208.27219489991589</v>
      </c>
      <c r="CM95" s="196">
        <f t="shared" si="299"/>
        <v>22628.71416730429</v>
      </c>
      <c r="CN95" s="197">
        <f t="shared" si="277"/>
        <v>3302.4490645344699</v>
      </c>
      <c r="CO95" s="197">
        <f t="shared" si="278"/>
        <v>13149.282851202679</v>
      </c>
      <c r="CP95" s="197">
        <f t="shared" si="279"/>
        <v>9479.4313161016089</v>
      </c>
      <c r="CQ95" s="199">
        <f t="shared" si="280"/>
        <v>12781.880380636077</v>
      </c>
      <c r="CT95" s="204">
        <f t="shared" si="300"/>
        <v>8</v>
      </c>
      <c r="CU95" s="756">
        <f>'Energy NPV'!$D20</f>
        <v>0</v>
      </c>
      <c r="CV95" s="197">
        <f>'Energy Inputs'!$D$58*$CV$84</f>
        <v>0</v>
      </c>
      <c r="CW95" s="197">
        <f t="shared" si="301"/>
        <v>0</v>
      </c>
      <c r="CX95" s="197">
        <f>'Margins summary'!$Q$14</f>
        <v>471.64</v>
      </c>
      <c r="CY95" s="197">
        <f t="shared" si="281"/>
        <v>471.64</v>
      </c>
      <c r="CZ95" s="197"/>
      <c r="DA95" s="913">
        <f>'Energy NPV'!U20</f>
        <v>197.56800000000001</v>
      </c>
      <c r="DB95" s="197"/>
      <c r="DC95" s="197">
        <f t="shared" si="282"/>
        <v>197.56800000000001</v>
      </c>
      <c r="DD95" s="197">
        <f t="shared" si="235"/>
        <v>-197.56800000000001</v>
      </c>
      <c r="DE95" s="197">
        <f t="shared" si="236"/>
        <v>274.072</v>
      </c>
      <c r="DF95" s="196">
        <f t="shared" si="283"/>
        <v>0</v>
      </c>
      <c r="DG95" s="197">
        <f t="shared" si="284"/>
        <v>358.40763741862111</v>
      </c>
      <c r="DH95" s="197">
        <f t="shared" si="285"/>
        <v>150.13544251870525</v>
      </c>
      <c r="DI95" s="197">
        <f t="shared" si="286"/>
        <v>-150.13544251870525</v>
      </c>
      <c r="DJ95" s="199">
        <f t="shared" si="287"/>
        <v>208.27219489991589</v>
      </c>
      <c r="DK95" s="196">
        <f t="shared" si="302"/>
        <v>0</v>
      </c>
      <c r="DL95" s="197">
        <f t="shared" si="288"/>
        <v>3302.4490645344699</v>
      </c>
      <c r="DM95" s="197">
        <f t="shared" si="289"/>
        <v>13149.282851202679</v>
      </c>
      <c r="DN95" s="197">
        <f t="shared" si="290"/>
        <v>-13149.282851202679</v>
      </c>
      <c r="DO95" s="199">
        <f t="shared" si="291"/>
        <v>-9846.8337866682123</v>
      </c>
    </row>
    <row r="96" spans="2:119" x14ac:dyDescent="0.3">
      <c r="B96" s="895">
        <v>9</v>
      </c>
      <c r="C96" s="757">
        <f>'Energy NPV'!$D21</f>
        <v>0</v>
      </c>
      <c r="D96" s="197">
        <f>'Energy Inputs'!$D$58*$E$84</f>
        <v>269.5</v>
      </c>
      <c r="E96" s="197">
        <f t="shared" si="292"/>
        <v>0</v>
      </c>
      <c r="F96" s="197">
        <f>'Margins summary'!$Q$14</f>
        <v>471.64</v>
      </c>
      <c r="G96" s="197">
        <f t="shared" si="237"/>
        <v>471.64</v>
      </c>
      <c r="H96" s="197"/>
      <c r="I96" s="913">
        <f>'Energy NPV'!U21</f>
        <v>197.56800000000001</v>
      </c>
      <c r="J96" s="197"/>
      <c r="K96" s="197">
        <f t="shared" si="238"/>
        <v>197.56800000000001</v>
      </c>
      <c r="L96" s="197">
        <f t="shared" si="227"/>
        <v>-197.56800000000001</v>
      </c>
      <c r="M96" s="197">
        <f t="shared" si="228"/>
        <v>274.072</v>
      </c>
      <c r="N96" s="196">
        <f t="shared" si="239"/>
        <v>0</v>
      </c>
      <c r="O96" s="197">
        <f t="shared" si="240"/>
        <v>344.6227282871356</v>
      </c>
      <c r="P96" s="197">
        <f t="shared" si="241"/>
        <v>144.36100242183193</v>
      </c>
      <c r="Q96" s="197">
        <f t="shared" si="242"/>
        <v>-144.36100242183193</v>
      </c>
      <c r="R96" s="199">
        <f t="shared" si="243"/>
        <v>200.2617258653037</v>
      </c>
      <c r="S96" s="196">
        <f t="shared" si="293"/>
        <v>11314.357083652145</v>
      </c>
      <c r="T96" s="197">
        <f t="shared" si="244"/>
        <v>3647.0717928216054</v>
      </c>
      <c r="U96" s="197">
        <f t="shared" si="245"/>
        <v>13293.643853624511</v>
      </c>
      <c r="V96" s="197">
        <f t="shared" si="246"/>
        <v>-1979.2867699723686</v>
      </c>
      <c r="W96" s="199">
        <f t="shared" si="247"/>
        <v>1667.7850228492398</v>
      </c>
      <c r="Z96" s="895">
        <v>9</v>
      </c>
      <c r="AA96" s="756">
        <f>'Energy NPV'!$D21</f>
        <v>0</v>
      </c>
      <c r="AB96" s="197">
        <f>'Energy Inputs'!$D$58*$AB$84</f>
        <v>404.25</v>
      </c>
      <c r="AC96" s="197">
        <f t="shared" si="294"/>
        <v>0</v>
      </c>
      <c r="AD96" s="197">
        <f>'Margins summary'!$Q$14</f>
        <v>471.64</v>
      </c>
      <c r="AE96" s="197">
        <f t="shared" si="248"/>
        <v>471.64</v>
      </c>
      <c r="AF96" s="197"/>
      <c r="AG96" s="913">
        <f>'Energy NPV'!U21</f>
        <v>197.56800000000001</v>
      </c>
      <c r="AH96" s="197"/>
      <c r="AI96" s="197">
        <f t="shared" si="249"/>
        <v>197.56800000000001</v>
      </c>
      <c r="AJ96" s="197">
        <f t="shared" si="229"/>
        <v>-197.56800000000001</v>
      </c>
      <c r="AK96" s="197">
        <f t="shared" si="230"/>
        <v>274.072</v>
      </c>
      <c r="AL96" s="196">
        <f t="shared" si="250"/>
        <v>0</v>
      </c>
      <c r="AM96" s="197">
        <f t="shared" si="251"/>
        <v>344.6227282871356</v>
      </c>
      <c r="AN96" s="197">
        <f t="shared" si="252"/>
        <v>144.36100242183193</v>
      </c>
      <c r="AO96" s="197">
        <f t="shared" si="253"/>
        <v>-144.36100242183193</v>
      </c>
      <c r="AP96" s="199">
        <f t="shared" si="254"/>
        <v>200.2617258653037</v>
      </c>
      <c r="AQ96" s="196">
        <f t="shared" si="295"/>
        <v>16971.535625478216</v>
      </c>
      <c r="AR96" s="197">
        <f t="shared" si="255"/>
        <v>3647.0717928216054</v>
      </c>
      <c r="AS96" s="197">
        <f t="shared" si="256"/>
        <v>13293.643853624511</v>
      </c>
      <c r="AT96" s="197">
        <f t="shared" si="257"/>
        <v>3677.891771853705</v>
      </c>
      <c r="AU96" s="199">
        <f t="shared" si="258"/>
        <v>7324.9635646753086</v>
      </c>
      <c r="AX96" s="895">
        <v>9</v>
      </c>
      <c r="AY96" s="756">
        <f>'Energy NPV'!$D21</f>
        <v>0</v>
      </c>
      <c r="AZ96" s="197">
        <f>'Energy Inputs'!$D$58*$AZ$84</f>
        <v>134.75</v>
      </c>
      <c r="BA96" s="197">
        <f t="shared" si="296"/>
        <v>0</v>
      </c>
      <c r="BB96" s="197">
        <f>'Margins summary'!$Q$14</f>
        <v>471.64</v>
      </c>
      <c r="BC96" s="197">
        <f t="shared" si="259"/>
        <v>471.64</v>
      </c>
      <c r="BD96" s="197"/>
      <c r="BE96" s="913">
        <f>'Energy NPV'!U21</f>
        <v>197.56800000000001</v>
      </c>
      <c r="BF96" s="197"/>
      <c r="BG96" s="197">
        <f t="shared" si="260"/>
        <v>197.56800000000001</v>
      </c>
      <c r="BH96" s="197">
        <f t="shared" si="231"/>
        <v>-197.56800000000001</v>
      </c>
      <c r="BI96" s="197">
        <f t="shared" si="232"/>
        <v>274.072</v>
      </c>
      <c r="BJ96" s="196">
        <f t="shared" si="261"/>
        <v>0</v>
      </c>
      <c r="BK96" s="197">
        <f t="shared" si="262"/>
        <v>344.6227282871356</v>
      </c>
      <c r="BL96" s="197">
        <f t="shared" si="263"/>
        <v>144.36100242183193</v>
      </c>
      <c r="BM96" s="197">
        <f t="shared" si="264"/>
        <v>-144.36100242183193</v>
      </c>
      <c r="BN96" s="199">
        <f t="shared" si="265"/>
        <v>200.2617258653037</v>
      </c>
      <c r="BO96" s="196">
        <f t="shared" si="297"/>
        <v>5657.1785418260724</v>
      </c>
      <c r="BP96" s="197">
        <f t="shared" si="266"/>
        <v>3647.0717928216054</v>
      </c>
      <c r="BQ96" s="197">
        <f t="shared" si="267"/>
        <v>13293.643853624511</v>
      </c>
      <c r="BR96" s="197">
        <f t="shared" si="268"/>
        <v>-7636.4653117984417</v>
      </c>
      <c r="BS96" s="199">
        <f t="shared" si="269"/>
        <v>-3989.3935189768345</v>
      </c>
      <c r="BV96" s="417">
        <v>9</v>
      </c>
      <c r="BW96" s="756">
        <f>'Energy NPV'!$D21</f>
        <v>0</v>
      </c>
      <c r="BX96" s="197">
        <f>'Energy Inputs'!$D$58*$BX$84</f>
        <v>539</v>
      </c>
      <c r="BY96" s="197">
        <f t="shared" si="298"/>
        <v>0</v>
      </c>
      <c r="BZ96" s="197">
        <f>'Margins summary'!$Q$14</f>
        <v>471.64</v>
      </c>
      <c r="CA96" s="197">
        <f t="shared" si="270"/>
        <v>471.64</v>
      </c>
      <c r="CB96" s="197"/>
      <c r="CC96" s="913">
        <f>'Energy NPV'!U21</f>
        <v>197.56800000000001</v>
      </c>
      <c r="CD96" s="197"/>
      <c r="CE96" s="197">
        <f t="shared" si="271"/>
        <v>197.56800000000001</v>
      </c>
      <c r="CF96" s="197">
        <f t="shared" si="233"/>
        <v>-197.56800000000001</v>
      </c>
      <c r="CG96" s="197">
        <f t="shared" si="234"/>
        <v>274.072</v>
      </c>
      <c r="CH96" s="196">
        <f t="shared" si="272"/>
        <v>0</v>
      </c>
      <c r="CI96" s="197">
        <f t="shared" si="273"/>
        <v>344.6227282871356</v>
      </c>
      <c r="CJ96" s="197">
        <f t="shared" si="274"/>
        <v>144.36100242183193</v>
      </c>
      <c r="CK96" s="197">
        <f t="shared" si="275"/>
        <v>-144.36100242183193</v>
      </c>
      <c r="CL96" s="199">
        <f t="shared" si="276"/>
        <v>200.2617258653037</v>
      </c>
      <c r="CM96" s="196">
        <f t="shared" si="299"/>
        <v>22628.71416730429</v>
      </c>
      <c r="CN96" s="197">
        <f t="shared" si="277"/>
        <v>3647.0717928216054</v>
      </c>
      <c r="CO96" s="197">
        <f t="shared" si="278"/>
        <v>13293.643853624511</v>
      </c>
      <c r="CP96" s="197">
        <f t="shared" si="279"/>
        <v>9335.0703136797765</v>
      </c>
      <c r="CQ96" s="199">
        <f t="shared" si="280"/>
        <v>12982.142106501382</v>
      </c>
      <c r="CT96" s="204">
        <f t="shared" si="300"/>
        <v>9</v>
      </c>
      <c r="CU96" s="756">
        <f>'Energy NPV'!$D21</f>
        <v>0</v>
      </c>
      <c r="CV96" s="197">
        <f>'Energy Inputs'!$D$58*$CV$84</f>
        <v>0</v>
      </c>
      <c r="CW96" s="197">
        <f t="shared" si="301"/>
        <v>0</v>
      </c>
      <c r="CX96" s="197">
        <f>'Margins summary'!$Q$14</f>
        <v>471.64</v>
      </c>
      <c r="CY96" s="197">
        <f t="shared" si="281"/>
        <v>471.64</v>
      </c>
      <c r="CZ96" s="197"/>
      <c r="DA96" s="913">
        <f>'Energy NPV'!U21</f>
        <v>197.56800000000001</v>
      </c>
      <c r="DB96" s="197"/>
      <c r="DC96" s="197">
        <f t="shared" si="282"/>
        <v>197.56800000000001</v>
      </c>
      <c r="DD96" s="197">
        <f t="shared" si="235"/>
        <v>-197.56800000000001</v>
      </c>
      <c r="DE96" s="197">
        <f t="shared" si="236"/>
        <v>274.072</v>
      </c>
      <c r="DF96" s="196">
        <f t="shared" si="283"/>
        <v>0</v>
      </c>
      <c r="DG96" s="197">
        <f t="shared" si="284"/>
        <v>344.6227282871356</v>
      </c>
      <c r="DH96" s="197">
        <f t="shared" si="285"/>
        <v>144.36100242183193</v>
      </c>
      <c r="DI96" s="197">
        <f t="shared" si="286"/>
        <v>-144.36100242183193</v>
      </c>
      <c r="DJ96" s="199">
        <f t="shared" si="287"/>
        <v>200.2617258653037</v>
      </c>
      <c r="DK96" s="196">
        <f t="shared" si="302"/>
        <v>0</v>
      </c>
      <c r="DL96" s="197">
        <f t="shared" si="288"/>
        <v>3647.0717928216054</v>
      </c>
      <c r="DM96" s="197">
        <f t="shared" si="289"/>
        <v>13293.643853624511</v>
      </c>
      <c r="DN96" s="197">
        <f t="shared" si="290"/>
        <v>-13293.643853624511</v>
      </c>
      <c r="DO96" s="199">
        <f t="shared" si="291"/>
        <v>-9646.5720608029078</v>
      </c>
    </row>
    <row r="97" spans="2:119" x14ac:dyDescent="0.3">
      <c r="B97" s="895">
        <v>10</v>
      </c>
      <c r="C97" s="757">
        <f>'Energy NPV'!$D22</f>
        <v>25</v>
      </c>
      <c r="D97" s="197">
        <f>'Energy Inputs'!$D$58*$E$84</f>
        <v>269.5</v>
      </c>
      <c r="E97" s="197">
        <f t="shared" si="292"/>
        <v>6737.5</v>
      </c>
      <c r="F97" s="197">
        <f>'Margins summary'!$Q$14</f>
        <v>471.64</v>
      </c>
      <c r="G97" s="197">
        <f t="shared" si="237"/>
        <v>7209.14</v>
      </c>
      <c r="H97" s="197"/>
      <c r="I97" s="913">
        <f>'Energy NPV'!U22</f>
        <v>2318.3679999999999</v>
      </c>
      <c r="J97" s="197"/>
      <c r="K97" s="197">
        <f t="shared" si="238"/>
        <v>2318.3679999999999</v>
      </c>
      <c r="L97" s="197">
        <f t="shared" si="227"/>
        <v>4419.1319999999996</v>
      </c>
      <c r="M97" s="197">
        <f t="shared" si="228"/>
        <v>4890.7720000000008</v>
      </c>
      <c r="N97" s="196">
        <f t="shared" si="239"/>
        <v>4733.6781309623702</v>
      </c>
      <c r="O97" s="197">
        <f t="shared" si="240"/>
        <v>331.36800796839958</v>
      </c>
      <c r="P97" s="197">
        <f t="shared" si="241"/>
        <v>1628.8546049904221</v>
      </c>
      <c r="Q97" s="197">
        <f t="shared" si="242"/>
        <v>3104.8235259719481</v>
      </c>
      <c r="R97" s="199">
        <f t="shared" si="243"/>
        <v>3436.1915339403486</v>
      </c>
      <c r="S97" s="196">
        <f t="shared" si="293"/>
        <v>16048.035214614516</v>
      </c>
      <c r="T97" s="197">
        <f t="shared" si="244"/>
        <v>3978.4398007900049</v>
      </c>
      <c r="U97" s="197">
        <f t="shared" si="245"/>
        <v>14922.498458614933</v>
      </c>
      <c r="V97" s="197">
        <f t="shared" si="246"/>
        <v>1125.5367559995796</v>
      </c>
      <c r="W97" s="199">
        <f t="shared" si="247"/>
        <v>5103.9765567895884</v>
      </c>
      <c r="Z97" s="895">
        <v>10</v>
      </c>
      <c r="AA97" s="756">
        <f>'Energy NPV'!$D22</f>
        <v>25</v>
      </c>
      <c r="AB97" s="197">
        <f>'Energy Inputs'!$D$58*$AB$84</f>
        <v>404.25</v>
      </c>
      <c r="AC97" s="197">
        <f t="shared" si="294"/>
        <v>10106.25</v>
      </c>
      <c r="AD97" s="197">
        <f>'Margins summary'!$Q$14</f>
        <v>471.64</v>
      </c>
      <c r="AE97" s="197">
        <f t="shared" si="248"/>
        <v>10577.89</v>
      </c>
      <c r="AF97" s="197"/>
      <c r="AG97" s="913">
        <f>'Energy NPV'!U22</f>
        <v>2318.3679999999999</v>
      </c>
      <c r="AH97" s="197"/>
      <c r="AI97" s="197">
        <f t="shared" si="249"/>
        <v>2318.3679999999999</v>
      </c>
      <c r="AJ97" s="197">
        <f t="shared" si="229"/>
        <v>7787.8819999999996</v>
      </c>
      <c r="AK97" s="197">
        <f t="shared" si="230"/>
        <v>8259.521999999999</v>
      </c>
      <c r="AL97" s="196">
        <f t="shared" si="250"/>
        <v>7100.5171964435558</v>
      </c>
      <c r="AM97" s="197">
        <f t="shared" si="251"/>
        <v>331.36800796839958</v>
      </c>
      <c r="AN97" s="197">
        <f t="shared" si="252"/>
        <v>1628.8546049904221</v>
      </c>
      <c r="AO97" s="197">
        <f t="shared" si="253"/>
        <v>5471.6625914531332</v>
      </c>
      <c r="AP97" s="199">
        <f t="shared" si="254"/>
        <v>5803.0305994215323</v>
      </c>
      <c r="AQ97" s="196">
        <f t="shared" si="295"/>
        <v>24072.052821921774</v>
      </c>
      <c r="AR97" s="197">
        <f t="shared" si="255"/>
        <v>3978.4398007900049</v>
      </c>
      <c r="AS97" s="197">
        <f t="shared" si="256"/>
        <v>14922.498458614933</v>
      </c>
      <c r="AT97" s="197">
        <f t="shared" si="257"/>
        <v>9149.5543633068373</v>
      </c>
      <c r="AU97" s="199">
        <f t="shared" si="258"/>
        <v>13127.994164096841</v>
      </c>
      <c r="AX97" s="895">
        <v>10</v>
      </c>
      <c r="AY97" s="756">
        <f>'Energy NPV'!$D22</f>
        <v>25</v>
      </c>
      <c r="AZ97" s="197">
        <f>'Energy Inputs'!$D$58*$AZ$84</f>
        <v>134.75</v>
      </c>
      <c r="BA97" s="197">
        <f t="shared" si="296"/>
        <v>3368.75</v>
      </c>
      <c r="BB97" s="197">
        <f>'Margins summary'!$Q$14</f>
        <v>471.64</v>
      </c>
      <c r="BC97" s="197">
        <f t="shared" si="259"/>
        <v>3840.39</v>
      </c>
      <c r="BD97" s="197"/>
      <c r="BE97" s="913">
        <f>'Energy NPV'!U22</f>
        <v>2318.3679999999999</v>
      </c>
      <c r="BF97" s="197"/>
      <c r="BG97" s="197">
        <f t="shared" si="260"/>
        <v>2318.3679999999999</v>
      </c>
      <c r="BH97" s="197">
        <f t="shared" si="231"/>
        <v>1050.3820000000001</v>
      </c>
      <c r="BI97" s="197">
        <f t="shared" si="232"/>
        <v>1522.0219999999999</v>
      </c>
      <c r="BJ97" s="196">
        <f t="shared" si="261"/>
        <v>2366.8390654811851</v>
      </c>
      <c r="BK97" s="197">
        <f t="shared" si="262"/>
        <v>331.36800796839958</v>
      </c>
      <c r="BL97" s="197">
        <f t="shared" si="263"/>
        <v>1628.8546049904221</v>
      </c>
      <c r="BM97" s="197">
        <f t="shared" si="264"/>
        <v>737.98446049076313</v>
      </c>
      <c r="BN97" s="199">
        <f t="shared" si="265"/>
        <v>1069.3524684591628</v>
      </c>
      <c r="BO97" s="196">
        <f t="shared" si="297"/>
        <v>8024.017607307258</v>
      </c>
      <c r="BP97" s="197">
        <f t="shared" si="266"/>
        <v>3978.4398007900049</v>
      </c>
      <c r="BQ97" s="197">
        <f t="shared" si="267"/>
        <v>14922.498458614933</v>
      </c>
      <c r="BR97" s="197">
        <f t="shared" si="268"/>
        <v>-6898.4808513076787</v>
      </c>
      <c r="BS97" s="199">
        <f t="shared" si="269"/>
        <v>-2920.0410505176715</v>
      </c>
      <c r="BV97" s="417">
        <v>10</v>
      </c>
      <c r="BW97" s="756">
        <f>'Energy NPV'!$D22</f>
        <v>25</v>
      </c>
      <c r="BX97" s="197">
        <f>'Energy Inputs'!$D$58*$BX$84</f>
        <v>539</v>
      </c>
      <c r="BY97" s="197">
        <f t="shared" si="298"/>
        <v>13475</v>
      </c>
      <c r="BZ97" s="197">
        <f>'Margins summary'!$Q$14</f>
        <v>471.64</v>
      </c>
      <c r="CA97" s="197">
        <f t="shared" si="270"/>
        <v>13946.64</v>
      </c>
      <c r="CB97" s="197"/>
      <c r="CC97" s="913">
        <f>'Energy NPV'!U22</f>
        <v>2318.3679999999999</v>
      </c>
      <c r="CD97" s="197"/>
      <c r="CE97" s="197">
        <f t="shared" si="271"/>
        <v>2318.3679999999999</v>
      </c>
      <c r="CF97" s="197">
        <f t="shared" si="233"/>
        <v>11156.632</v>
      </c>
      <c r="CG97" s="197">
        <f t="shared" si="234"/>
        <v>11628.271999999999</v>
      </c>
      <c r="CH97" s="196">
        <f t="shared" si="272"/>
        <v>9467.3562619247405</v>
      </c>
      <c r="CI97" s="197">
        <f t="shared" si="273"/>
        <v>331.36800796839958</v>
      </c>
      <c r="CJ97" s="197">
        <f t="shared" si="274"/>
        <v>1628.8546049904221</v>
      </c>
      <c r="CK97" s="197">
        <f t="shared" si="275"/>
        <v>7838.5016569343188</v>
      </c>
      <c r="CL97" s="199">
        <f t="shared" si="276"/>
        <v>8169.8696649027179</v>
      </c>
      <c r="CM97" s="196">
        <f t="shared" si="299"/>
        <v>32096.070429229032</v>
      </c>
      <c r="CN97" s="197">
        <f t="shared" si="277"/>
        <v>3978.4398007900049</v>
      </c>
      <c r="CO97" s="197">
        <f t="shared" si="278"/>
        <v>14922.498458614933</v>
      </c>
      <c r="CP97" s="197">
        <f t="shared" si="279"/>
        <v>17173.571970614095</v>
      </c>
      <c r="CQ97" s="199">
        <f t="shared" si="280"/>
        <v>21152.011771404101</v>
      </c>
      <c r="CT97" s="204">
        <f t="shared" si="300"/>
        <v>10</v>
      </c>
      <c r="CU97" s="756">
        <f>'Energy NPV'!$D22</f>
        <v>25</v>
      </c>
      <c r="CV97" s="197">
        <f>'Energy Inputs'!$D$58*$CV$84</f>
        <v>0</v>
      </c>
      <c r="CW97" s="197">
        <f t="shared" si="301"/>
        <v>0</v>
      </c>
      <c r="CX97" s="197">
        <f>'Margins summary'!$Q$14</f>
        <v>471.64</v>
      </c>
      <c r="CY97" s="197">
        <f t="shared" si="281"/>
        <v>471.64</v>
      </c>
      <c r="CZ97" s="197"/>
      <c r="DA97" s="913">
        <f>'Energy NPV'!U22</f>
        <v>2318.3679999999999</v>
      </c>
      <c r="DB97" s="197"/>
      <c r="DC97" s="197">
        <f t="shared" si="282"/>
        <v>2318.3679999999999</v>
      </c>
      <c r="DD97" s="197">
        <f t="shared" si="235"/>
        <v>-2318.3679999999999</v>
      </c>
      <c r="DE97" s="197">
        <f t="shared" si="236"/>
        <v>-1846.7280000000001</v>
      </c>
      <c r="DF97" s="196">
        <f t="shared" si="283"/>
        <v>0</v>
      </c>
      <c r="DG97" s="197">
        <f t="shared" si="284"/>
        <v>331.36800796839958</v>
      </c>
      <c r="DH97" s="197">
        <f t="shared" si="285"/>
        <v>1628.8546049904221</v>
      </c>
      <c r="DI97" s="197">
        <f t="shared" si="286"/>
        <v>-1628.8546049904221</v>
      </c>
      <c r="DJ97" s="199">
        <f t="shared" si="287"/>
        <v>-1297.4865970220226</v>
      </c>
      <c r="DK97" s="196">
        <f t="shared" si="302"/>
        <v>0</v>
      </c>
      <c r="DL97" s="197">
        <f t="shared" si="288"/>
        <v>3978.4398007900049</v>
      </c>
      <c r="DM97" s="197">
        <f t="shared" si="289"/>
        <v>14922.498458614933</v>
      </c>
      <c r="DN97" s="197">
        <f t="shared" si="290"/>
        <v>-14922.498458614933</v>
      </c>
      <c r="DO97" s="199">
        <f t="shared" si="291"/>
        <v>-10944.058657824931</v>
      </c>
    </row>
    <row r="98" spans="2:119" x14ac:dyDescent="0.3">
      <c r="B98" s="895">
        <v>11</v>
      </c>
      <c r="C98" s="757">
        <f>'Energy NPV'!$D23</f>
        <v>0</v>
      </c>
      <c r="D98" s="197">
        <f>'Energy Inputs'!$D$58*$E$84</f>
        <v>269.5</v>
      </c>
      <c r="E98" s="197">
        <f t="shared" si="292"/>
        <v>0</v>
      </c>
      <c r="F98" s="197">
        <f>'Margins summary'!$Q$14</f>
        <v>471.64</v>
      </c>
      <c r="G98" s="197">
        <f t="shared" si="237"/>
        <v>471.64</v>
      </c>
      <c r="H98" s="197"/>
      <c r="I98" s="913">
        <f>'Energy NPV'!U23</f>
        <v>0</v>
      </c>
      <c r="J98" s="197"/>
      <c r="K98" s="197">
        <f t="shared" si="238"/>
        <v>0</v>
      </c>
      <c r="L98" s="197">
        <f t="shared" si="227"/>
        <v>0</v>
      </c>
      <c r="M98" s="197">
        <f t="shared" si="228"/>
        <v>471.64</v>
      </c>
      <c r="N98" s="196">
        <f t="shared" si="239"/>
        <v>0</v>
      </c>
      <c r="O98" s="197">
        <f t="shared" si="240"/>
        <v>318.62308458499962</v>
      </c>
      <c r="P98" s="197">
        <f t="shared" si="241"/>
        <v>0</v>
      </c>
      <c r="Q98" s="197">
        <f t="shared" si="242"/>
        <v>0</v>
      </c>
      <c r="R98" s="199">
        <f t="shared" si="243"/>
        <v>318.62308458499962</v>
      </c>
      <c r="S98" s="196">
        <f t="shared" si="293"/>
        <v>16048.035214614516</v>
      </c>
      <c r="T98" s="197">
        <f t="shared" si="244"/>
        <v>4297.062885375005</v>
      </c>
      <c r="U98" s="197">
        <f t="shared" si="245"/>
        <v>14922.498458614933</v>
      </c>
      <c r="V98" s="197">
        <f t="shared" si="246"/>
        <v>1125.5367559995796</v>
      </c>
      <c r="W98" s="199">
        <f t="shared" si="247"/>
        <v>5422.5996413745879</v>
      </c>
      <c r="Z98" s="895">
        <v>11</v>
      </c>
      <c r="AA98" s="756">
        <f>'Energy NPV'!$D23</f>
        <v>0</v>
      </c>
      <c r="AB98" s="197">
        <f>'Energy Inputs'!$D$58*$AB$84</f>
        <v>404.25</v>
      </c>
      <c r="AC98" s="197">
        <f t="shared" si="294"/>
        <v>0</v>
      </c>
      <c r="AD98" s="197">
        <f>'Margins summary'!$Q$14</f>
        <v>471.64</v>
      </c>
      <c r="AE98" s="197">
        <f t="shared" si="248"/>
        <v>471.64</v>
      </c>
      <c r="AF98" s="197"/>
      <c r="AG98" s="913">
        <f>'Energy NPV'!U23</f>
        <v>0</v>
      </c>
      <c r="AH98" s="197"/>
      <c r="AI98" s="197">
        <f t="shared" si="249"/>
        <v>0</v>
      </c>
      <c r="AJ98" s="197">
        <f t="shared" si="229"/>
        <v>0</v>
      </c>
      <c r="AK98" s="197">
        <f t="shared" si="230"/>
        <v>471.64</v>
      </c>
      <c r="AL98" s="196">
        <f t="shared" si="250"/>
        <v>0</v>
      </c>
      <c r="AM98" s="197">
        <f t="shared" si="251"/>
        <v>318.62308458499962</v>
      </c>
      <c r="AN98" s="197">
        <f t="shared" si="252"/>
        <v>0</v>
      </c>
      <c r="AO98" s="197">
        <f t="shared" si="253"/>
        <v>0</v>
      </c>
      <c r="AP98" s="199">
        <f t="shared" si="254"/>
        <v>318.62308458499962</v>
      </c>
      <c r="AQ98" s="196">
        <f t="shared" si="295"/>
        <v>24072.052821921774</v>
      </c>
      <c r="AR98" s="197">
        <f t="shared" si="255"/>
        <v>4297.062885375005</v>
      </c>
      <c r="AS98" s="197">
        <f t="shared" si="256"/>
        <v>14922.498458614933</v>
      </c>
      <c r="AT98" s="197">
        <f t="shared" si="257"/>
        <v>9149.5543633068373</v>
      </c>
      <c r="AU98" s="199">
        <f t="shared" si="258"/>
        <v>13446.617248681841</v>
      </c>
      <c r="AX98" s="895">
        <v>11</v>
      </c>
      <c r="AY98" s="756">
        <f>'Energy NPV'!$D23</f>
        <v>0</v>
      </c>
      <c r="AZ98" s="197">
        <f>'Energy Inputs'!$D$58*$AZ$84</f>
        <v>134.75</v>
      </c>
      <c r="BA98" s="197">
        <f t="shared" si="296"/>
        <v>0</v>
      </c>
      <c r="BB98" s="197">
        <f>'Margins summary'!$Q$14</f>
        <v>471.64</v>
      </c>
      <c r="BC98" s="197">
        <f t="shared" si="259"/>
        <v>471.64</v>
      </c>
      <c r="BD98" s="197"/>
      <c r="BE98" s="913">
        <f>'Energy NPV'!U23</f>
        <v>0</v>
      </c>
      <c r="BF98" s="197"/>
      <c r="BG98" s="197">
        <f t="shared" si="260"/>
        <v>0</v>
      </c>
      <c r="BH98" s="197">
        <f t="shared" si="231"/>
        <v>0</v>
      </c>
      <c r="BI98" s="197">
        <f t="shared" si="232"/>
        <v>471.64</v>
      </c>
      <c r="BJ98" s="196">
        <f t="shared" si="261"/>
        <v>0</v>
      </c>
      <c r="BK98" s="197">
        <f t="shared" si="262"/>
        <v>318.62308458499962</v>
      </c>
      <c r="BL98" s="197">
        <f t="shared" si="263"/>
        <v>0</v>
      </c>
      <c r="BM98" s="197">
        <f t="shared" si="264"/>
        <v>0</v>
      </c>
      <c r="BN98" s="199">
        <f t="shared" si="265"/>
        <v>318.62308458499962</v>
      </c>
      <c r="BO98" s="196">
        <f t="shared" si="297"/>
        <v>8024.017607307258</v>
      </c>
      <c r="BP98" s="197">
        <f t="shared" si="266"/>
        <v>4297.062885375005</v>
      </c>
      <c r="BQ98" s="197">
        <f t="shared" si="267"/>
        <v>14922.498458614933</v>
      </c>
      <c r="BR98" s="197">
        <f t="shared" si="268"/>
        <v>-6898.4808513076787</v>
      </c>
      <c r="BS98" s="199">
        <f t="shared" si="269"/>
        <v>-2601.4179659326719</v>
      </c>
      <c r="BV98" s="417">
        <v>11</v>
      </c>
      <c r="BW98" s="756">
        <f>'Energy NPV'!$D23</f>
        <v>0</v>
      </c>
      <c r="BX98" s="197">
        <f>'Energy Inputs'!$D$58*$BX$84</f>
        <v>539</v>
      </c>
      <c r="BY98" s="197">
        <f t="shared" si="298"/>
        <v>0</v>
      </c>
      <c r="BZ98" s="197">
        <f>'Margins summary'!$Q$14</f>
        <v>471.64</v>
      </c>
      <c r="CA98" s="197">
        <f t="shared" si="270"/>
        <v>471.64</v>
      </c>
      <c r="CB98" s="197"/>
      <c r="CC98" s="913">
        <f>'Energy NPV'!U23</f>
        <v>0</v>
      </c>
      <c r="CD98" s="197"/>
      <c r="CE98" s="197">
        <f t="shared" si="271"/>
        <v>0</v>
      </c>
      <c r="CF98" s="197">
        <f t="shared" si="233"/>
        <v>0</v>
      </c>
      <c r="CG98" s="197">
        <f t="shared" si="234"/>
        <v>471.64</v>
      </c>
      <c r="CH98" s="196">
        <f t="shared" si="272"/>
        <v>0</v>
      </c>
      <c r="CI98" s="197">
        <f t="shared" si="273"/>
        <v>318.62308458499962</v>
      </c>
      <c r="CJ98" s="197">
        <f t="shared" si="274"/>
        <v>0</v>
      </c>
      <c r="CK98" s="197">
        <f t="shared" si="275"/>
        <v>0</v>
      </c>
      <c r="CL98" s="199">
        <f t="shared" si="276"/>
        <v>318.62308458499962</v>
      </c>
      <c r="CM98" s="196">
        <f t="shared" si="299"/>
        <v>32096.070429229032</v>
      </c>
      <c r="CN98" s="197">
        <f t="shared" si="277"/>
        <v>4297.062885375005</v>
      </c>
      <c r="CO98" s="197">
        <f t="shared" si="278"/>
        <v>14922.498458614933</v>
      </c>
      <c r="CP98" s="197">
        <f t="shared" si="279"/>
        <v>17173.571970614095</v>
      </c>
      <c r="CQ98" s="199">
        <f t="shared" si="280"/>
        <v>21470.634855989101</v>
      </c>
      <c r="CT98" s="204">
        <f t="shared" si="300"/>
        <v>11</v>
      </c>
      <c r="CU98" s="756">
        <f>'Energy NPV'!$D23</f>
        <v>0</v>
      </c>
      <c r="CV98" s="197">
        <f>'Energy Inputs'!$D$58*$CV$84</f>
        <v>0</v>
      </c>
      <c r="CW98" s="197">
        <f t="shared" si="301"/>
        <v>0</v>
      </c>
      <c r="CX98" s="197">
        <f>'Margins summary'!$Q$14</f>
        <v>471.64</v>
      </c>
      <c r="CY98" s="197">
        <f t="shared" si="281"/>
        <v>471.64</v>
      </c>
      <c r="CZ98" s="197"/>
      <c r="DA98" s="913">
        <f>'Energy NPV'!U23</f>
        <v>0</v>
      </c>
      <c r="DB98" s="197"/>
      <c r="DC98" s="197">
        <f t="shared" si="282"/>
        <v>0</v>
      </c>
      <c r="DD98" s="197">
        <f t="shared" si="235"/>
        <v>0</v>
      </c>
      <c r="DE98" s="197">
        <f t="shared" si="236"/>
        <v>471.64</v>
      </c>
      <c r="DF98" s="196">
        <f t="shared" si="283"/>
        <v>0</v>
      </c>
      <c r="DG98" s="197">
        <f t="shared" si="284"/>
        <v>318.62308458499962</v>
      </c>
      <c r="DH98" s="197">
        <f t="shared" si="285"/>
        <v>0</v>
      </c>
      <c r="DI98" s="197">
        <f t="shared" si="286"/>
        <v>0</v>
      </c>
      <c r="DJ98" s="199">
        <f t="shared" si="287"/>
        <v>318.62308458499962</v>
      </c>
      <c r="DK98" s="196">
        <f t="shared" si="302"/>
        <v>0</v>
      </c>
      <c r="DL98" s="197">
        <f t="shared" si="288"/>
        <v>4297.062885375005</v>
      </c>
      <c r="DM98" s="197">
        <f t="shared" si="289"/>
        <v>14922.498458614933</v>
      </c>
      <c r="DN98" s="197">
        <f t="shared" si="290"/>
        <v>-14922.498458614933</v>
      </c>
      <c r="DO98" s="199">
        <f t="shared" si="291"/>
        <v>-10625.435573239931</v>
      </c>
    </row>
    <row r="99" spans="2:119" x14ac:dyDescent="0.3">
      <c r="B99" s="895">
        <v>12</v>
      </c>
      <c r="C99" s="757">
        <f>'Energy NPV'!$D24</f>
        <v>0</v>
      </c>
      <c r="D99" s="197">
        <f>'Energy Inputs'!$D$58*$E$84</f>
        <v>269.5</v>
      </c>
      <c r="E99" s="197">
        <f t="shared" si="292"/>
        <v>0</v>
      </c>
      <c r="F99" s="197">
        <f>'Margins summary'!$Q$14</f>
        <v>471.64</v>
      </c>
      <c r="G99" s="197">
        <f t="shared" si="237"/>
        <v>471.64</v>
      </c>
      <c r="H99" s="197"/>
      <c r="I99" s="913">
        <f>'Energy NPV'!U24</f>
        <v>0</v>
      </c>
      <c r="J99" s="197"/>
      <c r="K99" s="197">
        <f t="shared" si="238"/>
        <v>0</v>
      </c>
      <c r="L99" s="197">
        <f t="shared" si="227"/>
        <v>0</v>
      </c>
      <c r="M99" s="197">
        <f t="shared" si="228"/>
        <v>471.64</v>
      </c>
      <c r="N99" s="196">
        <f t="shared" si="239"/>
        <v>0</v>
      </c>
      <c r="O99" s="197">
        <f t="shared" si="240"/>
        <v>306.36835056249964</v>
      </c>
      <c r="P99" s="197">
        <f t="shared" si="241"/>
        <v>0</v>
      </c>
      <c r="Q99" s="197">
        <f t="shared" si="242"/>
        <v>0</v>
      </c>
      <c r="R99" s="199">
        <f t="shared" si="243"/>
        <v>306.36835056249964</v>
      </c>
      <c r="S99" s="196">
        <f t="shared" si="293"/>
        <v>16048.035214614516</v>
      </c>
      <c r="T99" s="197">
        <f t="shared" si="244"/>
        <v>4603.4312359375044</v>
      </c>
      <c r="U99" s="197">
        <f t="shared" si="245"/>
        <v>14922.498458614933</v>
      </c>
      <c r="V99" s="197">
        <f t="shared" si="246"/>
        <v>1125.5367559995796</v>
      </c>
      <c r="W99" s="199">
        <f t="shared" si="247"/>
        <v>5728.9679919370874</v>
      </c>
      <c r="Z99" s="895">
        <v>12</v>
      </c>
      <c r="AA99" s="756">
        <f>'Energy NPV'!$D24</f>
        <v>0</v>
      </c>
      <c r="AB99" s="197">
        <f>'Energy Inputs'!$D$58*$AB$84</f>
        <v>404.25</v>
      </c>
      <c r="AC99" s="197">
        <f t="shared" si="294"/>
        <v>0</v>
      </c>
      <c r="AD99" s="197">
        <f>'Margins summary'!$Q$14</f>
        <v>471.64</v>
      </c>
      <c r="AE99" s="197">
        <f t="shared" si="248"/>
        <v>471.64</v>
      </c>
      <c r="AF99" s="197"/>
      <c r="AG99" s="913">
        <f>'Energy NPV'!U24</f>
        <v>0</v>
      </c>
      <c r="AH99" s="197"/>
      <c r="AI99" s="197">
        <f t="shared" si="249"/>
        <v>0</v>
      </c>
      <c r="AJ99" s="197">
        <f t="shared" si="229"/>
        <v>0</v>
      </c>
      <c r="AK99" s="197">
        <f t="shared" si="230"/>
        <v>471.64</v>
      </c>
      <c r="AL99" s="196">
        <f t="shared" si="250"/>
        <v>0</v>
      </c>
      <c r="AM99" s="197">
        <f t="shared" si="251"/>
        <v>306.36835056249964</v>
      </c>
      <c r="AN99" s="197">
        <f t="shared" si="252"/>
        <v>0</v>
      </c>
      <c r="AO99" s="197">
        <f t="shared" si="253"/>
        <v>0</v>
      </c>
      <c r="AP99" s="199">
        <f t="shared" si="254"/>
        <v>306.36835056249964</v>
      </c>
      <c r="AQ99" s="196">
        <f t="shared" si="295"/>
        <v>24072.052821921774</v>
      </c>
      <c r="AR99" s="197">
        <f t="shared" si="255"/>
        <v>4603.4312359375044</v>
      </c>
      <c r="AS99" s="197">
        <f t="shared" si="256"/>
        <v>14922.498458614933</v>
      </c>
      <c r="AT99" s="197">
        <f t="shared" si="257"/>
        <v>9149.5543633068373</v>
      </c>
      <c r="AU99" s="199">
        <f t="shared" si="258"/>
        <v>13752.985599244341</v>
      </c>
      <c r="AX99" s="895">
        <v>12</v>
      </c>
      <c r="AY99" s="756">
        <f>'Energy NPV'!$D24</f>
        <v>0</v>
      </c>
      <c r="AZ99" s="197">
        <f>'Energy Inputs'!$D$58*$AZ$84</f>
        <v>134.75</v>
      </c>
      <c r="BA99" s="197">
        <f t="shared" si="296"/>
        <v>0</v>
      </c>
      <c r="BB99" s="197">
        <f>'Margins summary'!$Q$14</f>
        <v>471.64</v>
      </c>
      <c r="BC99" s="197">
        <f t="shared" si="259"/>
        <v>471.64</v>
      </c>
      <c r="BD99" s="197"/>
      <c r="BE99" s="913">
        <f>'Energy NPV'!U24</f>
        <v>0</v>
      </c>
      <c r="BF99" s="197"/>
      <c r="BG99" s="197">
        <f t="shared" si="260"/>
        <v>0</v>
      </c>
      <c r="BH99" s="197">
        <f t="shared" si="231"/>
        <v>0</v>
      </c>
      <c r="BI99" s="197">
        <f t="shared" si="232"/>
        <v>471.64</v>
      </c>
      <c r="BJ99" s="196">
        <f t="shared" si="261"/>
        <v>0</v>
      </c>
      <c r="BK99" s="197">
        <f t="shared" si="262"/>
        <v>306.36835056249964</v>
      </c>
      <c r="BL99" s="197">
        <f t="shared" si="263"/>
        <v>0</v>
      </c>
      <c r="BM99" s="197">
        <f t="shared" si="264"/>
        <v>0</v>
      </c>
      <c r="BN99" s="199">
        <f t="shared" si="265"/>
        <v>306.36835056249964</v>
      </c>
      <c r="BO99" s="196">
        <f t="shared" si="297"/>
        <v>8024.017607307258</v>
      </c>
      <c r="BP99" s="197">
        <f t="shared" si="266"/>
        <v>4603.4312359375044</v>
      </c>
      <c r="BQ99" s="197">
        <f t="shared" si="267"/>
        <v>14922.498458614933</v>
      </c>
      <c r="BR99" s="197">
        <f t="shared" si="268"/>
        <v>-6898.4808513076787</v>
      </c>
      <c r="BS99" s="199">
        <f t="shared" si="269"/>
        <v>-2295.0496153701724</v>
      </c>
      <c r="BV99" s="417">
        <v>12</v>
      </c>
      <c r="BW99" s="756">
        <f>'Energy NPV'!$D24</f>
        <v>0</v>
      </c>
      <c r="BX99" s="197">
        <f>'Energy Inputs'!$D$58*$BX$84</f>
        <v>539</v>
      </c>
      <c r="BY99" s="197">
        <f t="shared" si="298"/>
        <v>0</v>
      </c>
      <c r="BZ99" s="197">
        <f>'Margins summary'!$Q$14</f>
        <v>471.64</v>
      </c>
      <c r="CA99" s="197">
        <f t="shared" si="270"/>
        <v>471.64</v>
      </c>
      <c r="CB99" s="197"/>
      <c r="CC99" s="913">
        <f>'Energy NPV'!U24</f>
        <v>0</v>
      </c>
      <c r="CD99" s="197"/>
      <c r="CE99" s="197">
        <f t="shared" si="271"/>
        <v>0</v>
      </c>
      <c r="CF99" s="197">
        <f t="shared" si="233"/>
        <v>0</v>
      </c>
      <c r="CG99" s="197">
        <f t="shared" si="234"/>
        <v>471.64</v>
      </c>
      <c r="CH99" s="196">
        <f t="shared" si="272"/>
        <v>0</v>
      </c>
      <c r="CI99" s="197">
        <f t="shared" si="273"/>
        <v>306.36835056249964</v>
      </c>
      <c r="CJ99" s="197">
        <f t="shared" si="274"/>
        <v>0</v>
      </c>
      <c r="CK99" s="197">
        <f t="shared" si="275"/>
        <v>0</v>
      </c>
      <c r="CL99" s="199">
        <f t="shared" si="276"/>
        <v>306.36835056249964</v>
      </c>
      <c r="CM99" s="196">
        <f t="shared" si="299"/>
        <v>32096.070429229032</v>
      </c>
      <c r="CN99" s="197">
        <f t="shared" si="277"/>
        <v>4603.4312359375044</v>
      </c>
      <c r="CO99" s="197">
        <f t="shared" si="278"/>
        <v>14922.498458614933</v>
      </c>
      <c r="CP99" s="197">
        <f t="shared" si="279"/>
        <v>17173.571970614095</v>
      </c>
      <c r="CQ99" s="199">
        <f t="shared" si="280"/>
        <v>21777.003206551602</v>
      </c>
      <c r="CT99" s="204">
        <f t="shared" si="300"/>
        <v>12</v>
      </c>
      <c r="CU99" s="756">
        <f>'Energy NPV'!$D24</f>
        <v>0</v>
      </c>
      <c r="CV99" s="197">
        <f>'Energy Inputs'!$D$58*$CV$84</f>
        <v>0</v>
      </c>
      <c r="CW99" s="197">
        <f t="shared" si="301"/>
        <v>0</v>
      </c>
      <c r="CX99" s="197">
        <f>'Margins summary'!$Q$14</f>
        <v>471.64</v>
      </c>
      <c r="CY99" s="197">
        <f t="shared" si="281"/>
        <v>471.64</v>
      </c>
      <c r="CZ99" s="197"/>
      <c r="DA99" s="913">
        <f>'Energy NPV'!U24</f>
        <v>0</v>
      </c>
      <c r="DB99" s="197"/>
      <c r="DC99" s="197">
        <f t="shared" si="282"/>
        <v>0</v>
      </c>
      <c r="DD99" s="197">
        <f t="shared" si="235"/>
        <v>0</v>
      </c>
      <c r="DE99" s="197">
        <f t="shared" si="236"/>
        <v>471.64</v>
      </c>
      <c r="DF99" s="196">
        <f t="shared" si="283"/>
        <v>0</v>
      </c>
      <c r="DG99" s="197">
        <f t="shared" si="284"/>
        <v>306.36835056249964</v>
      </c>
      <c r="DH99" s="197">
        <f t="shared" si="285"/>
        <v>0</v>
      </c>
      <c r="DI99" s="197">
        <f t="shared" si="286"/>
        <v>0</v>
      </c>
      <c r="DJ99" s="199">
        <f t="shared" si="287"/>
        <v>306.36835056249964</v>
      </c>
      <c r="DK99" s="196">
        <f t="shared" si="302"/>
        <v>0</v>
      </c>
      <c r="DL99" s="197">
        <f t="shared" si="288"/>
        <v>4603.4312359375044</v>
      </c>
      <c r="DM99" s="197">
        <f t="shared" si="289"/>
        <v>14922.498458614933</v>
      </c>
      <c r="DN99" s="197">
        <f t="shared" si="290"/>
        <v>-14922.498458614933</v>
      </c>
      <c r="DO99" s="199">
        <f t="shared" si="291"/>
        <v>-10319.067222677431</v>
      </c>
    </row>
    <row r="100" spans="2:119" x14ac:dyDescent="0.3">
      <c r="B100" s="895">
        <v>13</v>
      </c>
      <c r="C100" s="757">
        <f>'Energy NPV'!$D25</f>
        <v>25</v>
      </c>
      <c r="D100" s="197">
        <f>'Energy Inputs'!$D$58*$E$84</f>
        <v>269.5</v>
      </c>
      <c r="E100" s="197">
        <f t="shared" si="292"/>
        <v>6737.5</v>
      </c>
      <c r="F100" s="197">
        <f>'Margins summary'!$Q$14</f>
        <v>471.64</v>
      </c>
      <c r="G100" s="197">
        <f t="shared" si="237"/>
        <v>7209.14</v>
      </c>
      <c r="H100" s="197"/>
      <c r="I100" s="913">
        <f>'Energy NPV'!U25</f>
        <v>2120.8000000000002</v>
      </c>
      <c r="J100" s="197"/>
      <c r="K100" s="197">
        <f t="shared" si="238"/>
        <v>2120.8000000000002</v>
      </c>
      <c r="L100" s="197">
        <f t="shared" si="227"/>
        <v>4616.7</v>
      </c>
      <c r="M100" s="197">
        <f t="shared" si="228"/>
        <v>5088.34</v>
      </c>
      <c r="N100" s="196">
        <f t="shared" si="239"/>
        <v>4208.2226215456885</v>
      </c>
      <c r="O100" s="197">
        <f t="shared" si="240"/>
        <v>294.58495246394193</v>
      </c>
      <c r="P100" s="197">
        <f t="shared" si="241"/>
        <v>1324.6454227494023</v>
      </c>
      <c r="Q100" s="197">
        <f t="shared" si="242"/>
        <v>2883.5771987962867</v>
      </c>
      <c r="R100" s="199">
        <f t="shared" si="243"/>
        <v>3178.1621512602287</v>
      </c>
      <c r="S100" s="196">
        <f t="shared" si="293"/>
        <v>20256.257836160206</v>
      </c>
      <c r="T100" s="197">
        <f t="shared" si="244"/>
        <v>4898.016188401446</v>
      </c>
      <c r="U100" s="197">
        <f t="shared" si="245"/>
        <v>16247.143881364336</v>
      </c>
      <c r="V100" s="197">
        <f t="shared" si="246"/>
        <v>4009.1139547958664</v>
      </c>
      <c r="W100" s="199">
        <f t="shared" si="247"/>
        <v>8907.1301431973152</v>
      </c>
      <c r="Z100" s="895">
        <v>13</v>
      </c>
      <c r="AA100" s="756">
        <f>'Energy NPV'!$D25</f>
        <v>25</v>
      </c>
      <c r="AB100" s="197">
        <f>'Energy Inputs'!$D$58*$AB$84</f>
        <v>404.25</v>
      </c>
      <c r="AC100" s="197">
        <f t="shared" si="294"/>
        <v>10106.25</v>
      </c>
      <c r="AD100" s="197">
        <f>'Margins summary'!$Q$14</f>
        <v>471.64</v>
      </c>
      <c r="AE100" s="197">
        <f t="shared" si="248"/>
        <v>10577.89</v>
      </c>
      <c r="AF100" s="197"/>
      <c r="AG100" s="913">
        <f>'Energy NPV'!U25</f>
        <v>2120.8000000000002</v>
      </c>
      <c r="AH100" s="197"/>
      <c r="AI100" s="197">
        <f t="shared" si="249"/>
        <v>2120.8000000000002</v>
      </c>
      <c r="AJ100" s="197">
        <f t="shared" si="229"/>
        <v>7985.45</v>
      </c>
      <c r="AK100" s="197">
        <f t="shared" si="230"/>
        <v>8457.09</v>
      </c>
      <c r="AL100" s="196">
        <f t="shared" si="250"/>
        <v>6312.3339323185337</v>
      </c>
      <c r="AM100" s="197">
        <f t="shared" si="251"/>
        <v>294.58495246394193</v>
      </c>
      <c r="AN100" s="197">
        <f t="shared" si="252"/>
        <v>1324.6454227494023</v>
      </c>
      <c r="AO100" s="197">
        <f t="shared" si="253"/>
        <v>4987.6885095691314</v>
      </c>
      <c r="AP100" s="199">
        <f t="shared" si="254"/>
        <v>5282.273462033073</v>
      </c>
      <c r="AQ100" s="196">
        <f t="shared" si="295"/>
        <v>30384.38675424031</v>
      </c>
      <c r="AR100" s="197">
        <f t="shared" si="255"/>
        <v>4898.016188401446</v>
      </c>
      <c r="AS100" s="197">
        <f t="shared" si="256"/>
        <v>16247.143881364336</v>
      </c>
      <c r="AT100" s="197">
        <f t="shared" si="257"/>
        <v>14137.24287287597</v>
      </c>
      <c r="AU100" s="199">
        <f t="shared" si="258"/>
        <v>19035.259061277415</v>
      </c>
      <c r="AX100" s="895">
        <v>13</v>
      </c>
      <c r="AY100" s="756">
        <f>'Energy NPV'!$D25</f>
        <v>25</v>
      </c>
      <c r="AZ100" s="197">
        <f>'Energy Inputs'!$D$58*$AZ$84</f>
        <v>134.75</v>
      </c>
      <c r="BA100" s="197">
        <f t="shared" si="296"/>
        <v>3368.75</v>
      </c>
      <c r="BB100" s="197">
        <f>'Margins summary'!$Q$14</f>
        <v>471.64</v>
      </c>
      <c r="BC100" s="197">
        <f t="shared" si="259"/>
        <v>3840.39</v>
      </c>
      <c r="BD100" s="197"/>
      <c r="BE100" s="913">
        <f>'Energy NPV'!U25</f>
        <v>2120.8000000000002</v>
      </c>
      <c r="BF100" s="197"/>
      <c r="BG100" s="197">
        <f t="shared" si="260"/>
        <v>2120.8000000000002</v>
      </c>
      <c r="BH100" s="197">
        <f t="shared" si="231"/>
        <v>1247.9499999999998</v>
      </c>
      <c r="BI100" s="197">
        <f t="shared" si="232"/>
        <v>1719.5899999999997</v>
      </c>
      <c r="BJ100" s="196">
        <f t="shared" si="261"/>
        <v>2104.1113107728443</v>
      </c>
      <c r="BK100" s="197">
        <f t="shared" si="262"/>
        <v>294.58495246394193</v>
      </c>
      <c r="BL100" s="197">
        <f t="shared" si="263"/>
        <v>1324.6454227494023</v>
      </c>
      <c r="BM100" s="197">
        <f t="shared" si="264"/>
        <v>779.46588802344218</v>
      </c>
      <c r="BN100" s="199">
        <f t="shared" si="265"/>
        <v>1074.050840487384</v>
      </c>
      <c r="BO100" s="196">
        <f t="shared" si="297"/>
        <v>10128.128918080103</v>
      </c>
      <c r="BP100" s="197">
        <f t="shared" si="266"/>
        <v>4898.016188401446</v>
      </c>
      <c r="BQ100" s="197">
        <f t="shared" si="267"/>
        <v>16247.143881364336</v>
      </c>
      <c r="BR100" s="197">
        <f t="shared" si="268"/>
        <v>-6119.0149632842367</v>
      </c>
      <c r="BS100" s="199">
        <f t="shared" si="269"/>
        <v>-1220.9987748827884</v>
      </c>
      <c r="BV100" s="417">
        <v>13</v>
      </c>
      <c r="BW100" s="756">
        <f>'Energy NPV'!$D25</f>
        <v>25</v>
      </c>
      <c r="BX100" s="197">
        <f>'Energy Inputs'!$D$58*$BX$84</f>
        <v>539</v>
      </c>
      <c r="BY100" s="197">
        <f t="shared" si="298"/>
        <v>13475</v>
      </c>
      <c r="BZ100" s="197">
        <f>'Margins summary'!$Q$14</f>
        <v>471.64</v>
      </c>
      <c r="CA100" s="197">
        <f t="shared" si="270"/>
        <v>13946.64</v>
      </c>
      <c r="CB100" s="197"/>
      <c r="CC100" s="913">
        <f>'Energy NPV'!U25</f>
        <v>2120.8000000000002</v>
      </c>
      <c r="CD100" s="197"/>
      <c r="CE100" s="197">
        <f t="shared" si="271"/>
        <v>2120.8000000000002</v>
      </c>
      <c r="CF100" s="197">
        <f t="shared" si="233"/>
        <v>11354.2</v>
      </c>
      <c r="CG100" s="197">
        <f t="shared" si="234"/>
        <v>11825.84</v>
      </c>
      <c r="CH100" s="196">
        <f t="shared" si="272"/>
        <v>8416.4452430913771</v>
      </c>
      <c r="CI100" s="197">
        <f t="shared" si="273"/>
        <v>294.58495246394193</v>
      </c>
      <c r="CJ100" s="197">
        <f t="shared" si="274"/>
        <v>1324.6454227494023</v>
      </c>
      <c r="CK100" s="197">
        <f t="shared" si="275"/>
        <v>7091.7998203419756</v>
      </c>
      <c r="CL100" s="199">
        <f t="shared" si="276"/>
        <v>7386.3847728059172</v>
      </c>
      <c r="CM100" s="196">
        <f t="shared" si="299"/>
        <v>40512.515672320413</v>
      </c>
      <c r="CN100" s="197">
        <f t="shared" si="277"/>
        <v>4898.016188401446</v>
      </c>
      <c r="CO100" s="197">
        <f t="shared" si="278"/>
        <v>16247.143881364336</v>
      </c>
      <c r="CP100" s="197">
        <f t="shared" si="279"/>
        <v>24265.371790956073</v>
      </c>
      <c r="CQ100" s="199">
        <f t="shared" si="280"/>
        <v>29163.387979357518</v>
      </c>
      <c r="CT100" s="204">
        <f t="shared" si="300"/>
        <v>13</v>
      </c>
      <c r="CU100" s="756">
        <f>'Energy NPV'!$D25</f>
        <v>25</v>
      </c>
      <c r="CV100" s="197">
        <f>'Energy Inputs'!$D$58*$CV$84</f>
        <v>0</v>
      </c>
      <c r="CW100" s="197">
        <f t="shared" si="301"/>
        <v>0</v>
      </c>
      <c r="CX100" s="197">
        <f>'Margins summary'!$Q$14</f>
        <v>471.64</v>
      </c>
      <c r="CY100" s="197">
        <f t="shared" si="281"/>
        <v>471.64</v>
      </c>
      <c r="CZ100" s="197"/>
      <c r="DA100" s="913">
        <f>'Energy NPV'!U25</f>
        <v>2120.8000000000002</v>
      </c>
      <c r="DB100" s="197"/>
      <c r="DC100" s="197">
        <f t="shared" si="282"/>
        <v>2120.8000000000002</v>
      </c>
      <c r="DD100" s="197">
        <f t="shared" si="235"/>
        <v>-2120.8000000000002</v>
      </c>
      <c r="DE100" s="197">
        <f t="shared" si="236"/>
        <v>-1649.1600000000003</v>
      </c>
      <c r="DF100" s="196">
        <f t="shared" si="283"/>
        <v>0</v>
      </c>
      <c r="DG100" s="197">
        <f t="shared" si="284"/>
        <v>294.58495246394193</v>
      </c>
      <c r="DH100" s="197">
        <f t="shared" si="285"/>
        <v>1324.6454227494023</v>
      </c>
      <c r="DI100" s="197">
        <f t="shared" si="286"/>
        <v>-1324.6454227494023</v>
      </c>
      <c r="DJ100" s="199">
        <f t="shared" si="287"/>
        <v>-1030.0604702854605</v>
      </c>
      <c r="DK100" s="196">
        <f t="shared" si="302"/>
        <v>0</v>
      </c>
      <c r="DL100" s="197">
        <f t="shared" si="288"/>
        <v>4898.016188401446</v>
      </c>
      <c r="DM100" s="197">
        <f t="shared" si="289"/>
        <v>16247.143881364336</v>
      </c>
      <c r="DN100" s="197">
        <f t="shared" si="290"/>
        <v>-16247.143881364336</v>
      </c>
      <c r="DO100" s="199">
        <f t="shared" si="291"/>
        <v>-11349.127692962891</v>
      </c>
    </row>
    <row r="101" spans="2:119" x14ac:dyDescent="0.3">
      <c r="B101" s="895">
        <v>14</v>
      </c>
      <c r="C101" s="757">
        <f>'Energy NPV'!$D26</f>
        <v>0</v>
      </c>
      <c r="D101" s="197">
        <f>'Energy Inputs'!$D$58*$E$84</f>
        <v>269.5</v>
      </c>
      <c r="E101" s="197">
        <f t="shared" si="292"/>
        <v>0</v>
      </c>
      <c r="F101" s="197">
        <f>'Margins summary'!$Q$14</f>
        <v>471.64</v>
      </c>
      <c r="G101" s="197">
        <f t="shared" si="237"/>
        <v>471.64</v>
      </c>
      <c r="H101" s="197"/>
      <c r="I101" s="913">
        <f>'Energy NPV'!U26</f>
        <v>0</v>
      </c>
      <c r="J101" s="197"/>
      <c r="K101" s="197">
        <f t="shared" si="238"/>
        <v>0</v>
      </c>
      <c r="L101" s="197">
        <f t="shared" si="227"/>
        <v>0</v>
      </c>
      <c r="M101" s="197">
        <f t="shared" si="228"/>
        <v>471.64</v>
      </c>
      <c r="N101" s="196">
        <f t="shared" si="239"/>
        <v>0</v>
      </c>
      <c r="O101" s="197">
        <f t="shared" si="240"/>
        <v>283.25476198455954</v>
      </c>
      <c r="P101" s="197">
        <f t="shared" si="241"/>
        <v>0</v>
      </c>
      <c r="Q101" s="197">
        <f t="shared" si="242"/>
        <v>0</v>
      </c>
      <c r="R101" s="199">
        <f t="shared" si="243"/>
        <v>283.25476198455954</v>
      </c>
      <c r="S101" s="196">
        <f t="shared" si="293"/>
        <v>20256.257836160206</v>
      </c>
      <c r="T101" s="197">
        <f t="shared" si="244"/>
        <v>5181.270950386006</v>
      </c>
      <c r="U101" s="197">
        <f t="shared" si="245"/>
        <v>16247.143881364336</v>
      </c>
      <c r="V101" s="197">
        <f t="shared" si="246"/>
        <v>4009.1139547958664</v>
      </c>
      <c r="W101" s="199">
        <f t="shared" si="247"/>
        <v>9190.3849051818743</v>
      </c>
      <c r="Z101" s="895">
        <v>14</v>
      </c>
      <c r="AA101" s="756">
        <f>'Energy NPV'!$D26</f>
        <v>0</v>
      </c>
      <c r="AB101" s="197">
        <f>'Energy Inputs'!$D$58*$AB$84</f>
        <v>404.25</v>
      </c>
      <c r="AC101" s="197">
        <f t="shared" si="294"/>
        <v>0</v>
      </c>
      <c r="AD101" s="197">
        <f>'Margins summary'!$Q$14</f>
        <v>471.64</v>
      </c>
      <c r="AE101" s="197">
        <f t="shared" si="248"/>
        <v>471.64</v>
      </c>
      <c r="AF101" s="197"/>
      <c r="AG101" s="913">
        <f>'Energy NPV'!U26</f>
        <v>0</v>
      </c>
      <c r="AH101" s="197"/>
      <c r="AI101" s="197">
        <f t="shared" si="249"/>
        <v>0</v>
      </c>
      <c r="AJ101" s="197">
        <f t="shared" si="229"/>
        <v>0</v>
      </c>
      <c r="AK101" s="197">
        <f t="shared" si="230"/>
        <v>471.64</v>
      </c>
      <c r="AL101" s="196">
        <f t="shared" si="250"/>
        <v>0</v>
      </c>
      <c r="AM101" s="197">
        <f t="shared" si="251"/>
        <v>283.25476198455954</v>
      </c>
      <c r="AN101" s="197">
        <f t="shared" si="252"/>
        <v>0</v>
      </c>
      <c r="AO101" s="197">
        <f t="shared" si="253"/>
        <v>0</v>
      </c>
      <c r="AP101" s="199">
        <f t="shared" si="254"/>
        <v>283.25476198455954</v>
      </c>
      <c r="AQ101" s="196">
        <f t="shared" si="295"/>
        <v>30384.38675424031</v>
      </c>
      <c r="AR101" s="197">
        <f t="shared" si="255"/>
        <v>5181.270950386006</v>
      </c>
      <c r="AS101" s="197">
        <f t="shared" si="256"/>
        <v>16247.143881364336</v>
      </c>
      <c r="AT101" s="197">
        <f t="shared" si="257"/>
        <v>14137.24287287597</v>
      </c>
      <c r="AU101" s="199">
        <f t="shared" si="258"/>
        <v>19318.513823261976</v>
      </c>
      <c r="AX101" s="895">
        <v>14</v>
      </c>
      <c r="AY101" s="756">
        <f>'Energy NPV'!$D26</f>
        <v>0</v>
      </c>
      <c r="AZ101" s="197">
        <f>'Energy Inputs'!$D$58*$AZ$84</f>
        <v>134.75</v>
      </c>
      <c r="BA101" s="197">
        <f t="shared" si="296"/>
        <v>0</v>
      </c>
      <c r="BB101" s="197">
        <f>'Margins summary'!$Q$14</f>
        <v>471.64</v>
      </c>
      <c r="BC101" s="197">
        <f t="shared" si="259"/>
        <v>471.64</v>
      </c>
      <c r="BD101" s="197"/>
      <c r="BE101" s="913">
        <f>'Energy NPV'!U26</f>
        <v>0</v>
      </c>
      <c r="BF101" s="197"/>
      <c r="BG101" s="197">
        <f t="shared" si="260"/>
        <v>0</v>
      </c>
      <c r="BH101" s="197">
        <f t="shared" si="231"/>
        <v>0</v>
      </c>
      <c r="BI101" s="197">
        <f t="shared" si="232"/>
        <v>471.64</v>
      </c>
      <c r="BJ101" s="196">
        <f t="shared" si="261"/>
        <v>0</v>
      </c>
      <c r="BK101" s="197">
        <f t="shared" si="262"/>
        <v>283.25476198455954</v>
      </c>
      <c r="BL101" s="197">
        <f t="shared" si="263"/>
        <v>0</v>
      </c>
      <c r="BM101" s="197">
        <f t="shared" si="264"/>
        <v>0</v>
      </c>
      <c r="BN101" s="199">
        <f t="shared" si="265"/>
        <v>283.25476198455954</v>
      </c>
      <c r="BO101" s="196">
        <f t="shared" si="297"/>
        <v>10128.128918080103</v>
      </c>
      <c r="BP101" s="197">
        <f t="shared" si="266"/>
        <v>5181.270950386006</v>
      </c>
      <c r="BQ101" s="197">
        <f t="shared" si="267"/>
        <v>16247.143881364336</v>
      </c>
      <c r="BR101" s="197">
        <f t="shared" si="268"/>
        <v>-6119.0149632842367</v>
      </c>
      <c r="BS101" s="199">
        <f t="shared" si="269"/>
        <v>-937.7440128982289</v>
      </c>
      <c r="BV101" s="417">
        <v>14</v>
      </c>
      <c r="BW101" s="756">
        <f>'Energy NPV'!$D26</f>
        <v>0</v>
      </c>
      <c r="BX101" s="197">
        <f>'Energy Inputs'!$D$58*$BX$84</f>
        <v>539</v>
      </c>
      <c r="BY101" s="197">
        <f t="shared" si="298"/>
        <v>0</v>
      </c>
      <c r="BZ101" s="197">
        <f>'Margins summary'!$Q$14</f>
        <v>471.64</v>
      </c>
      <c r="CA101" s="197">
        <f t="shared" si="270"/>
        <v>471.64</v>
      </c>
      <c r="CB101" s="197"/>
      <c r="CC101" s="913">
        <f>'Energy NPV'!U26</f>
        <v>0</v>
      </c>
      <c r="CD101" s="197"/>
      <c r="CE101" s="197">
        <f t="shared" si="271"/>
        <v>0</v>
      </c>
      <c r="CF101" s="197">
        <f t="shared" si="233"/>
        <v>0</v>
      </c>
      <c r="CG101" s="197">
        <f t="shared" si="234"/>
        <v>471.64</v>
      </c>
      <c r="CH101" s="196">
        <f t="shared" si="272"/>
        <v>0</v>
      </c>
      <c r="CI101" s="197">
        <f t="shared" si="273"/>
        <v>283.25476198455954</v>
      </c>
      <c r="CJ101" s="197">
        <f t="shared" si="274"/>
        <v>0</v>
      </c>
      <c r="CK101" s="197">
        <f t="shared" si="275"/>
        <v>0</v>
      </c>
      <c r="CL101" s="199">
        <f t="shared" si="276"/>
        <v>283.25476198455954</v>
      </c>
      <c r="CM101" s="196">
        <f t="shared" si="299"/>
        <v>40512.515672320413</v>
      </c>
      <c r="CN101" s="197">
        <f t="shared" si="277"/>
        <v>5181.270950386006</v>
      </c>
      <c r="CO101" s="197">
        <f t="shared" si="278"/>
        <v>16247.143881364336</v>
      </c>
      <c r="CP101" s="197">
        <f t="shared" si="279"/>
        <v>24265.371790956073</v>
      </c>
      <c r="CQ101" s="199">
        <f t="shared" si="280"/>
        <v>29446.642741342079</v>
      </c>
      <c r="CT101" s="204">
        <f t="shared" si="300"/>
        <v>14</v>
      </c>
      <c r="CU101" s="756">
        <f>'Energy NPV'!$D26</f>
        <v>0</v>
      </c>
      <c r="CV101" s="197">
        <f>'Energy Inputs'!$D$58*$CV$84</f>
        <v>0</v>
      </c>
      <c r="CW101" s="197">
        <f t="shared" si="301"/>
        <v>0</v>
      </c>
      <c r="CX101" s="197">
        <f>'Margins summary'!$Q$14</f>
        <v>471.64</v>
      </c>
      <c r="CY101" s="197">
        <f t="shared" si="281"/>
        <v>471.64</v>
      </c>
      <c r="CZ101" s="197"/>
      <c r="DA101" s="913">
        <f>'Energy NPV'!U26</f>
        <v>0</v>
      </c>
      <c r="DB101" s="197"/>
      <c r="DC101" s="197">
        <f t="shared" si="282"/>
        <v>0</v>
      </c>
      <c r="DD101" s="197">
        <f t="shared" si="235"/>
        <v>0</v>
      </c>
      <c r="DE101" s="197">
        <f t="shared" si="236"/>
        <v>471.64</v>
      </c>
      <c r="DF101" s="196">
        <f t="shared" si="283"/>
        <v>0</v>
      </c>
      <c r="DG101" s="197">
        <f t="shared" si="284"/>
        <v>283.25476198455954</v>
      </c>
      <c r="DH101" s="197">
        <f t="shared" si="285"/>
        <v>0</v>
      </c>
      <c r="DI101" s="197">
        <f t="shared" si="286"/>
        <v>0</v>
      </c>
      <c r="DJ101" s="199">
        <f t="shared" si="287"/>
        <v>283.25476198455954</v>
      </c>
      <c r="DK101" s="196">
        <f t="shared" si="302"/>
        <v>0</v>
      </c>
      <c r="DL101" s="197">
        <f t="shared" si="288"/>
        <v>5181.270950386006</v>
      </c>
      <c r="DM101" s="197">
        <f t="shared" si="289"/>
        <v>16247.143881364336</v>
      </c>
      <c r="DN101" s="197">
        <f t="shared" si="290"/>
        <v>-16247.143881364336</v>
      </c>
      <c r="DO101" s="199">
        <f t="shared" si="291"/>
        <v>-11065.872930978332</v>
      </c>
    </row>
    <row r="102" spans="2:119" x14ac:dyDescent="0.3">
      <c r="B102" s="895">
        <v>15</v>
      </c>
      <c r="C102" s="757">
        <f>'Energy NPV'!$D27</f>
        <v>0</v>
      </c>
      <c r="D102" s="197">
        <f>'Energy Inputs'!$D$58*$E$84</f>
        <v>269.5</v>
      </c>
      <c r="E102" s="197">
        <f t="shared" si="292"/>
        <v>0</v>
      </c>
      <c r="F102" s="197">
        <f>'Margins summary'!$Q$14</f>
        <v>471.64</v>
      </c>
      <c r="G102" s="197">
        <f t="shared" si="237"/>
        <v>471.64</v>
      </c>
      <c r="H102" s="197"/>
      <c r="I102" s="913">
        <f>'Energy NPV'!U27</f>
        <v>0</v>
      </c>
      <c r="J102" s="197"/>
      <c r="K102" s="197">
        <f t="shared" si="238"/>
        <v>0</v>
      </c>
      <c r="L102" s="197">
        <f t="shared" si="227"/>
        <v>0</v>
      </c>
      <c r="M102" s="197">
        <f t="shared" si="228"/>
        <v>471.64</v>
      </c>
      <c r="N102" s="196">
        <f t="shared" si="239"/>
        <v>0</v>
      </c>
      <c r="O102" s="197">
        <f t="shared" si="240"/>
        <v>272.36034806207647</v>
      </c>
      <c r="P102" s="197">
        <f t="shared" si="241"/>
        <v>0</v>
      </c>
      <c r="Q102" s="197">
        <f t="shared" si="242"/>
        <v>0</v>
      </c>
      <c r="R102" s="199">
        <f t="shared" si="243"/>
        <v>272.36034806207647</v>
      </c>
      <c r="S102" s="196">
        <f t="shared" si="293"/>
        <v>20256.257836160206</v>
      </c>
      <c r="T102" s="197">
        <f t="shared" si="244"/>
        <v>5453.6312984480828</v>
      </c>
      <c r="U102" s="197">
        <f t="shared" si="245"/>
        <v>16247.143881364336</v>
      </c>
      <c r="V102" s="197">
        <f t="shared" si="246"/>
        <v>4009.1139547958664</v>
      </c>
      <c r="W102" s="199">
        <f t="shared" si="247"/>
        <v>9462.7452532439511</v>
      </c>
      <c r="Z102" s="895">
        <v>15</v>
      </c>
      <c r="AA102" s="756">
        <f>'Energy NPV'!$D27</f>
        <v>0</v>
      </c>
      <c r="AB102" s="197">
        <f>'Energy Inputs'!$D$58*$AB$84</f>
        <v>404.25</v>
      </c>
      <c r="AC102" s="197">
        <f t="shared" si="294"/>
        <v>0</v>
      </c>
      <c r="AD102" s="197">
        <f>'Margins summary'!$Q$14</f>
        <v>471.64</v>
      </c>
      <c r="AE102" s="197">
        <f t="shared" si="248"/>
        <v>471.64</v>
      </c>
      <c r="AF102" s="197"/>
      <c r="AG102" s="913">
        <f>'Energy NPV'!U27</f>
        <v>0</v>
      </c>
      <c r="AH102" s="197"/>
      <c r="AI102" s="197">
        <f t="shared" si="249"/>
        <v>0</v>
      </c>
      <c r="AJ102" s="197">
        <f t="shared" si="229"/>
        <v>0</v>
      </c>
      <c r="AK102" s="197">
        <f t="shared" si="230"/>
        <v>471.64</v>
      </c>
      <c r="AL102" s="196">
        <f t="shared" si="250"/>
        <v>0</v>
      </c>
      <c r="AM102" s="197">
        <f t="shared" si="251"/>
        <v>272.36034806207647</v>
      </c>
      <c r="AN102" s="197">
        <f t="shared" si="252"/>
        <v>0</v>
      </c>
      <c r="AO102" s="197">
        <f t="shared" si="253"/>
        <v>0</v>
      </c>
      <c r="AP102" s="199">
        <f t="shared" si="254"/>
        <v>272.36034806207647</v>
      </c>
      <c r="AQ102" s="196">
        <f t="shared" si="295"/>
        <v>30384.38675424031</v>
      </c>
      <c r="AR102" s="197">
        <f t="shared" si="255"/>
        <v>5453.6312984480828</v>
      </c>
      <c r="AS102" s="197">
        <f t="shared" si="256"/>
        <v>16247.143881364336</v>
      </c>
      <c r="AT102" s="197">
        <f t="shared" si="257"/>
        <v>14137.24287287597</v>
      </c>
      <c r="AU102" s="199">
        <f t="shared" si="258"/>
        <v>19590.874171324052</v>
      </c>
      <c r="AX102" s="895">
        <v>15</v>
      </c>
      <c r="AY102" s="756">
        <f>'Energy NPV'!$D27</f>
        <v>0</v>
      </c>
      <c r="AZ102" s="197">
        <f>'Energy Inputs'!$D$58*$AZ$84</f>
        <v>134.75</v>
      </c>
      <c r="BA102" s="197">
        <f t="shared" si="296"/>
        <v>0</v>
      </c>
      <c r="BB102" s="197">
        <f>'Margins summary'!$Q$14</f>
        <v>471.64</v>
      </c>
      <c r="BC102" s="197">
        <f t="shared" si="259"/>
        <v>471.64</v>
      </c>
      <c r="BD102" s="197"/>
      <c r="BE102" s="913">
        <f>'Energy NPV'!U27</f>
        <v>0</v>
      </c>
      <c r="BF102" s="197"/>
      <c r="BG102" s="197">
        <f t="shared" si="260"/>
        <v>0</v>
      </c>
      <c r="BH102" s="197">
        <f t="shared" si="231"/>
        <v>0</v>
      </c>
      <c r="BI102" s="197">
        <f t="shared" si="232"/>
        <v>471.64</v>
      </c>
      <c r="BJ102" s="196">
        <f t="shared" si="261"/>
        <v>0</v>
      </c>
      <c r="BK102" s="197">
        <f t="shared" si="262"/>
        <v>272.36034806207647</v>
      </c>
      <c r="BL102" s="197">
        <f t="shared" si="263"/>
        <v>0</v>
      </c>
      <c r="BM102" s="197">
        <f t="shared" si="264"/>
        <v>0</v>
      </c>
      <c r="BN102" s="199">
        <f t="shared" si="265"/>
        <v>272.36034806207647</v>
      </c>
      <c r="BO102" s="196">
        <f t="shared" si="297"/>
        <v>10128.128918080103</v>
      </c>
      <c r="BP102" s="197">
        <f t="shared" si="266"/>
        <v>5453.6312984480828</v>
      </c>
      <c r="BQ102" s="197">
        <f t="shared" si="267"/>
        <v>16247.143881364336</v>
      </c>
      <c r="BR102" s="197">
        <f t="shared" si="268"/>
        <v>-6119.0149632842367</v>
      </c>
      <c r="BS102" s="199">
        <f t="shared" si="269"/>
        <v>-665.38366483615243</v>
      </c>
      <c r="BV102" s="417">
        <v>15</v>
      </c>
      <c r="BW102" s="756">
        <f>'Energy NPV'!$D27</f>
        <v>0</v>
      </c>
      <c r="BX102" s="197">
        <f>'Energy Inputs'!$D$58*$BX$84</f>
        <v>539</v>
      </c>
      <c r="BY102" s="197">
        <f t="shared" si="298"/>
        <v>0</v>
      </c>
      <c r="BZ102" s="197">
        <f>'Margins summary'!$Q$14</f>
        <v>471.64</v>
      </c>
      <c r="CA102" s="197">
        <f t="shared" si="270"/>
        <v>471.64</v>
      </c>
      <c r="CB102" s="197"/>
      <c r="CC102" s="913">
        <f>'Energy NPV'!U27</f>
        <v>0</v>
      </c>
      <c r="CD102" s="197"/>
      <c r="CE102" s="197">
        <f t="shared" si="271"/>
        <v>0</v>
      </c>
      <c r="CF102" s="197">
        <f t="shared" si="233"/>
        <v>0</v>
      </c>
      <c r="CG102" s="197">
        <f t="shared" si="234"/>
        <v>471.64</v>
      </c>
      <c r="CH102" s="196">
        <f t="shared" si="272"/>
        <v>0</v>
      </c>
      <c r="CI102" s="197">
        <f t="shared" si="273"/>
        <v>272.36034806207647</v>
      </c>
      <c r="CJ102" s="197">
        <f t="shared" si="274"/>
        <v>0</v>
      </c>
      <c r="CK102" s="197">
        <f t="shared" si="275"/>
        <v>0</v>
      </c>
      <c r="CL102" s="199">
        <f t="shared" si="276"/>
        <v>272.36034806207647</v>
      </c>
      <c r="CM102" s="196">
        <f t="shared" si="299"/>
        <v>40512.515672320413</v>
      </c>
      <c r="CN102" s="197">
        <f t="shared" si="277"/>
        <v>5453.6312984480828</v>
      </c>
      <c r="CO102" s="197">
        <f t="shared" si="278"/>
        <v>16247.143881364336</v>
      </c>
      <c r="CP102" s="197">
        <f t="shared" si="279"/>
        <v>24265.371790956073</v>
      </c>
      <c r="CQ102" s="199">
        <f t="shared" si="280"/>
        <v>29719.003089404156</v>
      </c>
      <c r="CT102" s="204">
        <f t="shared" si="300"/>
        <v>15</v>
      </c>
      <c r="CU102" s="756">
        <f>'Energy NPV'!$D27</f>
        <v>0</v>
      </c>
      <c r="CV102" s="197">
        <f>'Energy Inputs'!$D$58*$CV$84</f>
        <v>0</v>
      </c>
      <c r="CW102" s="197">
        <f t="shared" si="301"/>
        <v>0</v>
      </c>
      <c r="CX102" s="197">
        <f>'Margins summary'!$Q$14</f>
        <v>471.64</v>
      </c>
      <c r="CY102" s="197">
        <f t="shared" si="281"/>
        <v>471.64</v>
      </c>
      <c r="CZ102" s="197"/>
      <c r="DA102" s="913">
        <f>'Energy NPV'!U27</f>
        <v>0</v>
      </c>
      <c r="DB102" s="197"/>
      <c r="DC102" s="197">
        <f t="shared" si="282"/>
        <v>0</v>
      </c>
      <c r="DD102" s="197">
        <f t="shared" si="235"/>
        <v>0</v>
      </c>
      <c r="DE102" s="197">
        <f t="shared" si="236"/>
        <v>471.64</v>
      </c>
      <c r="DF102" s="196">
        <f t="shared" si="283"/>
        <v>0</v>
      </c>
      <c r="DG102" s="197">
        <f t="shared" si="284"/>
        <v>272.36034806207647</v>
      </c>
      <c r="DH102" s="197">
        <f t="shared" si="285"/>
        <v>0</v>
      </c>
      <c r="DI102" s="197">
        <f t="shared" si="286"/>
        <v>0</v>
      </c>
      <c r="DJ102" s="199">
        <f t="shared" si="287"/>
        <v>272.36034806207647</v>
      </c>
      <c r="DK102" s="196">
        <f t="shared" si="302"/>
        <v>0</v>
      </c>
      <c r="DL102" s="197">
        <f t="shared" si="288"/>
        <v>5453.6312984480828</v>
      </c>
      <c r="DM102" s="197">
        <f t="shared" si="289"/>
        <v>16247.143881364336</v>
      </c>
      <c r="DN102" s="197">
        <f t="shared" si="290"/>
        <v>-16247.143881364336</v>
      </c>
      <c r="DO102" s="199">
        <f t="shared" si="291"/>
        <v>-10793.512582916255</v>
      </c>
    </row>
    <row r="103" spans="2:119" x14ac:dyDescent="0.3">
      <c r="B103" s="896">
        <v>16</v>
      </c>
      <c r="C103" s="758">
        <f>'Energy NPV'!$D28</f>
        <v>25</v>
      </c>
      <c r="D103" s="207">
        <f>'Energy Inputs'!$D$58*$E$84</f>
        <v>269.5</v>
      </c>
      <c r="E103" s="207">
        <f t="shared" si="292"/>
        <v>6737.5</v>
      </c>
      <c r="F103" s="207">
        <f>'Margins summary'!$Q$14</f>
        <v>471.64</v>
      </c>
      <c r="G103" s="207">
        <f t="shared" si="237"/>
        <v>7209.14</v>
      </c>
      <c r="H103" s="207"/>
      <c r="I103" s="914">
        <f>'Energy NPV'!U28</f>
        <v>2120.8000000000002</v>
      </c>
      <c r="J103" s="207">
        <f>'Energy margins'!$J$67</f>
        <v>2100</v>
      </c>
      <c r="K103" s="207">
        <f t="shared" si="238"/>
        <v>4220.8</v>
      </c>
      <c r="L103" s="207">
        <f t="shared" si="227"/>
        <v>2516.6999999999998</v>
      </c>
      <c r="M103" s="207">
        <f t="shared" si="228"/>
        <v>2988.34</v>
      </c>
      <c r="N103" s="208">
        <f t="shared" si="239"/>
        <v>3741.0945870306891</v>
      </c>
      <c r="O103" s="207">
        <f t="shared" si="240"/>
        <v>261.88495005968895</v>
      </c>
      <c r="P103" s="207">
        <f t="shared" si="241"/>
        <v>2343.6604130521905</v>
      </c>
      <c r="Q103" s="207">
        <f t="shared" si="242"/>
        <v>1397.4341739784986</v>
      </c>
      <c r="R103" s="209">
        <f>M103/((1+$B$4)^(B103-1))</f>
        <v>1659.3191240381877</v>
      </c>
      <c r="S103" s="208">
        <f t="shared" si="293"/>
        <v>23997.352423190896</v>
      </c>
      <c r="T103" s="207">
        <f t="shared" si="244"/>
        <v>5715.5162485077717</v>
      </c>
      <c r="U103" s="207">
        <f t="shared" si="245"/>
        <v>18590.804294416528</v>
      </c>
      <c r="V103" s="207">
        <f t="shared" si="246"/>
        <v>5406.5481287743651</v>
      </c>
      <c r="W103" s="209">
        <f t="shared" si="247"/>
        <v>11122.064377282139</v>
      </c>
      <c r="Z103" s="896">
        <v>16</v>
      </c>
      <c r="AA103" s="215">
        <f>'Energy NPV'!$D28</f>
        <v>25</v>
      </c>
      <c r="AB103" s="207">
        <f>'Energy Inputs'!$D$58*$AB$84</f>
        <v>404.25</v>
      </c>
      <c r="AC103" s="207">
        <f t="shared" si="294"/>
        <v>10106.25</v>
      </c>
      <c r="AD103" s="207">
        <f>'Margins summary'!$Q$14</f>
        <v>471.64</v>
      </c>
      <c r="AE103" s="207">
        <f t="shared" si="248"/>
        <v>10577.89</v>
      </c>
      <c r="AF103" s="207"/>
      <c r="AG103" s="914">
        <f>'Energy NPV'!U28</f>
        <v>2120.8000000000002</v>
      </c>
      <c r="AH103" s="207">
        <f>'Energy margins'!$J$67</f>
        <v>2100</v>
      </c>
      <c r="AI103" s="207">
        <f t="shared" si="249"/>
        <v>4220.8</v>
      </c>
      <c r="AJ103" s="207">
        <f t="shared" si="229"/>
        <v>5885.45</v>
      </c>
      <c r="AK103" s="207">
        <f t="shared" si="230"/>
        <v>6357.0899999999992</v>
      </c>
      <c r="AL103" s="208">
        <f t="shared" si="250"/>
        <v>5611.6418805460335</v>
      </c>
      <c r="AM103" s="207">
        <f t="shared" si="251"/>
        <v>261.88495005968895</v>
      </c>
      <c r="AN103" s="207">
        <f t="shared" si="252"/>
        <v>2343.6604130521905</v>
      </c>
      <c r="AO103" s="207">
        <f t="shared" si="253"/>
        <v>3267.981467493843</v>
      </c>
      <c r="AP103" s="209">
        <f>AK103/((1+$B$4)^(Z103-1))</f>
        <v>3529.8664175535318</v>
      </c>
      <c r="AQ103" s="208">
        <f>AQ102+AL103</f>
        <v>35996.028634786344</v>
      </c>
      <c r="AR103" s="207">
        <f t="shared" si="255"/>
        <v>5715.5162485077717</v>
      </c>
      <c r="AS103" s="207">
        <f t="shared" si="256"/>
        <v>18590.804294416528</v>
      </c>
      <c r="AT103" s="207">
        <f t="shared" si="257"/>
        <v>17405.224340369812</v>
      </c>
      <c r="AU103" s="209">
        <f t="shared" si="258"/>
        <v>23120.740588877583</v>
      </c>
      <c r="AX103" s="896">
        <v>16</v>
      </c>
      <c r="AY103" s="215">
        <f>'Energy NPV'!$D28</f>
        <v>25</v>
      </c>
      <c r="AZ103" s="207">
        <f>'Energy Inputs'!$D$58*$AZ$84</f>
        <v>134.75</v>
      </c>
      <c r="BA103" s="207">
        <f t="shared" si="296"/>
        <v>3368.75</v>
      </c>
      <c r="BB103" s="207">
        <f>'Margins summary'!$Q$14</f>
        <v>471.64</v>
      </c>
      <c r="BC103" s="207">
        <f t="shared" si="259"/>
        <v>3840.39</v>
      </c>
      <c r="BD103" s="207"/>
      <c r="BE103" s="914">
        <f>'Energy NPV'!U28</f>
        <v>2120.8000000000002</v>
      </c>
      <c r="BF103" s="207">
        <f>'Energy margins'!$J$67</f>
        <v>2100</v>
      </c>
      <c r="BG103" s="207">
        <f t="shared" si="260"/>
        <v>4220.8</v>
      </c>
      <c r="BH103" s="207">
        <f t="shared" si="231"/>
        <v>-852.05000000000018</v>
      </c>
      <c r="BI103" s="207">
        <f t="shared" si="232"/>
        <v>-380.41000000000031</v>
      </c>
      <c r="BJ103" s="208">
        <f t="shared" si="261"/>
        <v>1870.5472935153446</v>
      </c>
      <c r="BK103" s="207">
        <f t="shared" si="262"/>
        <v>261.88495005968895</v>
      </c>
      <c r="BL103" s="207">
        <f t="shared" si="263"/>
        <v>2343.6604130521905</v>
      </c>
      <c r="BM103" s="207">
        <f t="shared" si="264"/>
        <v>-473.11311953684589</v>
      </c>
      <c r="BN103" s="209">
        <f>BI103/((1+$B$4)^(AX103-1))</f>
        <v>-211.22816947715705</v>
      </c>
      <c r="BO103" s="208">
        <f t="shared" si="297"/>
        <v>11998.676211595448</v>
      </c>
      <c r="BP103" s="207">
        <f t="shared" si="266"/>
        <v>5715.5162485077717</v>
      </c>
      <c r="BQ103" s="207">
        <f t="shared" si="267"/>
        <v>18590.804294416528</v>
      </c>
      <c r="BR103" s="207">
        <f t="shared" si="268"/>
        <v>-6592.1280828210829</v>
      </c>
      <c r="BS103" s="209">
        <f t="shared" si="269"/>
        <v>-876.61183431330949</v>
      </c>
      <c r="BV103" s="558">
        <v>16</v>
      </c>
      <c r="BW103" s="215">
        <f>'Energy NPV'!$D28</f>
        <v>25</v>
      </c>
      <c r="BX103" s="207">
        <f>'Energy Inputs'!$D$58*$BX$84</f>
        <v>539</v>
      </c>
      <c r="BY103" s="207">
        <f t="shared" si="298"/>
        <v>13475</v>
      </c>
      <c r="BZ103" s="207">
        <f>'Margins summary'!$Q$14</f>
        <v>471.64</v>
      </c>
      <c r="CA103" s="207">
        <f t="shared" si="270"/>
        <v>13946.64</v>
      </c>
      <c r="CB103" s="207"/>
      <c r="CC103" s="914">
        <f>'Energy NPV'!U28</f>
        <v>2120.8000000000002</v>
      </c>
      <c r="CD103" s="207">
        <f>'Energy margins'!$J$67</f>
        <v>2100</v>
      </c>
      <c r="CE103" s="207">
        <f t="shared" si="271"/>
        <v>4220.8</v>
      </c>
      <c r="CF103" s="207">
        <f t="shared" si="233"/>
        <v>9254.2000000000007</v>
      </c>
      <c r="CG103" s="207">
        <f t="shared" si="234"/>
        <v>9725.84</v>
      </c>
      <c r="CH103" s="208">
        <f t="shared" si="272"/>
        <v>7482.1891740613783</v>
      </c>
      <c r="CI103" s="207">
        <f t="shared" si="273"/>
        <v>261.88495005968895</v>
      </c>
      <c r="CJ103" s="207">
        <f t="shared" si="274"/>
        <v>2343.6604130521905</v>
      </c>
      <c r="CK103" s="207">
        <f t="shared" si="275"/>
        <v>5138.5287610091882</v>
      </c>
      <c r="CL103" s="209">
        <f>CG103/((1+$B$4)^(BV103-1))</f>
        <v>5400.4137110688771</v>
      </c>
      <c r="CM103" s="208">
        <f t="shared" si="299"/>
        <v>47994.704846381792</v>
      </c>
      <c r="CN103" s="207">
        <f t="shared" si="277"/>
        <v>5715.5162485077717</v>
      </c>
      <c r="CO103" s="207">
        <f t="shared" si="278"/>
        <v>18590.804294416528</v>
      </c>
      <c r="CP103" s="207">
        <f t="shared" si="279"/>
        <v>29403.90055196526</v>
      </c>
      <c r="CQ103" s="209">
        <f t="shared" si="280"/>
        <v>35119.416800473031</v>
      </c>
      <c r="CT103" s="206">
        <f t="shared" si="300"/>
        <v>16</v>
      </c>
      <c r="CU103" s="215">
        <f>'Energy NPV'!$D28</f>
        <v>25</v>
      </c>
      <c r="CV103" s="207">
        <f>'Energy Inputs'!$D$58*$CV$84</f>
        <v>0</v>
      </c>
      <c r="CW103" s="207">
        <f t="shared" si="301"/>
        <v>0</v>
      </c>
      <c r="CX103" s="207">
        <f>'Margins summary'!$Q$14</f>
        <v>471.64</v>
      </c>
      <c r="CY103" s="207">
        <f t="shared" si="281"/>
        <v>471.64</v>
      </c>
      <c r="CZ103" s="207"/>
      <c r="DA103" s="914">
        <f>'Energy NPV'!U28</f>
        <v>2120.8000000000002</v>
      </c>
      <c r="DB103" s="207">
        <f>'Energy margins'!$J$67</f>
        <v>2100</v>
      </c>
      <c r="DC103" s="207">
        <f t="shared" si="282"/>
        <v>4220.8</v>
      </c>
      <c r="DD103" s="207">
        <f t="shared" si="235"/>
        <v>-4220.8</v>
      </c>
      <c r="DE103" s="207">
        <f t="shared" si="236"/>
        <v>-3749.1600000000003</v>
      </c>
      <c r="DF103" s="208">
        <f t="shared" si="283"/>
        <v>0</v>
      </c>
      <c r="DG103" s="207">
        <f t="shared" si="284"/>
        <v>261.88495005968895</v>
      </c>
      <c r="DH103" s="207">
        <f t="shared" si="285"/>
        <v>2343.6604130521905</v>
      </c>
      <c r="DI103" s="207">
        <f t="shared" si="286"/>
        <v>-2343.6604130521905</v>
      </c>
      <c r="DJ103" s="209">
        <f>DE103/((1+$B$4)^(CT103-1))</f>
        <v>-2081.7754629925016</v>
      </c>
      <c r="DK103" s="208">
        <f t="shared" si="302"/>
        <v>0</v>
      </c>
      <c r="DL103" s="207">
        <f t="shared" si="288"/>
        <v>5715.5162485077717</v>
      </c>
      <c r="DM103" s="207">
        <f t="shared" si="289"/>
        <v>18590.804294416528</v>
      </c>
      <c r="DN103" s="207">
        <f t="shared" si="290"/>
        <v>-18590.804294416528</v>
      </c>
      <c r="DO103" s="209">
        <f t="shared" si="291"/>
        <v>-12875.288045908757</v>
      </c>
    </row>
    <row r="109" spans="2:119" x14ac:dyDescent="0.3">
      <c r="B109" s="211" t="s">
        <v>93</v>
      </c>
      <c r="C109" s="760" t="s">
        <v>386</v>
      </c>
      <c r="D109" s="269" t="s">
        <v>397</v>
      </c>
      <c r="E109" s="901">
        <v>1</v>
      </c>
      <c r="F109" s="193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Z109" s="211" t="s">
        <v>93</v>
      </c>
      <c r="AA109" s="211" t="s">
        <v>308</v>
      </c>
      <c r="AB109" s="904">
        <v>1.5</v>
      </c>
      <c r="AC109" s="194"/>
      <c r="AD109" s="193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  <c r="AX109" s="211" t="s">
        <v>93</v>
      </c>
      <c r="AY109" s="211" t="s">
        <v>319</v>
      </c>
      <c r="AZ109" s="903">
        <v>0.5</v>
      </c>
      <c r="BA109" s="194"/>
      <c r="BB109" s="193"/>
      <c r="BC109" s="102"/>
      <c r="BD109" s="102"/>
      <c r="BE109" s="102"/>
      <c r="BF109" s="102"/>
      <c r="BG109" s="102"/>
      <c r="BH109" s="102"/>
      <c r="BI109" s="102"/>
      <c r="BJ109" s="102"/>
      <c r="BK109" s="102"/>
      <c r="BL109" s="102"/>
      <c r="BM109" s="102"/>
      <c r="BN109" s="102"/>
      <c r="BO109" s="102"/>
      <c r="BP109" s="102"/>
      <c r="BQ109" s="102"/>
      <c r="BR109" s="102"/>
      <c r="BS109" s="102"/>
      <c r="BV109" s="211" t="s">
        <v>93</v>
      </c>
      <c r="BW109" s="211" t="s">
        <v>320</v>
      </c>
      <c r="BX109" s="903">
        <v>2</v>
      </c>
      <c r="BY109" s="194"/>
      <c r="BZ109" s="193"/>
      <c r="CA109" s="102"/>
      <c r="CB109" s="102"/>
      <c r="CC109" s="102"/>
      <c r="CD109" s="102"/>
      <c r="CE109" s="102"/>
      <c r="CF109" s="102"/>
      <c r="CG109" s="102"/>
      <c r="CH109" s="102"/>
      <c r="CI109" s="102"/>
      <c r="CJ109" s="102"/>
      <c r="CK109" s="102"/>
      <c r="CL109" s="102"/>
      <c r="CM109" s="102"/>
      <c r="CN109" s="102"/>
      <c r="CO109" s="102"/>
      <c r="CP109" s="102"/>
      <c r="CQ109" s="102"/>
      <c r="CT109" s="211" t="s">
        <v>93</v>
      </c>
      <c r="CU109" s="211" t="s">
        <v>321</v>
      </c>
      <c r="CV109" s="903">
        <v>0</v>
      </c>
      <c r="CW109" s="194"/>
      <c r="CX109" s="193"/>
      <c r="CY109" s="102"/>
      <c r="CZ109" s="102"/>
      <c r="DA109" s="102"/>
      <c r="DB109" s="102"/>
      <c r="DC109" s="102"/>
      <c r="DD109" s="102"/>
      <c r="DE109" s="102"/>
      <c r="DF109" s="102"/>
      <c r="DG109" s="102"/>
      <c r="DH109" s="102"/>
      <c r="DI109" s="102"/>
      <c r="DJ109" s="102"/>
      <c r="DK109" s="102"/>
      <c r="DL109" s="102"/>
      <c r="DM109" s="102"/>
      <c r="DN109" s="102"/>
      <c r="DO109" s="102"/>
    </row>
    <row r="110" spans="2:119" x14ac:dyDescent="0.3">
      <c r="B110" s="203"/>
      <c r="C110" s="148"/>
      <c r="D110" s="148"/>
      <c r="E110" s="1082"/>
      <c r="F110" s="1082"/>
      <c r="G110" s="1082"/>
      <c r="H110" s="148"/>
      <c r="I110" s="926"/>
      <c r="J110" s="1082"/>
      <c r="K110" s="1082"/>
      <c r="L110" s="148"/>
      <c r="M110" s="148"/>
      <c r="N110" s="1083" t="s">
        <v>273</v>
      </c>
      <c r="O110" s="1084"/>
      <c r="P110" s="1084"/>
      <c r="Q110" s="1084"/>
      <c r="R110" s="1085"/>
      <c r="S110" s="1083" t="s">
        <v>274</v>
      </c>
      <c r="T110" s="1084"/>
      <c r="U110" s="1084"/>
      <c r="V110" s="1084"/>
      <c r="W110" s="1085"/>
      <c r="Z110" s="203"/>
      <c r="AA110" s="148"/>
      <c r="AB110" s="148"/>
      <c r="AC110" s="985"/>
      <c r="AD110" s="985"/>
      <c r="AE110" s="985"/>
      <c r="AF110" s="148"/>
      <c r="AG110" s="926"/>
      <c r="AH110" s="985"/>
      <c r="AI110" s="985"/>
      <c r="AJ110" s="148"/>
      <c r="AK110" s="148"/>
      <c r="AL110" s="986" t="s">
        <v>273</v>
      </c>
      <c r="AM110" s="987"/>
      <c r="AN110" s="987"/>
      <c r="AO110" s="987"/>
      <c r="AP110" s="988"/>
      <c r="AQ110" s="986" t="s">
        <v>274</v>
      </c>
      <c r="AR110" s="987"/>
      <c r="AS110" s="987"/>
      <c r="AT110" s="987"/>
      <c r="AU110" s="988"/>
      <c r="AX110" s="203"/>
      <c r="AY110" s="148"/>
      <c r="AZ110" s="148"/>
      <c r="BA110" s="985"/>
      <c r="BB110" s="985"/>
      <c r="BC110" s="985"/>
      <c r="BD110" s="148"/>
      <c r="BE110" s="926"/>
      <c r="BF110" s="985"/>
      <c r="BG110" s="985"/>
      <c r="BH110" s="148"/>
      <c r="BI110" s="148"/>
      <c r="BJ110" s="986" t="s">
        <v>273</v>
      </c>
      <c r="BK110" s="987"/>
      <c r="BL110" s="987"/>
      <c r="BM110" s="987"/>
      <c r="BN110" s="988"/>
      <c r="BO110" s="986" t="s">
        <v>274</v>
      </c>
      <c r="BP110" s="987"/>
      <c r="BQ110" s="987"/>
      <c r="BR110" s="987"/>
      <c r="BS110" s="988"/>
      <c r="BV110" s="203"/>
      <c r="BW110" s="148"/>
      <c r="BX110" s="148"/>
      <c r="BY110" s="985"/>
      <c r="BZ110" s="985"/>
      <c r="CA110" s="985"/>
      <c r="CB110" s="148"/>
      <c r="CC110" s="926"/>
      <c r="CD110" s="985"/>
      <c r="CE110" s="985"/>
      <c r="CF110" s="148"/>
      <c r="CG110" s="148"/>
      <c r="CH110" s="986" t="s">
        <v>273</v>
      </c>
      <c r="CI110" s="987"/>
      <c r="CJ110" s="987"/>
      <c r="CK110" s="987"/>
      <c r="CL110" s="988"/>
      <c r="CM110" s="986" t="s">
        <v>274</v>
      </c>
      <c r="CN110" s="987"/>
      <c r="CO110" s="987"/>
      <c r="CP110" s="987"/>
      <c r="CQ110" s="988"/>
      <c r="CT110" s="203"/>
      <c r="CU110" s="148"/>
      <c r="CV110" s="148"/>
      <c r="CW110" s="985"/>
      <c r="CX110" s="985"/>
      <c r="CY110" s="985"/>
      <c r="CZ110" s="148"/>
      <c r="DA110" s="926"/>
      <c r="DB110" s="985"/>
      <c r="DC110" s="985"/>
      <c r="DD110" s="148"/>
      <c r="DE110" s="148"/>
      <c r="DF110" s="986" t="s">
        <v>273</v>
      </c>
      <c r="DG110" s="987"/>
      <c r="DH110" s="987"/>
      <c r="DI110" s="987"/>
      <c r="DJ110" s="988"/>
      <c r="DK110" s="986" t="s">
        <v>274</v>
      </c>
      <c r="DL110" s="987"/>
      <c r="DM110" s="987"/>
      <c r="DN110" s="987"/>
      <c r="DO110" s="988"/>
    </row>
    <row r="111" spans="2:119" ht="51" x14ac:dyDescent="0.3">
      <c r="B111" s="204" t="s">
        <v>275</v>
      </c>
      <c r="C111" s="205" t="s">
        <v>293</v>
      </c>
      <c r="D111" s="205" t="s">
        <v>294</v>
      </c>
      <c r="E111" s="171" t="s">
        <v>622</v>
      </c>
      <c r="F111" s="171" t="s">
        <v>591</v>
      </c>
      <c r="G111" s="171" t="s">
        <v>623</v>
      </c>
      <c r="H111" s="205" t="s">
        <v>291</v>
      </c>
      <c r="I111" s="930" t="str">
        <f>'Energy NPV'!U37</f>
        <v>Total Recurring Costs</v>
      </c>
      <c r="J111" s="205" t="s">
        <v>295</v>
      </c>
      <c r="K111" s="171" t="s">
        <v>279</v>
      </c>
      <c r="L111" s="171" t="s">
        <v>624</v>
      </c>
      <c r="M111" s="171" t="s">
        <v>625</v>
      </c>
      <c r="N111" s="195" t="s">
        <v>280</v>
      </c>
      <c r="O111" s="171" t="s">
        <v>626</v>
      </c>
      <c r="P111" s="171" t="s">
        <v>281</v>
      </c>
      <c r="Q111" s="171" t="s">
        <v>627</v>
      </c>
      <c r="R111" s="198" t="s">
        <v>282</v>
      </c>
      <c r="S111" s="195" t="s">
        <v>283</v>
      </c>
      <c r="T111" s="171" t="s">
        <v>628</v>
      </c>
      <c r="U111" s="171" t="s">
        <v>284</v>
      </c>
      <c r="V111" s="171" t="s">
        <v>629</v>
      </c>
      <c r="W111" s="198" t="s">
        <v>285</v>
      </c>
      <c r="Z111" s="204" t="s">
        <v>275</v>
      </c>
      <c r="AA111" s="205" t="s">
        <v>293</v>
      </c>
      <c r="AB111" s="205" t="s">
        <v>294</v>
      </c>
      <c r="AC111" s="171" t="s">
        <v>622</v>
      </c>
      <c r="AD111" s="171" t="s">
        <v>591</v>
      </c>
      <c r="AE111" s="171" t="s">
        <v>623</v>
      </c>
      <c r="AF111" s="205" t="s">
        <v>291</v>
      </c>
      <c r="AG111" s="930" t="str">
        <f>'Energy NPV'!U37</f>
        <v>Total Recurring Costs</v>
      </c>
      <c r="AH111" s="205" t="s">
        <v>295</v>
      </c>
      <c r="AI111" s="171" t="s">
        <v>279</v>
      </c>
      <c r="AJ111" s="171" t="s">
        <v>624</v>
      </c>
      <c r="AK111" s="171" t="s">
        <v>625</v>
      </c>
      <c r="AL111" s="195" t="s">
        <v>280</v>
      </c>
      <c r="AM111" s="171" t="s">
        <v>626</v>
      </c>
      <c r="AN111" s="171" t="s">
        <v>281</v>
      </c>
      <c r="AO111" s="171" t="s">
        <v>627</v>
      </c>
      <c r="AP111" s="198" t="s">
        <v>282</v>
      </c>
      <c r="AQ111" s="195" t="s">
        <v>283</v>
      </c>
      <c r="AR111" s="171" t="s">
        <v>628</v>
      </c>
      <c r="AS111" s="171" t="s">
        <v>284</v>
      </c>
      <c r="AT111" s="171" t="s">
        <v>629</v>
      </c>
      <c r="AU111" s="198" t="s">
        <v>285</v>
      </c>
      <c r="AX111" s="204" t="s">
        <v>275</v>
      </c>
      <c r="AY111" s="205" t="s">
        <v>293</v>
      </c>
      <c r="AZ111" s="205" t="s">
        <v>294</v>
      </c>
      <c r="BA111" s="171" t="s">
        <v>622</v>
      </c>
      <c r="BB111" s="171" t="s">
        <v>591</v>
      </c>
      <c r="BC111" s="171" t="s">
        <v>623</v>
      </c>
      <c r="BD111" s="205" t="s">
        <v>291</v>
      </c>
      <c r="BE111" s="930" t="str">
        <f>'Energy NPV'!U37</f>
        <v>Total Recurring Costs</v>
      </c>
      <c r="BF111" s="205" t="s">
        <v>295</v>
      </c>
      <c r="BG111" s="171" t="s">
        <v>279</v>
      </c>
      <c r="BH111" s="171" t="s">
        <v>624</v>
      </c>
      <c r="BI111" s="171" t="s">
        <v>625</v>
      </c>
      <c r="BJ111" s="195" t="s">
        <v>280</v>
      </c>
      <c r="BK111" s="171" t="s">
        <v>626</v>
      </c>
      <c r="BL111" s="171" t="s">
        <v>281</v>
      </c>
      <c r="BM111" s="171" t="s">
        <v>627</v>
      </c>
      <c r="BN111" s="198" t="s">
        <v>282</v>
      </c>
      <c r="BO111" s="195" t="s">
        <v>283</v>
      </c>
      <c r="BP111" s="171" t="s">
        <v>628</v>
      </c>
      <c r="BQ111" s="171" t="s">
        <v>284</v>
      </c>
      <c r="BR111" s="171" t="s">
        <v>629</v>
      </c>
      <c r="BS111" s="198" t="s">
        <v>285</v>
      </c>
      <c r="BV111" s="204" t="s">
        <v>275</v>
      </c>
      <c r="BW111" s="205" t="s">
        <v>293</v>
      </c>
      <c r="BX111" s="205" t="s">
        <v>294</v>
      </c>
      <c r="BY111" s="171" t="s">
        <v>622</v>
      </c>
      <c r="BZ111" s="171" t="s">
        <v>591</v>
      </c>
      <c r="CA111" s="171" t="s">
        <v>623</v>
      </c>
      <c r="CB111" s="205" t="s">
        <v>291</v>
      </c>
      <c r="CC111" s="930" t="str">
        <f>'Energy NPV'!U37</f>
        <v>Total Recurring Costs</v>
      </c>
      <c r="CD111" s="205" t="s">
        <v>295</v>
      </c>
      <c r="CE111" s="171" t="s">
        <v>279</v>
      </c>
      <c r="CF111" s="171" t="s">
        <v>624</v>
      </c>
      <c r="CG111" s="171" t="s">
        <v>625</v>
      </c>
      <c r="CH111" s="195" t="s">
        <v>280</v>
      </c>
      <c r="CI111" s="171" t="s">
        <v>626</v>
      </c>
      <c r="CJ111" s="171" t="s">
        <v>281</v>
      </c>
      <c r="CK111" s="171" t="s">
        <v>627</v>
      </c>
      <c r="CL111" s="198" t="s">
        <v>282</v>
      </c>
      <c r="CM111" s="195" t="s">
        <v>283</v>
      </c>
      <c r="CN111" s="171" t="s">
        <v>628</v>
      </c>
      <c r="CO111" s="171" t="s">
        <v>284</v>
      </c>
      <c r="CP111" s="171" t="s">
        <v>629</v>
      </c>
      <c r="CQ111" s="198" t="s">
        <v>285</v>
      </c>
      <c r="CT111" s="204" t="s">
        <v>275</v>
      </c>
      <c r="CU111" s="205" t="s">
        <v>293</v>
      </c>
      <c r="CV111" s="205" t="s">
        <v>294</v>
      </c>
      <c r="CW111" s="171" t="s">
        <v>622</v>
      </c>
      <c r="CX111" s="171" t="s">
        <v>591</v>
      </c>
      <c r="CY111" s="171" t="s">
        <v>623</v>
      </c>
      <c r="CZ111" s="205" t="s">
        <v>291</v>
      </c>
      <c r="DA111" s="930" t="str">
        <f>'Energy NPV'!U37</f>
        <v>Total Recurring Costs</v>
      </c>
      <c r="DB111" s="205" t="s">
        <v>295</v>
      </c>
      <c r="DC111" s="171" t="s">
        <v>279</v>
      </c>
      <c r="DD111" s="171" t="s">
        <v>624</v>
      </c>
      <c r="DE111" s="171" t="s">
        <v>625</v>
      </c>
      <c r="DF111" s="195" t="s">
        <v>280</v>
      </c>
      <c r="DG111" s="171" t="s">
        <v>626</v>
      </c>
      <c r="DH111" s="171" t="s">
        <v>281</v>
      </c>
      <c r="DI111" s="171" t="s">
        <v>627</v>
      </c>
      <c r="DJ111" s="198" t="s">
        <v>282</v>
      </c>
      <c r="DK111" s="195" t="s">
        <v>283</v>
      </c>
      <c r="DL111" s="171" t="s">
        <v>628</v>
      </c>
      <c r="DM111" s="171" t="s">
        <v>284</v>
      </c>
      <c r="DN111" s="171" t="s">
        <v>629</v>
      </c>
      <c r="DO111" s="198" t="s">
        <v>285</v>
      </c>
    </row>
    <row r="112" spans="2:119" x14ac:dyDescent="0.3">
      <c r="B112" s="173"/>
      <c r="C112" s="226" t="s">
        <v>336</v>
      </c>
      <c r="D112" s="226" t="s">
        <v>573</v>
      </c>
      <c r="E112" s="201" t="s">
        <v>571</v>
      </c>
      <c r="F112" s="201" t="s">
        <v>571</v>
      </c>
      <c r="G112" s="201" t="s">
        <v>571</v>
      </c>
      <c r="H112" s="201" t="s">
        <v>571</v>
      </c>
      <c r="I112" s="964" t="str">
        <f>'Energy NPV'!U38</f>
        <v>(PLN ha-1)</v>
      </c>
      <c r="J112" s="201" t="s">
        <v>571</v>
      </c>
      <c r="K112" s="201" t="s">
        <v>571</v>
      </c>
      <c r="L112" s="201" t="s">
        <v>571</v>
      </c>
      <c r="M112" s="202" t="s">
        <v>571</v>
      </c>
      <c r="N112" s="201" t="s">
        <v>571</v>
      </c>
      <c r="O112" s="201" t="s">
        <v>571</v>
      </c>
      <c r="P112" s="201" t="s">
        <v>571</v>
      </c>
      <c r="Q112" s="201" t="s">
        <v>571</v>
      </c>
      <c r="R112" s="202" t="s">
        <v>571</v>
      </c>
      <c r="S112" s="201" t="s">
        <v>571</v>
      </c>
      <c r="T112" s="201" t="s">
        <v>571</v>
      </c>
      <c r="U112" s="201" t="s">
        <v>571</v>
      </c>
      <c r="V112" s="201" t="s">
        <v>571</v>
      </c>
      <c r="W112" s="202" t="s">
        <v>571</v>
      </c>
      <c r="Z112" s="173"/>
      <c r="AA112" s="226" t="s">
        <v>336</v>
      </c>
      <c r="AB112" s="226" t="s">
        <v>573</v>
      </c>
      <c r="AC112" s="201" t="s">
        <v>571</v>
      </c>
      <c r="AD112" s="201" t="s">
        <v>571</v>
      </c>
      <c r="AE112" s="201" t="s">
        <v>571</v>
      </c>
      <c r="AF112" s="201" t="s">
        <v>571</v>
      </c>
      <c r="AG112" s="964" t="str">
        <f>'Energy NPV'!U38</f>
        <v>(PLN ha-1)</v>
      </c>
      <c r="AH112" s="201" t="s">
        <v>571</v>
      </c>
      <c r="AI112" s="201" t="s">
        <v>571</v>
      </c>
      <c r="AJ112" s="201" t="s">
        <v>571</v>
      </c>
      <c r="AK112" s="202" t="s">
        <v>571</v>
      </c>
      <c r="AL112" s="201" t="s">
        <v>571</v>
      </c>
      <c r="AM112" s="201" t="s">
        <v>571</v>
      </c>
      <c r="AN112" s="201" t="s">
        <v>571</v>
      </c>
      <c r="AO112" s="201" t="s">
        <v>571</v>
      </c>
      <c r="AP112" s="202" t="s">
        <v>571</v>
      </c>
      <c r="AQ112" s="201" t="s">
        <v>571</v>
      </c>
      <c r="AR112" s="201" t="s">
        <v>571</v>
      </c>
      <c r="AS112" s="201" t="s">
        <v>571</v>
      </c>
      <c r="AT112" s="201" t="s">
        <v>571</v>
      </c>
      <c r="AU112" s="202" t="s">
        <v>571</v>
      </c>
      <c r="AX112" s="173"/>
      <c r="AY112" s="226" t="s">
        <v>336</v>
      </c>
      <c r="AZ112" s="226" t="s">
        <v>573</v>
      </c>
      <c r="BA112" s="201" t="s">
        <v>571</v>
      </c>
      <c r="BB112" s="201" t="s">
        <v>571</v>
      </c>
      <c r="BC112" s="201" t="s">
        <v>571</v>
      </c>
      <c r="BD112" s="201" t="s">
        <v>571</v>
      </c>
      <c r="BE112" s="964" t="str">
        <f>'Energy NPV'!U38</f>
        <v>(PLN ha-1)</v>
      </c>
      <c r="BF112" s="201" t="s">
        <v>571</v>
      </c>
      <c r="BG112" s="201" t="s">
        <v>571</v>
      </c>
      <c r="BH112" s="201" t="s">
        <v>571</v>
      </c>
      <c r="BI112" s="202" t="s">
        <v>571</v>
      </c>
      <c r="BJ112" s="201" t="s">
        <v>571</v>
      </c>
      <c r="BK112" s="201" t="s">
        <v>571</v>
      </c>
      <c r="BL112" s="201" t="s">
        <v>571</v>
      </c>
      <c r="BM112" s="201" t="s">
        <v>571</v>
      </c>
      <c r="BN112" s="202" t="s">
        <v>571</v>
      </c>
      <c r="BO112" s="201" t="s">
        <v>571</v>
      </c>
      <c r="BP112" s="201" t="s">
        <v>571</v>
      </c>
      <c r="BQ112" s="201" t="s">
        <v>571</v>
      </c>
      <c r="BR112" s="201" t="s">
        <v>571</v>
      </c>
      <c r="BS112" s="202" t="s">
        <v>571</v>
      </c>
      <c r="BV112" s="173"/>
      <c r="BW112" s="226" t="s">
        <v>336</v>
      </c>
      <c r="BX112" s="226" t="s">
        <v>573</v>
      </c>
      <c r="BY112" s="201" t="s">
        <v>571</v>
      </c>
      <c r="BZ112" s="201" t="s">
        <v>571</v>
      </c>
      <c r="CA112" s="201" t="s">
        <v>571</v>
      </c>
      <c r="CB112" s="201" t="s">
        <v>571</v>
      </c>
      <c r="CC112" s="964" t="str">
        <f>'Energy NPV'!U38</f>
        <v>(PLN ha-1)</v>
      </c>
      <c r="CD112" s="201" t="s">
        <v>571</v>
      </c>
      <c r="CE112" s="201" t="s">
        <v>571</v>
      </c>
      <c r="CF112" s="201" t="s">
        <v>571</v>
      </c>
      <c r="CG112" s="202" t="s">
        <v>571</v>
      </c>
      <c r="CH112" s="201" t="s">
        <v>571</v>
      </c>
      <c r="CI112" s="201" t="s">
        <v>571</v>
      </c>
      <c r="CJ112" s="201" t="s">
        <v>571</v>
      </c>
      <c r="CK112" s="201" t="s">
        <v>571</v>
      </c>
      <c r="CL112" s="202" t="s">
        <v>571</v>
      </c>
      <c r="CM112" s="201" t="s">
        <v>571</v>
      </c>
      <c r="CN112" s="201" t="s">
        <v>571</v>
      </c>
      <c r="CO112" s="201" t="s">
        <v>571</v>
      </c>
      <c r="CP112" s="201" t="s">
        <v>571</v>
      </c>
      <c r="CQ112" s="202" t="s">
        <v>571</v>
      </c>
      <c r="CT112" s="173"/>
      <c r="CU112" s="226" t="s">
        <v>336</v>
      </c>
      <c r="CV112" s="226" t="s">
        <v>573</v>
      </c>
      <c r="CW112" s="201" t="s">
        <v>571</v>
      </c>
      <c r="CX112" s="201" t="s">
        <v>571</v>
      </c>
      <c r="CY112" s="201" t="s">
        <v>571</v>
      </c>
      <c r="CZ112" s="201" t="s">
        <v>571</v>
      </c>
      <c r="DA112" s="964" t="str">
        <f>'Energy NPV'!U38</f>
        <v>(PLN ha-1)</v>
      </c>
      <c r="DB112" s="201" t="s">
        <v>571</v>
      </c>
      <c r="DC112" s="201" t="s">
        <v>571</v>
      </c>
      <c r="DD112" s="201" t="s">
        <v>571</v>
      </c>
      <c r="DE112" s="202" t="s">
        <v>571</v>
      </c>
      <c r="DF112" s="201" t="s">
        <v>571</v>
      </c>
      <c r="DG112" s="201" t="s">
        <v>571</v>
      </c>
      <c r="DH112" s="201" t="s">
        <v>571</v>
      </c>
      <c r="DI112" s="201" t="s">
        <v>571</v>
      </c>
      <c r="DJ112" s="202" t="s">
        <v>571</v>
      </c>
      <c r="DK112" s="201" t="s">
        <v>571</v>
      </c>
      <c r="DL112" s="201" t="s">
        <v>571</v>
      </c>
      <c r="DM112" s="201" t="s">
        <v>571</v>
      </c>
      <c r="DN112" s="201" t="s">
        <v>571</v>
      </c>
      <c r="DO112" s="202" t="s">
        <v>571</v>
      </c>
    </row>
    <row r="113" spans="2:119" x14ac:dyDescent="0.3">
      <c r="B113" s="894">
        <v>1</v>
      </c>
      <c r="C113" s="757">
        <f>'Energy NPV'!$D39</f>
        <v>0.6</v>
      </c>
      <c r="D113" s="197">
        <f>'Energy Inputs'!$E$58*$E$109</f>
        <v>269.5</v>
      </c>
      <c r="E113" s="197">
        <f>C113*D113</f>
        <v>161.69999999999999</v>
      </c>
      <c r="F113" s="197">
        <f>'Margins summary'!$S$14</f>
        <v>471.64</v>
      </c>
      <c r="G113" s="197">
        <f>E113+F113</f>
        <v>633.33999999999992</v>
      </c>
      <c r="H113" s="197">
        <f>'Margins summary'!$R$20</f>
        <v>66298.2</v>
      </c>
      <c r="I113" s="913">
        <f>'Energy NPV'!U39</f>
        <v>0</v>
      </c>
      <c r="J113" s="197"/>
      <c r="K113" s="197">
        <f>H113+I113+J113</f>
        <v>66298.2</v>
      </c>
      <c r="L113" s="197">
        <f t="shared" ref="L113:L128" si="303">E113-K113</f>
        <v>-66136.5</v>
      </c>
      <c r="M113" s="197">
        <f t="shared" ref="M113:M128" si="304">G113-K113</f>
        <v>-65664.86</v>
      </c>
      <c r="N113" s="1014">
        <f>E113/((1+$B$4)^(B113-1))</f>
        <v>161.69999999999999</v>
      </c>
      <c r="O113" s="213">
        <f>F113/((1+$B$4)^(B113-1))</f>
        <v>471.64</v>
      </c>
      <c r="P113" s="213">
        <f>K113/((1+$B$4)^(B113-1))</f>
        <v>66298.2</v>
      </c>
      <c r="Q113" s="213">
        <f>L113/((1+$B$4)^(B113-1))</f>
        <v>-66136.5</v>
      </c>
      <c r="R113" s="924">
        <f>M113/((1+$B$4)^(B113-1))</f>
        <v>-65664.86</v>
      </c>
      <c r="S113" s="196">
        <f>N113</f>
        <v>161.69999999999999</v>
      </c>
      <c r="T113" s="197">
        <f>O113</f>
        <v>471.64</v>
      </c>
      <c r="U113" s="197">
        <f>P113</f>
        <v>66298.2</v>
      </c>
      <c r="V113" s="197">
        <f>Q113</f>
        <v>-66136.5</v>
      </c>
      <c r="W113" s="199">
        <f>R113</f>
        <v>-65664.86</v>
      </c>
      <c r="Z113" s="894">
        <v>1</v>
      </c>
      <c r="AA113" s="757">
        <f>$C113</f>
        <v>0.6</v>
      </c>
      <c r="AB113" s="197">
        <f>'Energy Inputs'!$E$58*$AB$109</f>
        <v>404.25</v>
      </c>
      <c r="AC113" s="197">
        <f>AA113*AB113</f>
        <v>242.54999999999998</v>
      </c>
      <c r="AD113" s="197">
        <f>'Margins summary'!$S$14</f>
        <v>471.64</v>
      </c>
      <c r="AE113" s="197">
        <f>AC113+AD113</f>
        <v>714.18999999999994</v>
      </c>
      <c r="AF113" s="197">
        <f>'Margins summary'!$R$20</f>
        <v>66298.2</v>
      </c>
      <c r="AG113" s="913">
        <f>'Energy NPV'!U39</f>
        <v>0</v>
      </c>
      <c r="AH113" s="197"/>
      <c r="AI113" s="197">
        <f>AF113+AG113+AH113</f>
        <v>66298.2</v>
      </c>
      <c r="AJ113" s="197">
        <f t="shared" ref="AJ113:AJ128" si="305">AC113-AI113</f>
        <v>-66055.649999999994</v>
      </c>
      <c r="AK113" s="197">
        <f t="shared" ref="AK113:AK128" si="306">AE113-AI113</f>
        <v>-65584.009999999995</v>
      </c>
      <c r="AL113" s="1014">
        <f>AC113/((1+$B$4)^(Z113-1))</f>
        <v>242.54999999999998</v>
      </c>
      <c r="AM113" s="213">
        <f>AD113/((1+$B$4)^(Z113-1))</f>
        <v>471.64</v>
      </c>
      <c r="AN113" s="213">
        <f>AI113/((1+$B$4)^(Z113-1))</f>
        <v>66298.2</v>
      </c>
      <c r="AO113" s="213">
        <f>AJ113/((1+$B$4)^(Z113-1))</f>
        <v>-66055.649999999994</v>
      </c>
      <c r="AP113" s="924">
        <f>AK113/((1+$B$4)^(Z113-1))</f>
        <v>-65584.009999999995</v>
      </c>
      <c r="AQ113" s="196">
        <f>AL113</f>
        <v>242.54999999999998</v>
      </c>
      <c r="AR113" s="197">
        <f>AM113</f>
        <v>471.64</v>
      </c>
      <c r="AS113" s="197">
        <f>AN113</f>
        <v>66298.2</v>
      </c>
      <c r="AT113" s="197">
        <f>AO113</f>
        <v>-66055.649999999994</v>
      </c>
      <c r="AU113" s="199">
        <f>AP113</f>
        <v>-65584.009999999995</v>
      </c>
      <c r="AX113" s="894">
        <v>1</v>
      </c>
      <c r="AY113" s="757">
        <f>$C113</f>
        <v>0.6</v>
      </c>
      <c r="AZ113" s="197">
        <f>'Energy Inputs'!$E$58*$AZ$109</f>
        <v>134.75</v>
      </c>
      <c r="BA113" s="197">
        <f>AY113*AZ113</f>
        <v>80.849999999999994</v>
      </c>
      <c r="BB113" s="197">
        <f>'Margins summary'!$S$14</f>
        <v>471.64</v>
      </c>
      <c r="BC113" s="197">
        <f>BA113+BB113</f>
        <v>552.49</v>
      </c>
      <c r="BD113" s="197">
        <f>'Margins summary'!$R$20</f>
        <v>66298.2</v>
      </c>
      <c r="BE113" s="913">
        <f>'Energy NPV'!U39</f>
        <v>0</v>
      </c>
      <c r="BF113" s="197"/>
      <c r="BG113" s="197">
        <f>BD113+BE113+BF113</f>
        <v>66298.2</v>
      </c>
      <c r="BH113" s="197">
        <f t="shared" ref="BH113:BH128" si="307">BA113-BG113</f>
        <v>-66217.349999999991</v>
      </c>
      <c r="BI113" s="197">
        <f t="shared" ref="BI113:BI128" si="308">BC113-BG113</f>
        <v>-65745.709999999992</v>
      </c>
      <c r="BJ113" s="1014">
        <f>BA113/((1+$B$4)^(AX113-1))</f>
        <v>80.849999999999994</v>
      </c>
      <c r="BK113" s="213">
        <f>BB113/((1+$B$4)^(AX113-1))</f>
        <v>471.64</v>
      </c>
      <c r="BL113" s="213">
        <f>BG113/((1+$B$4)^(AX113-1))</f>
        <v>66298.2</v>
      </c>
      <c r="BM113" s="213">
        <f>BH113/((1+$B$4)^(AX113-1))</f>
        <v>-66217.349999999991</v>
      </c>
      <c r="BN113" s="924">
        <f>BI113/((1+$B$4)^(AX113-1))</f>
        <v>-65745.709999999992</v>
      </c>
      <c r="BO113" s="196">
        <f>BJ113</f>
        <v>80.849999999999994</v>
      </c>
      <c r="BP113" s="197">
        <f>BK113</f>
        <v>471.64</v>
      </c>
      <c r="BQ113" s="197">
        <f>BL113</f>
        <v>66298.2</v>
      </c>
      <c r="BR113" s="197">
        <f>BM113</f>
        <v>-66217.349999999991</v>
      </c>
      <c r="BS113" s="199">
        <f>BN113</f>
        <v>-65745.709999999992</v>
      </c>
      <c r="BV113" s="894">
        <v>1</v>
      </c>
      <c r="BW113" s="757">
        <f>$C113</f>
        <v>0.6</v>
      </c>
      <c r="BX113" s="197">
        <f>'Energy Inputs'!$E$58*$BX$109</f>
        <v>539</v>
      </c>
      <c r="BY113" s="197">
        <f>BW113*BX113</f>
        <v>323.39999999999998</v>
      </c>
      <c r="BZ113" s="197">
        <f>'Margins summary'!$S$14</f>
        <v>471.64</v>
      </c>
      <c r="CA113" s="197">
        <f>BY113+BZ113</f>
        <v>795.04</v>
      </c>
      <c r="CB113" s="197">
        <f>'Margins summary'!$R$20</f>
        <v>66298.2</v>
      </c>
      <c r="CC113" s="913">
        <f>'Energy NPV'!U39</f>
        <v>0</v>
      </c>
      <c r="CD113" s="197"/>
      <c r="CE113" s="197">
        <f>CB113+CC113+CD113</f>
        <v>66298.2</v>
      </c>
      <c r="CF113" s="197">
        <f t="shared" ref="CF113:CF128" si="309">BY113-CE113</f>
        <v>-65974.8</v>
      </c>
      <c r="CG113" s="197">
        <f t="shared" ref="CG113:CG128" si="310">CA113-CE113</f>
        <v>-65503.159999999996</v>
      </c>
      <c r="CH113" s="1014">
        <f>BY113/((1+$B$4)^(BV113-1))</f>
        <v>323.39999999999998</v>
      </c>
      <c r="CI113" s="213">
        <f>BZ113/((1+$B$4)^(BV113-1))</f>
        <v>471.64</v>
      </c>
      <c r="CJ113" s="213">
        <f>CE113/((1+$B$4)^(BV113-1))</f>
        <v>66298.2</v>
      </c>
      <c r="CK113" s="213">
        <f>CF113/((1+$B$4)^(BV113-1))</f>
        <v>-65974.8</v>
      </c>
      <c r="CL113" s="924">
        <f>CG113/((1+$B$4)^(BV113-1))</f>
        <v>-65503.159999999996</v>
      </c>
      <c r="CM113" s="196">
        <f>CH113</f>
        <v>323.39999999999998</v>
      </c>
      <c r="CN113" s="197">
        <f>CI113</f>
        <v>471.64</v>
      </c>
      <c r="CO113" s="197">
        <f>CJ113</f>
        <v>66298.2</v>
      </c>
      <c r="CP113" s="197">
        <f>CK113</f>
        <v>-65974.8</v>
      </c>
      <c r="CQ113" s="199">
        <f>CL113</f>
        <v>-65503.159999999996</v>
      </c>
      <c r="CT113" s="204">
        <v>1</v>
      </c>
      <c r="CU113" s="757">
        <f>$C113</f>
        <v>0.6</v>
      </c>
      <c r="CV113" s="213">
        <f>'Energy Inputs'!$E$58*$CV$109</f>
        <v>0</v>
      </c>
      <c r="CW113" s="197">
        <f>CU113*CV113</f>
        <v>0</v>
      </c>
      <c r="CX113" s="197">
        <f>'Margins summary'!$S$14</f>
        <v>471.64</v>
      </c>
      <c r="CY113" s="197">
        <f>CW113+CX113</f>
        <v>471.64</v>
      </c>
      <c r="CZ113" s="197">
        <f>'Margins summary'!$R$20</f>
        <v>66298.2</v>
      </c>
      <c r="DA113" s="913">
        <f>'Energy NPV'!U39</f>
        <v>0</v>
      </c>
      <c r="DB113" s="197"/>
      <c r="DC113" s="197">
        <f>CZ113+DA113+DB113</f>
        <v>66298.2</v>
      </c>
      <c r="DD113" s="197">
        <f t="shared" ref="DD113:DD128" si="311">CW113-DC113</f>
        <v>-66298.2</v>
      </c>
      <c r="DE113" s="197">
        <f t="shared" ref="DE113:DE128" si="312">CY113-DC113</f>
        <v>-65826.559999999998</v>
      </c>
      <c r="DF113" s="1014">
        <f>CW113/((1+$B$4)^(CT113-1))</f>
        <v>0</v>
      </c>
      <c r="DG113" s="213">
        <f>CX113/((1+$B$4)^(CT113-1))</f>
        <v>471.64</v>
      </c>
      <c r="DH113" s="213">
        <f>DC113/((1+$B$4)^(CT113-1))</f>
        <v>66298.2</v>
      </c>
      <c r="DI113" s="213">
        <f>DD113/((1+$B$4)^(CT113-1))</f>
        <v>-66298.2</v>
      </c>
      <c r="DJ113" s="924">
        <f>DE113/((1+$B$4)^(CT113-1))</f>
        <v>-65826.559999999998</v>
      </c>
      <c r="DK113" s="196">
        <f>DF113</f>
        <v>0</v>
      </c>
      <c r="DL113" s="197">
        <f>DG113</f>
        <v>471.64</v>
      </c>
      <c r="DM113" s="197">
        <f>DH113</f>
        <v>66298.2</v>
      </c>
      <c r="DN113" s="197">
        <f>DI113</f>
        <v>-66298.2</v>
      </c>
      <c r="DO113" s="199">
        <f>DJ113</f>
        <v>-65826.559999999998</v>
      </c>
    </row>
    <row r="114" spans="2:119" x14ac:dyDescent="0.3">
      <c r="B114" s="895">
        <v>2</v>
      </c>
      <c r="C114" s="757">
        <f>'Energy NPV'!$D40</f>
        <v>3.9250000000000007</v>
      </c>
      <c r="D114" s="197">
        <f>'Energy Inputs'!$E$58*$E$109</f>
        <v>269.5</v>
      </c>
      <c r="E114" s="197">
        <f>C114*D114</f>
        <v>1057.7875000000001</v>
      </c>
      <c r="F114" s="197">
        <f>'Margins summary'!$S$14</f>
        <v>471.64</v>
      </c>
      <c r="G114" s="197">
        <f t="shared" ref="G114:G128" si="313">E114+F114</f>
        <v>1529.4275000000002</v>
      </c>
      <c r="H114" s="197"/>
      <c r="I114" s="913">
        <f>'Energy NPV'!U40</f>
        <v>2491.768</v>
      </c>
      <c r="J114" s="197"/>
      <c r="K114" s="197">
        <f t="shared" ref="K114:K128" si="314">H114+I114+J114</f>
        <v>2491.768</v>
      </c>
      <c r="L114" s="197">
        <f t="shared" si="303"/>
        <v>-1433.9804999999999</v>
      </c>
      <c r="M114" s="197">
        <f t="shared" si="304"/>
        <v>-962.34049999999979</v>
      </c>
      <c r="N114" s="196">
        <f t="shared" ref="N114:N128" si="315">E114/((1+$B$4)^(B114-1))</f>
        <v>1017.1033653846155</v>
      </c>
      <c r="O114" s="197">
        <f t="shared" ref="O114:O128" si="316">F114/((1+$B$4)^(B114-1))</f>
        <v>453.49999999999994</v>
      </c>
      <c r="P114" s="197">
        <f t="shared" ref="P114:P128" si="317">K114/((1+$B$4)^(B114-1))</f>
        <v>2395.9307692307693</v>
      </c>
      <c r="Q114" s="197">
        <f t="shared" ref="Q114:Q128" si="318">L114/((1+$B$4)^(B114-1))</f>
        <v>-1378.8274038461536</v>
      </c>
      <c r="R114" s="199">
        <f t="shared" ref="R114:R128" si="319">M114/((1+$B$4)^(B114-1))</f>
        <v>-925.32740384615363</v>
      </c>
      <c r="S114" s="196">
        <f>S113+N114</f>
        <v>1178.8033653846155</v>
      </c>
      <c r="T114" s="197">
        <f t="shared" ref="T114:W128" si="320">T113+O114</f>
        <v>925.13999999999987</v>
      </c>
      <c r="U114" s="197">
        <f t="shared" si="320"/>
        <v>68694.13076923076</v>
      </c>
      <c r="V114" s="197">
        <f t="shared" si="320"/>
        <v>-67515.327403846153</v>
      </c>
      <c r="W114" s="199">
        <f t="shared" si="320"/>
        <v>-66590.187403846154</v>
      </c>
      <c r="Z114" s="895">
        <v>2</v>
      </c>
      <c r="AA114" s="757">
        <f t="shared" ref="AA114:AA128" si="321">$C114</f>
        <v>3.9250000000000007</v>
      </c>
      <c r="AB114" s="197">
        <f>'Energy Inputs'!$E$58*$AB$109</f>
        <v>404.25</v>
      </c>
      <c r="AC114" s="197">
        <f>AA114*AB114</f>
        <v>1586.6812500000003</v>
      </c>
      <c r="AD114" s="197">
        <f>'Margins summary'!$S$14</f>
        <v>471.64</v>
      </c>
      <c r="AE114" s="197">
        <f t="shared" ref="AE114:AE128" si="322">AC114+AD114</f>
        <v>2058.3212500000004</v>
      </c>
      <c r="AF114" s="197"/>
      <c r="AG114" s="913">
        <f>'Energy NPV'!U40</f>
        <v>2491.768</v>
      </c>
      <c r="AH114" s="197"/>
      <c r="AI114" s="197">
        <f t="shared" ref="AI114:AI128" si="323">AF114+AG114+AH114</f>
        <v>2491.768</v>
      </c>
      <c r="AJ114" s="197">
        <f t="shared" si="305"/>
        <v>-905.08674999999971</v>
      </c>
      <c r="AK114" s="197">
        <f t="shared" si="306"/>
        <v>-433.44674999999961</v>
      </c>
      <c r="AL114" s="196">
        <f t="shared" ref="AL114:AL128" si="324">AC114/((1+$B$4)^(Z114-1))</f>
        <v>1525.6550480769233</v>
      </c>
      <c r="AM114" s="197">
        <f t="shared" ref="AM114:AM128" si="325">AD114/((1+$B$4)^(Z114-1))</f>
        <v>453.49999999999994</v>
      </c>
      <c r="AN114" s="197">
        <f t="shared" ref="AN114:AN128" si="326">AI114/((1+$B$4)^(Z114-1))</f>
        <v>2395.9307692307693</v>
      </c>
      <c r="AO114" s="197">
        <f t="shared" ref="AO114:AO128" si="327">AJ114/((1+$B$4)^(Z114-1))</f>
        <v>-870.27572115384589</v>
      </c>
      <c r="AP114" s="199">
        <f t="shared" ref="AP114:AP128" si="328">AK114/((1+$B$4)^(Z114-1))</f>
        <v>-416.77572115384578</v>
      </c>
      <c r="AQ114" s="196">
        <f>AQ113+AL114</f>
        <v>1768.2050480769233</v>
      </c>
      <c r="AR114" s="197">
        <f t="shared" ref="AR114:AU128" si="329">AR113+AM114</f>
        <v>925.13999999999987</v>
      </c>
      <c r="AS114" s="197">
        <f t="shared" si="329"/>
        <v>68694.13076923076</v>
      </c>
      <c r="AT114" s="197">
        <f t="shared" si="329"/>
        <v>-66925.925721153835</v>
      </c>
      <c r="AU114" s="199">
        <f t="shared" si="329"/>
        <v>-66000.785721153836</v>
      </c>
      <c r="AX114" s="895">
        <v>2</v>
      </c>
      <c r="AY114" s="757">
        <f t="shared" ref="AY114:AY128" si="330">$C114</f>
        <v>3.9250000000000007</v>
      </c>
      <c r="AZ114" s="197">
        <f>'Energy Inputs'!$E$58*$AZ$109</f>
        <v>134.75</v>
      </c>
      <c r="BA114" s="197">
        <f>AY114*AZ114</f>
        <v>528.89375000000007</v>
      </c>
      <c r="BB114" s="197">
        <f>'Margins summary'!$S$14</f>
        <v>471.64</v>
      </c>
      <c r="BC114" s="197">
        <f t="shared" ref="BC114:BC128" si="331">BA114+BB114</f>
        <v>1000.5337500000001</v>
      </c>
      <c r="BD114" s="197"/>
      <c r="BE114" s="913">
        <f>'Energy NPV'!U40</f>
        <v>2491.768</v>
      </c>
      <c r="BF114" s="197"/>
      <c r="BG114" s="197">
        <f t="shared" ref="BG114:BG128" si="332">BD114+BE114+BF114</f>
        <v>2491.768</v>
      </c>
      <c r="BH114" s="197">
        <f t="shared" si="307"/>
        <v>-1962.8742499999998</v>
      </c>
      <c r="BI114" s="197">
        <f t="shared" si="308"/>
        <v>-1491.23425</v>
      </c>
      <c r="BJ114" s="196">
        <f t="shared" ref="BJ114:BJ128" si="333">BA114/((1+$B$4)^(AX114-1))</f>
        <v>508.55168269230774</v>
      </c>
      <c r="BK114" s="197">
        <f t="shared" ref="BK114:BK128" si="334">BB114/((1+$B$4)^(AX114-1))</f>
        <v>453.49999999999994</v>
      </c>
      <c r="BL114" s="197">
        <f t="shared" ref="BL114:BL128" si="335">BG114/((1+$B$4)^(AX114-1))</f>
        <v>2395.9307692307693</v>
      </c>
      <c r="BM114" s="197">
        <f t="shared" ref="BM114:BM128" si="336">BH114/((1+$B$4)^(AX114-1))</f>
        <v>-1887.3790865384613</v>
      </c>
      <c r="BN114" s="199">
        <f t="shared" ref="BN114:BN128" si="337">BI114/((1+$B$4)^(AX114-1))</f>
        <v>-1433.8790865384615</v>
      </c>
      <c r="BO114" s="196">
        <f>BO113+BJ114</f>
        <v>589.40168269230776</v>
      </c>
      <c r="BP114" s="197">
        <f t="shared" ref="BP114:BS128" si="338">BP113+BK114</f>
        <v>925.13999999999987</v>
      </c>
      <c r="BQ114" s="197">
        <f t="shared" si="338"/>
        <v>68694.13076923076</v>
      </c>
      <c r="BR114" s="197">
        <f t="shared" si="338"/>
        <v>-68104.729086538457</v>
      </c>
      <c r="BS114" s="199">
        <f t="shared" si="338"/>
        <v>-67179.589086538457</v>
      </c>
      <c r="BV114" s="895">
        <v>2</v>
      </c>
      <c r="BW114" s="757">
        <f t="shared" ref="BW114:BW128" si="339">$C114</f>
        <v>3.9250000000000007</v>
      </c>
      <c r="BX114" s="197">
        <f>'Energy Inputs'!$E$58*$BX$109</f>
        <v>539</v>
      </c>
      <c r="BY114" s="197">
        <f>BW114*BX114</f>
        <v>2115.5750000000003</v>
      </c>
      <c r="BZ114" s="197">
        <f>'Margins summary'!$S$14</f>
        <v>471.64</v>
      </c>
      <c r="CA114" s="197">
        <f t="shared" ref="CA114:CA128" si="340">BY114+BZ114</f>
        <v>2587.2150000000001</v>
      </c>
      <c r="CB114" s="197"/>
      <c r="CC114" s="913">
        <f>'Energy NPV'!U40</f>
        <v>2491.768</v>
      </c>
      <c r="CD114" s="197"/>
      <c r="CE114" s="197">
        <f t="shared" ref="CE114:CE128" si="341">CB114+CC114+CD114</f>
        <v>2491.768</v>
      </c>
      <c r="CF114" s="197">
        <f t="shared" si="309"/>
        <v>-376.19299999999976</v>
      </c>
      <c r="CG114" s="197">
        <f t="shared" si="310"/>
        <v>95.447000000000116</v>
      </c>
      <c r="CH114" s="196">
        <f t="shared" ref="CH114:CH128" si="342">BY114/((1+$B$4)^(BV114-1))</f>
        <v>2034.2067307692309</v>
      </c>
      <c r="CI114" s="197">
        <f t="shared" ref="CI114:CI128" si="343">BZ114/((1+$B$4)^(BV114-1))</f>
        <v>453.49999999999994</v>
      </c>
      <c r="CJ114" s="197">
        <f t="shared" ref="CJ114:CJ128" si="344">CE114/((1+$B$4)^(BV114-1))</f>
        <v>2395.9307692307693</v>
      </c>
      <c r="CK114" s="197">
        <f t="shared" ref="CK114:CK128" si="345">CF114/((1+$B$4)^(BV114-1))</f>
        <v>-361.72403846153821</v>
      </c>
      <c r="CL114" s="199">
        <f t="shared" ref="CL114:CL128" si="346">CG114/((1+$B$4)^(BV114-1))</f>
        <v>91.775961538461644</v>
      </c>
      <c r="CM114" s="196">
        <f>CM113+CH114</f>
        <v>2357.606730769231</v>
      </c>
      <c r="CN114" s="197">
        <f t="shared" ref="CN114:CQ128" si="347">CN113+CI114</f>
        <v>925.13999999999987</v>
      </c>
      <c r="CO114" s="197">
        <f t="shared" si="347"/>
        <v>68694.13076923076</v>
      </c>
      <c r="CP114" s="197">
        <f t="shared" si="347"/>
        <v>-66336.524038461546</v>
      </c>
      <c r="CQ114" s="199">
        <f t="shared" si="347"/>
        <v>-65411.384038461532</v>
      </c>
      <c r="CT114" s="204">
        <v>2</v>
      </c>
      <c r="CU114" s="757">
        <f t="shared" ref="CU114:CU128" si="348">$C114</f>
        <v>3.9250000000000007</v>
      </c>
      <c r="CV114" s="197">
        <f>'Energy Inputs'!$E$58*$CV$109</f>
        <v>0</v>
      </c>
      <c r="CW114" s="197">
        <f>CU114*CV114</f>
        <v>0</v>
      </c>
      <c r="CX114" s="197">
        <f>'Margins summary'!$S$14</f>
        <v>471.64</v>
      </c>
      <c r="CY114" s="197">
        <f t="shared" ref="CY114:CY128" si="349">CW114+CX114</f>
        <v>471.64</v>
      </c>
      <c r="CZ114" s="197"/>
      <c r="DA114" s="913">
        <f>'Energy NPV'!U40</f>
        <v>2491.768</v>
      </c>
      <c r="DB114" s="197"/>
      <c r="DC114" s="197">
        <f t="shared" ref="DC114:DC128" si="350">CZ114+DA114+DB114</f>
        <v>2491.768</v>
      </c>
      <c r="DD114" s="197">
        <f t="shared" si="311"/>
        <v>-2491.768</v>
      </c>
      <c r="DE114" s="197">
        <f t="shared" si="312"/>
        <v>-2020.1280000000002</v>
      </c>
      <c r="DF114" s="196">
        <f t="shared" ref="DF114:DF128" si="351">CW114/((1+$B$4)^(CT114-1))</f>
        <v>0</v>
      </c>
      <c r="DG114" s="197">
        <f t="shared" ref="DG114:DG128" si="352">CX114/((1+$B$4)^(CT114-1))</f>
        <v>453.49999999999994</v>
      </c>
      <c r="DH114" s="197">
        <f t="shared" ref="DH114:DH128" si="353">DC114/((1+$B$4)^(CT114-1))</f>
        <v>2395.9307692307693</v>
      </c>
      <c r="DI114" s="197">
        <f t="shared" ref="DI114:DI128" si="354">DD114/((1+$B$4)^(CT114-1))</f>
        <v>-2395.9307692307693</v>
      </c>
      <c r="DJ114" s="199">
        <f t="shared" ref="DJ114:DJ127" si="355">DE114/((1+$B$4)^(CT114-1))</f>
        <v>-1942.4307692307693</v>
      </c>
      <c r="DK114" s="196">
        <f>DK113+DF114</f>
        <v>0</v>
      </c>
      <c r="DL114" s="197">
        <f t="shared" ref="DL114:DO128" si="356">DL113+DG114</f>
        <v>925.13999999999987</v>
      </c>
      <c r="DM114" s="197">
        <f t="shared" si="356"/>
        <v>68694.13076923076</v>
      </c>
      <c r="DN114" s="197">
        <f t="shared" si="356"/>
        <v>-68694.13076923076</v>
      </c>
      <c r="DO114" s="199">
        <f t="shared" si="356"/>
        <v>-67768.990769230761</v>
      </c>
    </row>
    <row r="115" spans="2:119" x14ac:dyDescent="0.3">
      <c r="B115" s="895">
        <v>3</v>
      </c>
      <c r="C115" s="757">
        <f>'Energy NPV'!$D41</f>
        <v>11.099999999999998</v>
      </c>
      <c r="D115" s="197">
        <f>'Energy Inputs'!$E$58*$E$109</f>
        <v>269.5</v>
      </c>
      <c r="E115" s="197">
        <f t="shared" ref="E115:E128" si="357">C115*D115</f>
        <v>2991.4499999999994</v>
      </c>
      <c r="F115" s="197">
        <f>'Margins summary'!$S$14</f>
        <v>471.64</v>
      </c>
      <c r="G115" s="197">
        <f t="shared" si="313"/>
        <v>3463.0899999999992</v>
      </c>
      <c r="H115" s="197"/>
      <c r="I115" s="913">
        <f>'Energy NPV'!U41</f>
        <v>2491.768</v>
      </c>
      <c r="J115" s="197"/>
      <c r="K115" s="197">
        <f t="shared" si="314"/>
        <v>2491.768</v>
      </c>
      <c r="L115" s="197">
        <f t="shared" si="303"/>
        <v>499.68199999999933</v>
      </c>
      <c r="M115" s="197">
        <f t="shared" si="304"/>
        <v>971.32199999999921</v>
      </c>
      <c r="N115" s="196">
        <f t="shared" si="315"/>
        <v>2765.7636834319519</v>
      </c>
      <c r="O115" s="197">
        <f t="shared" si="316"/>
        <v>436.05769230769226</v>
      </c>
      <c r="P115" s="197">
        <f t="shared" si="317"/>
        <v>2303.7795857988162</v>
      </c>
      <c r="Q115" s="197">
        <f t="shared" si="318"/>
        <v>461.98409763313543</v>
      </c>
      <c r="R115" s="199">
        <f t="shared" si="319"/>
        <v>898.04178994082758</v>
      </c>
      <c r="S115" s="196">
        <f t="shared" ref="S115:S128" si="358">S114+N115</f>
        <v>3944.5670488165674</v>
      </c>
      <c r="T115" s="197">
        <f t="shared" si="320"/>
        <v>1361.1976923076923</v>
      </c>
      <c r="U115" s="197">
        <f t="shared" si="320"/>
        <v>70997.910355029569</v>
      </c>
      <c r="V115" s="197">
        <f t="shared" si="320"/>
        <v>-67053.343306213021</v>
      </c>
      <c r="W115" s="199">
        <f t="shared" si="320"/>
        <v>-65692.145613905333</v>
      </c>
      <c r="Z115" s="895">
        <v>3</v>
      </c>
      <c r="AA115" s="757">
        <f t="shared" si="321"/>
        <v>11.099999999999998</v>
      </c>
      <c r="AB115" s="197">
        <f>'Energy Inputs'!$E$58*$AB$109</f>
        <v>404.25</v>
      </c>
      <c r="AC115" s="197">
        <f t="shared" ref="AC115:AC128" si="359">AA115*AB115</f>
        <v>4487.1749999999993</v>
      </c>
      <c r="AD115" s="197">
        <f>'Margins summary'!$S$14</f>
        <v>471.64</v>
      </c>
      <c r="AE115" s="197">
        <f t="shared" si="322"/>
        <v>4958.8149999999996</v>
      </c>
      <c r="AF115" s="197"/>
      <c r="AG115" s="913">
        <f>'Energy NPV'!U41</f>
        <v>2491.768</v>
      </c>
      <c r="AH115" s="197"/>
      <c r="AI115" s="197">
        <f t="shared" si="323"/>
        <v>2491.768</v>
      </c>
      <c r="AJ115" s="197">
        <f t="shared" si="305"/>
        <v>1995.4069999999992</v>
      </c>
      <c r="AK115" s="197">
        <f t="shared" si="306"/>
        <v>2467.0469999999996</v>
      </c>
      <c r="AL115" s="196">
        <f t="shared" si="324"/>
        <v>4148.6455251479283</v>
      </c>
      <c r="AM115" s="197">
        <f t="shared" si="325"/>
        <v>436.05769230769226</v>
      </c>
      <c r="AN115" s="197">
        <f t="shared" si="326"/>
        <v>2303.7795857988162</v>
      </c>
      <c r="AO115" s="197">
        <f t="shared" si="327"/>
        <v>1844.8659393491116</v>
      </c>
      <c r="AP115" s="199">
        <f t="shared" si="328"/>
        <v>2280.923631656804</v>
      </c>
      <c r="AQ115" s="196">
        <f t="shared" ref="AQ115:AQ127" si="360">AQ114+AL115</f>
        <v>5916.8505732248514</v>
      </c>
      <c r="AR115" s="197">
        <f t="shared" si="329"/>
        <v>1361.1976923076923</v>
      </c>
      <c r="AS115" s="197">
        <f t="shared" si="329"/>
        <v>70997.910355029569</v>
      </c>
      <c r="AT115" s="197">
        <f t="shared" si="329"/>
        <v>-65081.059781804724</v>
      </c>
      <c r="AU115" s="199">
        <f t="shared" si="329"/>
        <v>-63719.86208949703</v>
      </c>
      <c r="AX115" s="895">
        <v>3</v>
      </c>
      <c r="AY115" s="757">
        <f t="shared" si="330"/>
        <v>11.099999999999998</v>
      </c>
      <c r="AZ115" s="197">
        <f>'Energy Inputs'!$E$58*$AZ$109</f>
        <v>134.75</v>
      </c>
      <c r="BA115" s="197">
        <f t="shared" ref="BA115:BA128" si="361">AY115*AZ115</f>
        <v>1495.7249999999997</v>
      </c>
      <c r="BB115" s="197">
        <f>'Margins summary'!$S$14</f>
        <v>471.64</v>
      </c>
      <c r="BC115" s="197">
        <f t="shared" si="331"/>
        <v>1967.3649999999998</v>
      </c>
      <c r="BD115" s="197"/>
      <c r="BE115" s="913">
        <f>'Energy NPV'!U41</f>
        <v>2491.768</v>
      </c>
      <c r="BF115" s="197"/>
      <c r="BG115" s="197">
        <f t="shared" si="332"/>
        <v>2491.768</v>
      </c>
      <c r="BH115" s="197">
        <f t="shared" si="307"/>
        <v>-996.04300000000035</v>
      </c>
      <c r="BI115" s="197">
        <f t="shared" si="308"/>
        <v>-524.40300000000025</v>
      </c>
      <c r="BJ115" s="196">
        <f t="shared" si="333"/>
        <v>1382.881841715976</v>
      </c>
      <c r="BK115" s="197">
        <f t="shared" si="334"/>
        <v>436.05769230769226</v>
      </c>
      <c r="BL115" s="197">
        <f t="shared" si="335"/>
        <v>2303.7795857988162</v>
      </c>
      <c r="BM115" s="197">
        <f t="shared" si="336"/>
        <v>-920.8977440828404</v>
      </c>
      <c r="BN115" s="199">
        <f t="shared" si="337"/>
        <v>-484.84005177514808</v>
      </c>
      <c r="BO115" s="196">
        <f t="shared" ref="BO115:BO128" si="362">BO114+BJ115</f>
        <v>1972.2835244082837</v>
      </c>
      <c r="BP115" s="197">
        <f t="shared" si="338"/>
        <v>1361.1976923076923</v>
      </c>
      <c r="BQ115" s="197">
        <f t="shared" si="338"/>
        <v>70997.910355029569</v>
      </c>
      <c r="BR115" s="197">
        <f t="shared" si="338"/>
        <v>-69025.626830621302</v>
      </c>
      <c r="BS115" s="199">
        <f t="shared" si="338"/>
        <v>-67664.429138313601</v>
      </c>
      <c r="BV115" s="895">
        <v>3</v>
      </c>
      <c r="BW115" s="757">
        <f t="shared" si="339"/>
        <v>11.099999999999998</v>
      </c>
      <c r="BX115" s="197">
        <f>'Energy Inputs'!$E$58*$BX$109</f>
        <v>539</v>
      </c>
      <c r="BY115" s="197">
        <f t="shared" ref="BY115:BY128" si="363">BW115*BX115</f>
        <v>5982.8999999999987</v>
      </c>
      <c r="BZ115" s="197">
        <f>'Margins summary'!$S$14</f>
        <v>471.64</v>
      </c>
      <c r="CA115" s="197">
        <f t="shared" si="340"/>
        <v>6454.5399999999991</v>
      </c>
      <c r="CB115" s="197"/>
      <c r="CC115" s="913">
        <f>'Energy NPV'!U41</f>
        <v>2491.768</v>
      </c>
      <c r="CD115" s="197"/>
      <c r="CE115" s="197">
        <f t="shared" si="341"/>
        <v>2491.768</v>
      </c>
      <c r="CF115" s="197">
        <f t="shared" si="309"/>
        <v>3491.1319999999987</v>
      </c>
      <c r="CG115" s="197">
        <f t="shared" si="310"/>
        <v>3962.771999999999</v>
      </c>
      <c r="CH115" s="196">
        <f t="shared" si="342"/>
        <v>5531.5273668639038</v>
      </c>
      <c r="CI115" s="197">
        <f t="shared" si="343"/>
        <v>436.05769230769226</v>
      </c>
      <c r="CJ115" s="197">
        <f t="shared" si="344"/>
        <v>2303.7795857988162</v>
      </c>
      <c r="CK115" s="197">
        <f t="shared" si="345"/>
        <v>3227.7477810650871</v>
      </c>
      <c r="CL115" s="199">
        <f t="shared" si="346"/>
        <v>3663.8054733727799</v>
      </c>
      <c r="CM115" s="196">
        <f t="shared" ref="CM115:CM128" si="364">CM114+CH115</f>
        <v>7889.1340976331348</v>
      </c>
      <c r="CN115" s="197">
        <f t="shared" si="347"/>
        <v>1361.1976923076923</v>
      </c>
      <c r="CO115" s="197">
        <f t="shared" si="347"/>
        <v>70997.910355029569</v>
      </c>
      <c r="CP115" s="197">
        <f t="shared" si="347"/>
        <v>-63108.776257396457</v>
      </c>
      <c r="CQ115" s="199">
        <f t="shared" si="347"/>
        <v>-61747.578565088756</v>
      </c>
      <c r="CT115" s="204">
        <f t="shared" ref="CT115:CT128" si="365">CT114+1</f>
        <v>3</v>
      </c>
      <c r="CU115" s="757">
        <f t="shared" si="348"/>
        <v>11.099999999999998</v>
      </c>
      <c r="CV115" s="197">
        <f>'Energy Inputs'!$E$58*$CV$109</f>
        <v>0</v>
      </c>
      <c r="CW115" s="197">
        <f t="shared" ref="CW115:CW128" si="366">CU115*CV115</f>
        <v>0</v>
      </c>
      <c r="CX115" s="197">
        <f>'Margins summary'!$S$14</f>
        <v>471.64</v>
      </c>
      <c r="CY115" s="197">
        <f t="shared" si="349"/>
        <v>471.64</v>
      </c>
      <c r="CZ115" s="197"/>
      <c r="DA115" s="913">
        <f>'Energy NPV'!U41</f>
        <v>2491.768</v>
      </c>
      <c r="DB115" s="197"/>
      <c r="DC115" s="197">
        <f t="shared" si="350"/>
        <v>2491.768</v>
      </c>
      <c r="DD115" s="197">
        <f t="shared" si="311"/>
        <v>-2491.768</v>
      </c>
      <c r="DE115" s="197">
        <f t="shared" si="312"/>
        <v>-2020.1280000000002</v>
      </c>
      <c r="DF115" s="196">
        <f t="shared" si="351"/>
        <v>0</v>
      </c>
      <c r="DG115" s="197">
        <f t="shared" si="352"/>
        <v>436.05769230769226</v>
      </c>
      <c r="DH115" s="197">
        <f t="shared" si="353"/>
        <v>2303.7795857988162</v>
      </c>
      <c r="DI115" s="197">
        <f t="shared" si="354"/>
        <v>-2303.7795857988162</v>
      </c>
      <c r="DJ115" s="199">
        <f t="shared" si="355"/>
        <v>-1867.7218934911241</v>
      </c>
      <c r="DK115" s="196">
        <f t="shared" ref="DK115:DK128" si="367">DK114+DF115</f>
        <v>0</v>
      </c>
      <c r="DL115" s="197">
        <f t="shared" si="356"/>
        <v>1361.1976923076923</v>
      </c>
      <c r="DM115" s="197">
        <f t="shared" si="356"/>
        <v>70997.910355029569</v>
      </c>
      <c r="DN115" s="197">
        <f t="shared" si="356"/>
        <v>-70997.910355029569</v>
      </c>
      <c r="DO115" s="199">
        <f t="shared" si="356"/>
        <v>-69636.712662721882</v>
      </c>
    </row>
    <row r="116" spans="2:119" x14ac:dyDescent="0.3">
      <c r="B116" s="895">
        <v>4</v>
      </c>
      <c r="C116" s="757">
        <f>'Energy NPV'!$D42</f>
        <v>12.54</v>
      </c>
      <c r="D116" s="197">
        <f>'Energy Inputs'!$E$58*$E$109</f>
        <v>269.5</v>
      </c>
      <c r="E116" s="197">
        <f t="shared" si="357"/>
        <v>3379.5299999999997</v>
      </c>
      <c r="F116" s="197">
        <f>'Margins summary'!$S$14</f>
        <v>471.64</v>
      </c>
      <c r="G116" s="197">
        <f t="shared" si="313"/>
        <v>3851.1699999999996</v>
      </c>
      <c r="H116" s="197"/>
      <c r="I116" s="913">
        <f>'Energy NPV'!U42</f>
        <v>2000.1999999999998</v>
      </c>
      <c r="J116" s="197"/>
      <c r="K116" s="197">
        <f t="shared" si="314"/>
        <v>2000.1999999999998</v>
      </c>
      <c r="L116" s="197">
        <f t="shared" si="303"/>
        <v>1379.33</v>
      </c>
      <c r="M116" s="197">
        <f t="shared" si="304"/>
        <v>1850.9699999999998</v>
      </c>
      <c r="N116" s="196">
        <f t="shared" si="315"/>
        <v>3004.3898640191164</v>
      </c>
      <c r="O116" s="197">
        <f t="shared" si="316"/>
        <v>419.28624260355025</v>
      </c>
      <c r="P116" s="197">
        <f t="shared" si="317"/>
        <v>1778.1705166135637</v>
      </c>
      <c r="Q116" s="197">
        <f t="shared" si="318"/>
        <v>1226.219347405553</v>
      </c>
      <c r="R116" s="199">
        <f t="shared" si="319"/>
        <v>1645.5055900091031</v>
      </c>
      <c r="S116" s="196">
        <f t="shared" si="358"/>
        <v>6948.9569128356834</v>
      </c>
      <c r="T116" s="197">
        <f t="shared" si="320"/>
        <v>1780.4839349112426</v>
      </c>
      <c r="U116" s="197">
        <f t="shared" si="320"/>
        <v>72776.080871643135</v>
      </c>
      <c r="V116" s="197">
        <f t="shared" si="320"/>
        <v>-65827.123958807468</v>
      </c>
      <c r="W116" s="199">
        <f t="shared" si="320"/>
        <v>-64046.640023896231</v>
      </c>
      <c r="Z116" s="895">
        <v>4</v>
      </c>
      <c r="AA116" s="757">
        <f t="shared" si="321"/>
        <v>12.54</v>
      </c>
      <c r="AB116" s="197">
        <f>'Energy Inputs'!$E$58*$AB$109</f>
        <v>404.25</v>
      </c>
      <c r="AC116" s="197">
        <f t="shared" si="359"/>
        <v>5069.2950000000001</v>
      </c>
      <c r="AD116" s="197">
        <f>'Margins summary'!$S$14</f>
        <v>471.64</v>
      </c>
      <c r="AE116" s="197">
        <f t="shared" si="322"/>
        <v>5540.9350000000004</v>
      </c>
      <c r="AF116" s="197"/>
      <c r="AG116" s="913">
        <f>'Energy NPV'!U42</f>
        <v>2000.1999999999998</v>
      </c>
      <c r="AH116" s="197"/>
      <c r="AI116" s="197">
        <f t="shared" si="323"/>
        <v>2000.1999999999998</v>
      </c>
      <c r="AJ116" s="197">
        <f t="shared" si="305"/>
        <v>3069.0950000000003</v>
      </c>
      <c r="AK116" s="197">
        <f t="shared" si="306"/>
        <v>3540.7350000000006</v>
      </c>
      <c r="AL116" s="196">
        <f t="shared" si="324"/>
        <v>4506.5847960286756</v>
      </c>
      <c r="AM116" s="197">
        <f t="shared" si="325"/>
        <v>419.28624260355025</v>
      </c>
      <c r="AN116" s="197">
        <f t="shared" si="326"/>
        <v>1778.1705166135637</v>
      </c>
      <c r="AO116" s="197">
        <f t="shared" si="327"/>
        <v>2728.4142794151117</v>
      </c>
      <c r="AP116" s="199">
        <f t="shared" si="328"/>
        <v>3147.700522018662</v>
      </c>
      <c r="AQ116" s="196">
        <f t="shared" si="360"/>
        <v>10423.435369253526</v>
      </c>
      <c r="AR116" s="197">
        <f t="shared" si="329"/>
        <v>1780.4839349112426</v>
      </c>
      <c r="AS116" s="197">
        <f t="shared" si="329"/>
        <v>72776.080871643135</v>
      </c>
      <c r="AT116" s="197">
        <f t="shared" si="329"/>
        <v>-62352.645502389612</v>
      </c>
      <c r="AU116" s="199">
        <f t="shared" si="329"/>
        <v>-60572.161567478368</v>
      </c>
      <c r="AX116" s="895">
        <v>4</v>
      </c>
      <c r="AY116" s="757">
        <f t="shared" si="330"/>
        <v>12.54</v>
      </c>
      <c r="AZ116" s="197">
        <f>'Energy Inputs'!$E$58*$AZ$109</f>
        <v>134.75</v>
      </c>
      <c r="BA116" s="197">
        <f t="shared" si="361"/>
        <v>1689.7649999999999</v>
      </c>
      <c r="BB116" s="197">
        <f>'Margins summary'!$S$14</f>
        <v>471.64</v>
      </c>
      <c r="BC116" s="197">
        <f t="shared" si="331"/>
        <v>2161.4049999999997</v>
      </c>
      <c r="BD116" s="197"/>
      <c r="BE116" s="913">
        <f>'Energy NPV'!U42</f>
        <v>2000.1999999999998</v>
      </c>
      <c r="BF116" s="197"/>
      <c r="BG116" s="197">
        <f t="shared" si="332"/>
        <v>2000.1999999999998</v>
      </c>
      <c r="BH116" s="197">
        <f t="shared" si="307"/>
        <v>-310.43499999999995</v>
      </c>
      <c r="BI116" s="197">
        <f t="shared" si="308"/>
        <v>161.20499999999993</v>
      </c>
      <c r="BJ116" s="196">
        <f t="shared" si="333"/>
        <v>1502.1949320095582</v>
      </c>
      <c r="BK116" s="197">
        <f t="shared" si="334"/>
        <v>419.28624260355025</v>
      </c>
      <c r="BL116" s="197">
        <f t="shared" si="335"/>
        <v>1778.1705166135637</v>
      </c>
      <c r="BM116" s="197">
        <f t="shared" si="336"/>
        <v>-275.97558460400541</v>
      </c>
      <c r="BN116" s="199">
        <f t="shared" si="337"/>
        <v>143.31065799954476</v>
      </c>
      <c r="BO116" s="196">
        <f t="shared" si="362"/>
        <v>3474.4784564178417</v>
      </c>
      <c r="BP116" s="197">
        <f t="shared" si="338"/>
        <v>1780.4839349112426</v>
      </c>
      <c r="BQ116" s="197">
        <f t="shared" si="338"/>
        <v>72776.080871643135</v>
      </c>
      <c r="BR116" s="197">
        <f t="shared" si="338"/>
        <v>-69301.602415225309</v>
      </c>
      <c r="BS116" s="199">
        <f t="shared" si="338"/>
        <v>-67521.11848031405</v>
      </c>
      <c r="BV116" s="895">
        <v>4</v>
      </c>
      <c r="BW116" s="757">
        <f t="shared" si="339"/>
        <v>12.54</v>
      </c>
      <c r="BX116" s="197">
        <f>'Energy Inputs'!$E$58*$BX$109</f>
        <v>539</v>
      </c>
      <c r="BY116" s="197">
        <f t="shared" si="363"/>
        <v>6759.0599999999995</v>
      </c>
      <c r="BZ116" s="197">
        <f>'Margins summary'!$S$14</f>
        <v>471.64</v>
      </c>
      <c r="CA116" s="197">
        <f t="shared" si="340"/>
        <v>7230.7</v>
      </c>
      <c r="CB116" s="197"/>
      <c r="CC116" s="913">
        <f>'Energy NPV'!U42</f>
        <v>2000.1999999999998</v>
      </c>
      <c r="CD116" s="197"/>
      <c r="CE116" s="197">
        <f t="shared" si="341"/>
        <v>2000.1999999999998</v>
      </c>
      <c r="CF116" s="197">
        <f t="shared" si="309"/>
        <v>4758.8599999999997</v>
      </c>
      <c r="CG116" s="197">
        <f t="shared" si="310"/>
        <v>5230.5</v>
      </c>
      <c r="CH116" s="196">
        <f t="shared" si="342"/>
        <v>6008.7797280382329</v>
      </c>
      <c r="CI116" s="197">
        <f t="shared" si="343"/>
        <v>419.28624260355025</v>
      </c>
      <c r="CJ116" s="197">
        <f t="shared" si="344"/>
        <v>1778.1705166135637</v>
      </c>
      <c r="CK116" s="197">
        <f t="shared" si="345"/>
        <v>4230.6092114246694</v>
      </c>
      <c r="CL116" s="199">
        <f t="shared" si="346"/>
        <v>4649.8954540282202</v>
      </c>
      <c r="CM116" s="196">
        <f t="shared" si="364"/>
        <v>13897.913825671367</v>
      </c>
      <c r="CN116" s="197">
        <f t="shared" si="347"/>
        <v>1780.4839349112426</v>
      </c>
      <c r="CO116" s="197">
        <f t="shared" si="347"/>
        <v>72776.080871643135</v>
      </c>
      <c r="CP116" s="197">
        <f t="shared" si="347"/>
        <v>-58878.167045971786</v>
      </c>
      <c r="CQ116" s="199">
        <f t="shared" si="347"/>
        <v>-57097.683111060534</v>
      </c>
      <c r="CT116" s="204">
        <f t="shared" si="365"/>
        <v>4</v>
      </c>
      <c r="CU116" s="757">
        <f t="shared" si="348"/>
        <v>12.54</v>
      </c>
      <c r="CV116" s="197">
        <f>'Energy Inputs'!$E$58*$CV$109</f>
        <v>0</v>
      </c>
      <c r="CW116" s="197">
        <f t="shared" si="366"/>
        <v>0</v>
      </c>
      <c r="CX116" s="197">
        <f>'Margins summary'!$S$14</f>
        <v>471.64</v>
      </c>
      <c r="CY116" s="197">
        <f t="shared" si="349"/>
        <v>471.64</v>
      </c>
      <c r="CZ116" s="197"/>
      <c r="DA116" s="913">
        <f>'Energy NPV'!U42</f>
        <v>2000.1999999999998</v>
      </c>
      <c r="DB116" s="197"/>
      <c r="DC116" s="197">
        <f t="shared" si="350"/>
        <v>2000.1999999999998</v>
      </c>
      <c r="DD116" s="197">
        <f t="shared" si="311"/>
        <v>-2000.1999999999998</v>
      </c>
      <c r="DE116" s="197">
        <f t="shared" si="312"/>
        <v>-1528.56</v>
      </c>
      <c r="DF116" s="196">
        <f t="shared" si="351"/>
        <v>0</v>
      </c>
      <c r="DG116" s="197">
        <f t="shared" si="352"/>
        <v>419.28624260355025</v>
      </c>
      <c r="DH116" s="197">
        <f t="shared" si="353"/>
        <v>1778.1705166135637</v>
      </c>
      <c r="DI116" s="197">
        <f t="shared" si="354"/>
        <v>-1778.1705166135637</v>
      </c>
      <c r="DJ116" s="199">
        <f t="shared" si="355"/>
        <v>-1358.8842740100135</v>
      </c>
      <c r="DK116" s="196">
        <f t="shared" si="367"/>
        <v>0</v>
      </c>
      <c r="DL116" s="197">
        <f t="shared" si="356"/>
        <v>1780.4839349112426</v>
      </c>
      <c r="DM116" s="197">
        <f t="shared" si="356"/>
        <v>72776.080871643135</v>
      </c>
      <c r="DN116" s="197">
        <f t="shared" si="356"/>
        <v>-72776.080871643135</v>
      </c>
      <c r="DO116" s="199">
        <f t="shared" si="356"/>
        <v>-70995.59693673189</v>
      </c>
    </row>
    <row r="117" spans="2:119" x14ac:dyDescent="0.3">
      <c r="B117" s="895">
        <v>5</v>
      </c>
      <c r="C117" s="757">
        <f>'Energy NPV'!$D43</f>
        <v>12.54</v>
      </c>
      <c r="D117" s="197">
        <f>'Energy Inputs'!$E$58*$E$109</f>
        <v>269.5</v>
      </c>
      <c r="E117" s="197">
        <f t="shared" si="357"/>
        <v>3379.5299999999997</v>
      </c>
      <c r="F117" s="197">
        <f>'Margins summary'!$S$14</f>
        <v>471.64</v>
      </c>
      <c r="G117" s="197">
        <f t="shared" si="313"/>
        <v>3851.1699999999996</v>
      </c>
      <c r="H117" s="197"/>
      <c r="I117" s="913">
        <f>'Energy NPV'!U43</f>
        <v>2000.1999999999998</v>
      </c>
      <c r="J117" s="197"/>
      <c r="K117" s="197">
        <f t="shared" si="314"/>
        <v>2000.1999999999998</v>
      </c>
      <c r="L117" s="197">
        <f t="shared" si="303"/>
        <v>1379.33</v>
      </c>
      <c r="M117" s="197">
        <f t="shared" si="304"/>
        <v>1850.9699999999998</v>
      </c>
      <c r="N117" s="196">
        <f t="shared" si="315"/>
        <v>2888.8364077106885</v>
      </c>
      <c r="O117" s="197">
        <f t="shared" si="316"/>
        <v>403.15984865725983</v>
      </c>
      <c r="P117" s="197">
        <f t="shared" si="317"/>
        <v>1709.7793428976572</v>
      </c>
      <c r="Q117" s="197">
        <f t="shared" si="318"/>
        <v>1179.0570648130315</v>
      </c>
      <c r="R117" s="199">
        <f t="shared" si="319"/>
        <v>1582.2169134702913</v>
      </c>
      <c r="S117" s="196">
        <f t="shared" si="358"/>
        <v>9837.7933205463723</v>
      </c>
      <c r="T117" s="197">
        <f t="shared" si="320"/>
        <v>2183.6437835685024</v>
      </c>
      <c r="U117" s="197">
        <f t="shared" si="320"/>
        <v>74485.860214540793</v>
      </c>
      <c r="V117" s="197">
        <f t="shared" si="320"/>
        <v>-64648.066893994437</v>
      </c>
      <c r="W117" s="199">
        <f t="shared" si="320"/>
        <v>-62464.423110425938</v>
      </c>
      <c r="Z117" s="895">
        <v>5</v>
      </c>
      <c r="AA117" s="757">
        <f t="shared" si="321"/>
        <v>12.54</v>
      </c>
      <c r="AB117" s="197">
        <f>'Energy Inputs'!$E$58*$AB$109</f>
        <v>404.25</v>
      </c>
      <c r="AC117" s="197">
        <f t="shared" si="359"/>
        <v>5069.2950000000001</v>
      </c>
      <c r="AD117" s="197">
        <f>'Margins summary'!$S$14</f>
        <v>471.64</v>
      </c>
      <c r="AE117" s="197">
        <f t="shared" si="322"/>
        <v>5540.9350000000004</v>
      </c>
      <c r="AF117" s="197"/>
      <c r="AG117" s="913">
        <f>'Energy NPV'!U43</f>
        <v>2000.1999999999998</v>
      </c>
      <c r="AH117" s="197"/>
      <c r="AI117" s="197">
        <f t="shared" si="323"/>
        <v>2000.1999999999998</v>
      </c>
      <c r="AJ117" s="197">
        <f t="shared" si="305"/>
        <v>3069.0950000000003</v>
      </c>
      <c r="AK117" s="197">
        <f t="shared" si="306"/>
        <v>3540.7350000000006</v>
      </c>
      <c r="AL117" s="196">
        <f t="shared" si="324"/>
        <v>4333.2546115660334</v>
      </c>
      <c r="AM117" s="197">
        <f t="shared" si="325"/>
        <v>403.15984865725983</v>
      </c>
      <c r="AN117" s="197">
        <f t="shared" si="326"/>
        <v>1709.7793428976572</v>
      </c>
      <c r="AO117" s="197">
        <f t="shared" si="327"/>
        <v>2623.475268668376</v>
      </c>
      <c r="AP117" s="199">
        <f t="shared" si="328"/>
        <v>3026.6351173256362</v>
      </c>
      <c r="AQ117" s="196">
        <f t="shared" si="360"/>
        <v>14756.689980819559</v>
      </c>
      <c r="AR117" s="197">
        <f t="shared" si="329"/>
        <v>2183.6437835685024</v>
      </c>
      <c r="AS117" s="197">
        <f t="shared" si="329"/>
        <v>74485.860214540793</v>
      </c>
      <c r="AT117" s="197">
        <f t="shared" si="329"/>
        <v>-59729.170233721234</v>
      </c>
      <c r="AU117" s="199">
        <f t="shared" si="329"/>
        <v>-57545.526450152734</v>
      </c>
      <c r="AX117" s="895">
        <v>5</v>
      </c>
      <c r="AY117" s="757">
        <f t="shared" si="330"/>
        <v>12.54</v>
      </c>
      <c r="AZ117" s="197">
        <f>'Energy Inputs'!$E$58*$AZ$109</f>
        <v>134.75</v>
      </c>
      <c r="BA117" s="197">
        <f t="shared" si="361"/>
        <v>1689.7649999999999</v>
      </c>
      <c r="BB117" s="197">
        <f>'Margins summary'!$S$14</f>
        <v>471.64</v>
      </c>
      <c r="BC117" s="197">
        <f t="shared" si="331"/>
        <v>2161.4049999999997</v>
      </c>
      <c r="BD117" s="197"/>
      <c r="BE117" s="913">
        <f>'Energy NPV'!U43</f>
        <v>2000.1999999999998</v>
      </c>
      <c r="BF117" s="197"/>
      <c r="BG117" s="197">
        <f t="shared" si="332"/>
        <v>2000.1999999999998</v>
      </c>
      <c r="BH117" s="197">
        <f t="shared" si="307"/>
        <v>-310.43499999999995</v>
      </c>
      <c r="BI117" s="197">
        <f t="shared" si="308"/>
        <v>161.20499999999993</v>
      </c>
      <c r="BJ117" s="196">
        <f t="shared" si="333"/>
        <v>1444.4182038553442</v>
      </c>
      <c r="BK117" s="197">
        <f t="shared" si="334"/>
        <v>403.15984865725983</v>
      </c>
      <c r="BL117" s="197">
        <f t="shared" si="335"/>
        <v>1709.7793428976572</v>
      </c>
      <c r="BM117" s="197">
        <f t="shared" si="336"/>
        <v>-265.36113904231286</v>
      </c>
      <c r="BN117" s="199">
        <f t="shared" si="337"/>
        <v>137.79870961494686</v>
      </c>
      <c r="BO117" s="196">
        <f t="shared" si="362"/>
        <v>4918.8966602731862</v>
      </c>
      <c r="BP117" s="197">
        <f t="shared" si="338"/>
        <v>2183.6437835685024</v>
      </c>
      <c r="BQ117" s="197">
        <f t="shared" si="338"/>
        <v>74485.860214540793</v>
      </c>
      <c r="BR117" s="197">
        <f t="shared" si="338"/>
        <v>-69566.963554267626</v>
      </c>
      <c r="BS117" s="199">
        <f t="shared" si="338"/>
        <v>-67383.319770699105</v>
      </c>
      <c r="BV117" s="895">
        <v>5</v>
      </c>
      <c r="BW117" s="757">
        <f t="shared" si="339"/>
        <v>12.54</v>
      </c>
      <c r="BX117" s="197">
        <f>'Energy Inputs'!$E$58*$BX$109</f>
        <v>539</v>
      </c>
      <c r="BY117" s="197">
        <f t="shared" si="363"/>
        <v>6759.0599999999995</v>
      </c>
      <c r="BZ117" s="197">
        <f>'Margins summary'!$S$14</f>
        <v>471.64</v>
      </c>
      <c r="CA117" s="197">
        <f t="shared" si="340"/>
        <v>7230.7</v>
      </c>
      <c r="CB117" s="197"/>
      <c r="CC117" s="913">
        <f>'Energy NPV'!U43</f>
        <v>2000.1999999999998</v>
      </c>
      <c r="CD117" s="197"/>
      <c r="CE117" s="197">
        <f t="shared" si="341"/>
        <v>2000.1999999999998</v>
      </c>
      <c r="CF117" s="197">
        <f t="shared" si="309"/>
        <v>4758.8599999999997</v>
      </c>
      <c r="CG117" s="197">
        <f t="shared" si="310"/>
        <v>5230.5</v>
      </c>
      <c r="CH117" s="196">
        <f t="shared" si="342"/>
        <v>5777.672815421377</v>
      </c>
      <c r="CI117" s="197">
        <f t="shared" si="343"/>
        <v>403.15984865725983</v>
      </c>
      <c r="CJ117" s="197">
        <f t="shared" si="344"/>
        <v>1709.7793428976572</v>
      </c>
      <c r="CK117" s="197">
        <f t="shared" si="345"/>
        <v>4067.89347252372</v>
      </c>
      <c r="CL117" s="199">
        <f t="shared" si="346"/>
        <v>4471.0533211809807</v>
      </c>
      <c r="CM117" s="196">
        <f t="shared" si="364"/>
        <v>19675.586641092745</v>
      </c>
      <c r="CN117" s="197">
        <f t="shared" si="347"/>
        <v>2183.6437835685024</v>
      </c>
      <c r="CO117" s="197">
        <f t="shared" si="347"/>
        <v>74485.860214540793</v>
      </c>
      <c r="CP117" s="197">
        <f t="shared" si="347"/>
        <v>-54810.273573448067</v>
      </c>
      <c r="CQ117" s="199">
        <f t="shared" si="347"/>
        <v>-52626.629789879553</v>
      </c>
      <c r="CT117" s="204">
        <f t="shared" si="365"/>
        <v>5</v>
      </c>
      <c r="CU117" s="757">
        <f t="shared" si="348"/>
        <v>12.54</v>
      </c>
      <c r="CV117" s="197">
        <f>'Energy Inputs'!$E$58*$CV$109</f>
        <v>0</v>
      </c>
      <c r="CW117" s="197">
        <f t="shared" si="366"/>
        <v>0</v>
      </c>
      <c r="CX117" s="197">
        <f>'Margins summary'!$S$14</f>
        <v>471.64</v>
      </c>
      <c r="CY117" s="197">
        <f t="shared" si="349"/>
        <v>471.64</v>
      </c>
      <c r="CZ117" s="197"/>
      <c r="DA117" s="913">
        <f>'Energy NPV'!U43</f>
        <v>2000.1999999999998</v>
      </c>
      <c r="DB117" s="197"/>
      <c r="DC117" s="197">
        <f t="shared" si="350"/>
        <v>2000.1999999999998</v>
      </c>
      <c r="DD117" s="197">
        <f t="shared" si="311"/>
        <v>-2000.1999999999998</v>
      </c>
      <c r="DE117" s="197">
        <f t="shared" si="312"/>
        <v>-1528.56</v>
      </c>
      <c r="DF117" s="196">
        <f t="shared" si="351"/>
        <v>0</v>
      </c>
      <c r="DG117" s="197">
        <f t="shared" si="352"/>
        <v>403.15984865725983</v>
      </c>
      <c r="DH117" s="197">
        <f t="shared" si="353"/>
        <v>1709.7793428976572</v>
      </c>
      <c r="DI117" s="197">
        <f t="shared" si="354"/>
        <v>-1709.7793428976572</v>
      </c>
      <c r="DJ117" s="199">
        <f t="shared" si="355"/>
        <v>-1306.6194942403974</v>
      </c>
      <c r="DK117" s="196">
        <f t="shared" si="367"/>
        <v>0</v>
      </c>
      <c r="DL117" s="197">
        <f t="shared" si="356"/>
        <v>2183.6437835685024</v>
      </c>
      <c r="DM117" s="197">
        <f t="shared" si="356"/>
        <v>74485.860214540793</v>
      </c>
      <c r="DN117" s="197">
        <f t="shared" si="356"/>
        <v>-74485.860214540793</v>
      </c>
      <c r="DO117" s="199">
        <f t="shared" si="356"/>
        <v>-72302.216430972287</v>
      </c>
    </row>
    <row r="118" spans="2:119" x14ac:dyDescent="0.3">
      <c r="B118" s="895">
        <v>6</v>
      </c>
      <c r="C118" s="757">
        <f>'Energy NPV'!$D44</f>
        <v>12.54</v>
      </c>
      <c r="D118" s="197">
        <f>'Energy Inputs'!$E$58*$E$109</f>
        <v>269.5</v>
      </c>
      <c r="E118" s="197">
        <f t="shared" si="357"/>
        <v>3379.5299999999997</v>
      </c>
      <c r="F118" s="197">
        <f>'Margins summary'!$S$14</f>
        <v>471.64</v>
      </c>
      <c r="G118" s="197">
        <f t="shared" si="313"/>
        <v>3851.1699999999996</v>
      </c>
      <c r="H118" s="197"/>
      <c r="I118" s="913">
        <f>'Energy NPV'!U44</f>
        <v>2000.1999999999998</v>
      </c>
      <c r="J118" s="197"/>
      <c r="K118" s="197">
        <f t="shared" si="314"/>
        <v>2000.1999999999998</v>
      </c>
      <c r="L118" s="197">
        <f t="shared" si="303"/>
        <v>1379.33</v>
      </c>
      <c r="M118" s="197">
        <f t="shared" si="304"/>
        <v>1850.9699999999998</v>
      </c>
      <c r="N118" s="196">
        <f t="shared" si="315"/>
        <v>2777.727315106431</v>
      </c>
      <c r="O118" s="197">
        <f t="shared" si="316"/>
        <v>387.65370063198054</v>
      </c>
      <c r="P118" s="197">
        <f t="shared" si="317"/>
        <v>1644.0185989400547</v>
      </c>
      <c r="Q118" s="197">
        <f t="shared" si="318"/>
        <v>1133.7087161663762</v>
      </c>
      <c r="R118" s="199">
        <f t="shared" si="319"/>
        <v>1521.3624167983567</v>
      </c>
      <c r="S118" s="196">
        <f t="shared" si="358"/>
        <v>12615.520635652803</v>
      </c>
      <c r="T118" s="197">
        <f t="shared" si="320"/>
        <v>2571.2974842004828</v>
      </c>
      <c r="U118" s="197">
        <f t="shared" si="320"/>
        <v>76129.878813480842</v>
      </c>
      <c r="V118" s="197">
        <f t="shared" si="320"/>
        <v>-63514.358177828064</v>
      </c>
      <c r="W118" s="199">
        <f t="shared" si="320"/>
        <v>-60943.06069362758</v>
      </c>
      <c r="Z118" s="895">
        <v>6</v>
      </c>
      <c r="AA118" s="757">
        <f t="shared" si="321"/>
        <v>12.54</v>
      </c>
      <c r="AB118" s="197">
        <f>'Energy Inputs'!$E$58*$AB$109</f>
        <v>404.25</v>
      </c>
      <c r="AC118" s="197">
        <f t="shared" si="359"/>
        <v>5069.2950000000001</v>
      </c>
      <c r="AD118" s="197">
        <f>'Margins summary'!$S$14</f>
        <v>471.64</v>
      </c>
      <c r="AE118" s="197">
        <f t="shared" si="322"/>
        <v>5540.9350000000004</v>
      </c>
      <c r="AF118" s="197"/>
      <c r="AG118" s="913">
        <f>'Energy NPV'!U44</f>
        <v>2000.1999999999998</v>
      </c>
      <c r="AH118" s="197"/>
      <c r="AI118" s="197">
        <f t="shared" si="323"/>
        <v>2000.1999999999998</v>
      </c>
      <c r="AJ118" s="197">
        <f t="shared" si="305"/>
        <v>3069.0950000000003</v>
      </c>
      <c r="AK118" s="197">
        <f t="shared" si="306"/>
        <v>3540.7350000000006</v>
      </c>
      <c r="AL118" s="196">
        <f t="shared" si="324"/>
        <v>4166.5909726596474</v>
      </c>
      <c r="AM118" s="197">
        <f t="shared" si="325"/>
        <v>387.65370063198054</v>
      </c>
      <c r="AN118" s="197">
        <f t="shared" si="326"/>
        <v>1644.0185989400547</v>
      </c>
      <c r="AO118" s="197">
        <f t="shared" si="327"/>
        <v>2522.5723737195922</v>
      </c>
      <c r="AP118" s="199">
        <f t="shared" si="328"/>
        <v>2910.2260743515731</v>
      </c>
      <c r="AQ118" s="196">
        <f t="shared" si="360"/>
        <v>18923.280953479207</v>
      </c>
      <c r="AR118" s="197">
        <f t="shared" si="329"/>
        <v>2571.2974842004828</v>
      </c>
      <c r="AS118" s="197">
        <f t="shared" si="329"/>
        <v>76129.878813480842</v>
      </c>
      <c r="AT118" s="197">
        <f t="shared" si="329"/>
        <v>-57206.597860001639</v>
      </c>
      <c r="AU118" s="199">
        <f t="shared" si="329"/>
        <v>-54635.300375801162</v>
      </c>
      <c r="AX118" s="895">
        <v>6</v>
      </c>
      <c r="AY118" s="757">
        <f t="shared" si="330"/>
        <v>12.54</v>
      </c>
      <c r="AZ118" s="197">
        <f>'Energy Inputs'!$E$58*$AZ$109</f>
        <v>134.75</v>
      </c>
      <c r="BA118" s="197">
        <f t="shared" si="361"/>
        <v>1689.7649999999999</v>
      </c>
      <c r="BB118" s="197">
        <f>'Margins summary'!$S$14</f>
        <v>471.64</v>
      </c>
      <c r="BC118" s="197">
        <f t="shared" si="331"/>
        <v>2161.4049999999997</v>
      </c>
      <c r="BD118" s="197"/>
      <c r="BE118" s="913">
        <f>'Energy NPV'!U44</f>
        <v>2000.1999999999998</v>
      </c>
      <c r="BF118" s="197"/>
      <c r="BG118" s="197">
        <f t="shared" si="332"/>
        <v>2000.1999999999998</v>
      </c>
      <c r="BH118" s="197">
        <f t="shared" si="307"/>
        <v>-310.43499999999995</v>
      </c>
      <c r="BI118" s="197">
        <f t="shared" si="308"/>
        <v>161.20499999999993</v>
      </c>
      <c r="BJ118" s="196">
        <f t="shared" si="333"/>
        <v>1388.8636575532155</v>
      </c>
      <c r="BK118" s="197">
        <f t="shared" si="334"/>
        <v>387.65370063198054</v>
      </c>
      <c r="BL118" s="197">
        <f t="shared" si="335"/>
        <v>1644.0185989400547</v>
      </c>
      <c r="BM118" s="197">
        <f t="shared" si="336"/>
        <v>-255.15494138683925</v>
      </c>
      <c r="BN118" s="199">
        <f t="shared" si="337"/>
        <v>132.4987592451412</v>
      </c>
      <c r="BO118" s="196">
        <f t="shared" si="362"/>
        <v>6307.7603178264017</v>
      </c>
      <c r="BP118" s="197">
        <f t="shared" si="338"/>
        <v>2571.2974842004828</v>
      </c>
      <c r="BQ118" s="197">
        <f t="shared" si="338"/>
        <v>76129.878813480842</v>
      </c>
      <c r="BR118" s="197">
        <f t="shared" si="338"/>
        <v>-69822.11849565446</v>
      </c>
      <c r="BS118" s="199">
        <f t="shared" si="338"/>
        <v>-67250.821011453969</v>
      </c>
      <c r="BV118" s="895">
        <v>6</v>
      </c>
      <c r="BW118" s="757">
        <f t="shared" si="339"/>
        <v>12.54</v>
      </c>
      <c r="BX118" s="197">
        <f>'Energy Inputs'!$E$58*$BX$109</f>
        <v>539</v>
      </c>
      <c r="BY118" s="197">
        <f t="shared" si="363"/>
        <v>6759.0599999999995</v>
      </c>
      <c r="BZ118" s="197">
        <f>'Margins summary'!$S$14</f>
        <v>471.64</v>
      </c>
      <c r="CA118" s="197">
        <f t="shared" si="340"/>
        <v>7230.7</v>
      </c>
      <c r="CB118" s="197"/>
      <c r="CC118" s="913">
        <f>'Energy NPV'!U44</f>
        <v>2000.1999999999998</v>
      </c>
      <c r="CD118" s="197"/>
      <c r="CE118" s="197">
        <f t="shared" si="341"/>
        <v>2000.1999999999998</v>
      </c>
      <c r="CF118" s="197">
        <f t="shared" si="309"/>
        <v>4758.8599999999997</v>
      </c>
      <c r="CG118" s="197">
        <f t="shared" si="310"/>
        <v>5230.5</v>
      </c>
      <c r="CH118" s="196">
        <f t="shared" si="342"/>
        <v>5555.454630212862</v>
      </c>
      <c r="CI118" s="197">
        <f t="shared" si="343"/>
        <v>387.65370063198054</v>
      </c>
      <c r="CJ118" s="197">
        <f t="shared" si="344"/>
        <v>1644.0185989400547</v>
      </c>
      <c r="CK118" s="197">
        <f t="shared" si="345"/>
        <v>3911.4360312728072</v>
      </c>
      <c r="CL118" s="199">
        <f t="shared" si="346"/>
        <v>4299.0897319047881</v>
      </c>
      <c r="CM118" s="196">
        <f t="shared" si="364"/>
        <v>25231.041271305607</v>
      </c>
      <c r="CN118" s="197">
        <f t="shared" si="347"/>
        <v>2571.2974842004828</v>
      </c>
      <c r="CO118" s="197">
        <f t="shared" si="347"/>
        <v>76129.878813480842</v>
      </c>
      <c r="CP118" s="197">
        <f t="shared" si="347"/>
        <v>-50898.837542175257</v>
      </c>
      <c r="CQ118" s="199">
        <f t="shared" si="347"/>
        <v>-48327.540057974766</v>
      </c>
      <c r="CT118" s="204">
        <f t="shared" si="365"/>
        <v>6</v>
      </c>
      <c r="CU118" s="757">
        <f t="shared" si="348"/>
        <v>12.54</v>
      </c>
      <c r="CV118" s="197">
        <f>'Energy Inputs'!$E$58*$CV$109</f>
        <v>0</v>
      </c>
      <c r="CW118" s="197">
        <f t="shared" si="366"/>
        <v>0</v>
      </c>
      <c r="CX118" s="197">
        <f>'Margins summary'!$S$14</f>
        <v>471.64</v>
      </c>
      <c r="CY118" s="197">
        <f t="shared" si="349"/>
        <v>471.64</v>
      </c>
      <c r="CZ118" s="197"/>
      <c r="DA118" s="913">
        <f>'Energy NPV'!U44</f>
        <v>2000.1999999999998</v>
      </c>
      <c r="DB118" s="197"/>
      <c r="DC118" s="197">
        <f t="shared" si="350"/>
        <v>2000.1999999999998</v>
      </c>
      <c r="DD118" s="197">
        <f t="shared" si="311"/>
        <v>-2000.1999999999998</v>
      </c>
      <c r="DE118" s="197">
        <f t="shared" si="312"/>
        <v>-1528.56</v>
      </c>
      <c r="DF118" s="196">
        <f t="shared" si="351"/>
        <v>0</v>
      </c>
      <c r="DG118" s="197">
        <f t="shared" si="352"/>
        <v>387.65370063198054</v>
      </c>
      <c r="DH118" s="197">
        <f t="shared" si="353"/>
        <v>1644.0185989400547</v>
      </c>
      <c r="DI118" s="197">
        <f t="shared" si="354"/>
        <v>-1644.0185989400547</v>
      </c>
      <c r="DJ118" s="199">
        <f t="shared" si="355"/>
        <v>-1256.3648983080743</v>
      </c>
      <c r="DK118" s="196">
        <f t="shared" si="367"/>
        <v>0</v>
      </c>
      <c r="DL118" s="197">
        <f t="shared" si="356"/>
        <v>2571.2974842004828</v>
      </c>
      <c r="DM118" s="197">
        <f t="shared" si="356"/>
        <v>76129.878813480842</v>
      </c>
      <c r="DN118" s="197">
        <f t="shared" si="356"/>
        <v>-76129.878813480842</v>
      </c>
      <c r="DO118" s="199">
        <f t="shared" si="356"/>
        <v>-73558.581329280365</v>
      </c>
    </row>
    <row r="119" spans="2:119" x14ac:dyDescent="0.3">
      <c r="B119" s="895">
        <v>7</v>
      </c>
      <c r="C119" s="757">
        <f>'Energy NPV'!$D45</f>
        <v>12.54</v>
      </c>
      <c r="D119" s="197">
        <f>'Energy Inputs'!$E$58*$E$109</f>
        <v>269.5</v>
      </c>
      <c r="E119" s="197">
        <f t="shared" si="357"/>
        <v>3379.5299999999997</v>
      </c>
      <c r="F119" s="197">
        <f>'Margins summary'!$S$14</f>
        <v>471.64</v>
      </c>
      <c r="G119" s="197">
        <f t="shared" si="313"/>
        <v>3851.1699999999996</v>
      </c>
      <c r="H119" s="197"/>
      <c r="I119" s="913">
        <f>'Energy NPV'!U45</f>
        <v>2000.1999999999998</v>
      </c>
      <c r="J119" s="197"/>
      <c r="K119" s="197">
        <f t="shared" si="314"/>
        <v>2000.1999999999998</v>
      </c>
      <c r="L119" s="197">
        <f t="shared" si="303"/>
        <v>1379.33</v>
      </c>
      <c r="M119" s="197">
        <f t="shared" si="304"/>
        <v>1850.9699999999998</v>
      </c>
      <c r="N119" s="196">
        <f t="shared" si="315"/>
        <v>2670.891649140799</v>
      </c>
      <c r="O119" s="197">
        <f t="shared" si="316"/>
        <v>372.74394291536589</v>
      </c>
      <c r="P119" s="197">
        <f t="shared" si="317"/>
        <v>1580.7871143654372</v>
      </c>
      <c r="Q119" s="197">
        <f t="shared" si="318"/>
        <v>1090.1045347753618</v>
      </c>
      <c r="R119" s="199">
        <f t="shared" si="319"/>
        <v>1462.8484776907276</v>
      </c>
      <c r="S119" s="196">
        <f t="shared" si="358"/>
        <v>15286.412284793601</v>
      </c>
      <c r="T119" s="197">
        <f t="shared" si="320"/>
        <v>2944.0414271158488</v>
      </c>
      <c r="U119" s="197">
        <f t="shared" si="320"/>
        <v>77710.665927846276</v>
      </c>
      <c r="V119" s="197">
        <f t="shared" si="320"/>
        <v>-62424.253643052703</v>
      </c>
      <c r="W119" s="199">
        <f t="shared" si="320"/>
        <v>-59480.212215936852</v>
      </c>
      <c r="Z119" s="895">
        <v>7</v>
      </c>
      <c r="AA119" s="757">
        <f t="shared" si="321"/>
        <v>12.54</v>
      </c>
      <c r="AB119" s="197">
        <f>'Energy Inputs'!$E$58*$AB$109</f>
        <v>404.25</v>
      </c>
      <c r="AC119" s="197">
        <f t="shared" si="359"/>
        <v>5069.2950000000001</v>
      </c>
      <c r="AD119" s="197">
        <f>'Margins summary'!$S$14</f>
        <v>471.64</v>
      </c>
      <c r="AE119" s="197">
        <f t="shared" si="322"/>
        <v>5540.9350000000004</v>
      </c>
      <c r="AF119" s="197"/>
      <c r="AG119" s="913">
        <f>'Energy NPV'!U45</f>
        <v>2000.1999999999998</v>
      </c>
      <c r="AH119" s="197"/>
      <c r="AI119" s="197">
        <f t="shared" si="323"/>
        <v>2000.1999999999998</v>
      </c>
      <c r="AJ119" s="197">
        <f t="shared" si="305"/>
        <v>3069.0950000000003</v>
      </c>
      <c r="AK119" s="197">
        <f t="shared" si="306"/>
        <v>3540.7350000000006</v>
      </c>
      <c r="AL119" s="196">
        <f t="shared" si="324"/>
        <v>4006.337473711199</v>
      </c>
      <c r="AM119" s="197">
        <f t="shared" si="325"/>
        <v>372.74394291536589</v>
      </c>
      <c r="AN119" s="197">
        <f t="shared" si="326"/>
        <v>1580.7871143654372</v>
      </c>
      <c r="AO119" s="197">
        <f t="shared" si="327"/>
        <v>2425.5503593457615</v>
      </c>
      <c r="AP119" s="199">
        <f t="shared" si="328"/>
        <v>2798.294302261128</v>
      </c>
      <c r="AQ119" s="196">
        <f t="shared" si="360"/>
        <v>22929.618427190406</v>
      </c>
      <c r="AR119" s="197">
        <f t="shared" si="329"/>
        <v>2944.0414271158488</v>
      </c>
      <c r="AS119" s="197">
        <f t="shared" si="329"/>
        <v>77710.665927846276</v>
      </c>
      <c r="AT119" s="197">
        <f t="shared" si="329"/>
        <v>-54781.047500655877</v>
      </c>
      <c r="AU119" s="199">
        <f t="shared" si="329"/>
        <v>-51837.006073540033</v>
      </c>
      <c r="AX119" s="895">
        <v>7</v>
      </c>
      <c r="AY119" s="757">
        <f t="shared" si="330"/>
        <v>12.54</v>
      </c>
      <c r="AZ119" s="197">
        <f>'Energy Inputs'!$E$58*$AZ$109</f>
        <v>134.75</v>
      </c>
      <c r="BA119" s="197">
        <f t="shared" si="361"/>
        <v>1689.7649999999999</v>
      </c>
      <c r="BB119" s="197">
        <f>'Margins summary'!$S$14</f>
        <v>471.64</v>
      </c>
      <c r="BC119" s="197">
        <f t="shared" si="331"/>
        <v>2161.4049999999997</v>
      </c>
      <c r="BD119" s="197"/>
      <c r="BE119" s="913">
        <f>'Energy NPV'!U45</f>
        <v>2000.1999999999998</v>
      </c>
      <c r="BF119" s="197"/>
      <c r="BG119" s="197">
        <f t="shared" si="332"/>
        <v>2000.1999999999998</v>
      </c>
      <c r="BH119" s="197">
        <f t="shared" si="307"/>
        <v>-310.43499999999995</v>
      </c>
      <c r="BI119" s="197">
        <f t="shared" si="308"/>
        <v>161.20499999999993</v>
      </c>
      <c r="BJ119" s="196">
        <f t="shared" si="333"/>
        <v>1335.4458245703995</v>
      </c>
      <c r="BK119" s="197">
        <f t="shared" si="334"/>
        <v>372.74394291536589</v>
      </c>
      <c r="BL119" s="197">
        <f t="shared" si="335"/>
        <v>1580.7871143654372</v>
      </c>
      <c r="BM119" s="197">
        <f t="shared" si="336"/>
        <v>-245.34128979503774</v>
      </c>
      <c r="BN119" s="199">
        <f t="shared" si="337"/>
        <v>127.40265312032808</v>
      </c>
      <c r="BO119" s="196">
        <f t="shared" si="362"/>
        <v>7643.2061423968007</v>
      </c>
      <c r="BP119" s="197">
        <f t="shared" si="338"/>
        <v>2944.0414271158488</v>
      </c>
      <c r="BQ119" s="197">
        <f t="shared" si="338"/>
        <v>77710.665927846276</v>
      </c>
      <c r="BR119" s="197">
        <f t="shared" si="338"/>
        <v>-70067.459785449493</v>
      </c>
      <c r="BS119" s="199">
        <f t="shared" si="338"/>
        <v>-67123.418358333642</v>
      </c>
      <c r="BV119" s="895">
        <v>7</v>
      </c>
      <c r="BW119" s="757">
        <f t="shared" si="339"/>
        <v>12.54</v>
      </c>
      <c r="BX119" s="197">
        <f>'Energy Inputs'!$E$58*$BX$109</f>
        <v>539</v>
      </c>
      <c r="BY119" s="197">
        <f t="shared" si="363"/>
        <v>6759.0599999999995</v>
      </c>
      <c r="BZ119" s="197">
        <f>'Margins summary'!$S$14</f>
        <v>471.64</v>
      </c>
      <c r="CA119" s="197">
        <f t="shared" si="340"/>
        <v>7230.7</v>
      </c>
      <c r="CB119" s="197"/>
      <c r="CC119" s="913">
        <f>'Energy NPV'!U45</f>
        <v>2000.1999999999998</v>
      </c>
      <c r="CD119" s="197"/>
      <c r="CE119" s="197">
        <f t="shared" si="341"/>
        <v>2000.1999999999998</v>
      </c>
      <c r="CF119" s="197">
        <f t="shared" si="309"/>
        <v>4758.8599999999997</v>
      </c>
      <c r="CG119" s="197">
        <f t="shared" si="310"/>
        <v>5230.5</v>
      </c>
      <c r="CH119" s="196">
        <f t="shared" si="342"/>
        <v>5341.783298281598</v>
      </c>
      <c r="CI119" s="197">
        <f t="shared" si="343"/>
        <v>372.74394291536589</v>
      </c>
      <c r="CJ119" s="197">
        <f t="shared" si="344"/>
        <v>1580.7871143654372</v>
      </c>
      <c r="CK119" s="197">
        <f t="shared" si="345"/>
        <v>3760.996183916161</v>
      </c>
      <c r="CL119" s="199">
        <f t="shared" si="346"/>
        <v>4133.740126831527</v>
      </c>
      <c r="CM119" s="196">
        <f t="shared" si="364"/>
        <v>30572.824569587203</v>
      </c>
      <c r="CN119" s="197">
        <f t="shared" si="347"/>
        <v>2944.0414271158488</v>
      </c>
      <c r="CO119" s="197">
        <f t="shared" si="347"/>
        <v>77710.665927846276</v>
      </c>
      <c r="CP119" s="197">
        <f t="shared" si="347"/>
        <v>-47137.841358259095</v>
      </c>
      <c r="CQ119" s="199">
        <f t="shared" si="347"/>
        <v>-44193.799931143236</v>
      </c>
      <c r="CT119" s="204">
        <f t="shared" si="365"/>
        <v>7</v>
      </c>
      <c r="CU119" s="757">
        <f t="shared" si="348"/>
        <v>12.54</v>
      </c>
      <c r="CV119" s="197">
        <f>'Energy Inputs'!$E$58*$CV$109</f>
        <v>0</v>
      </c>
      <c r="CW119" s="197">
        <f t="shared" si="366"/>
        <v>0</v>
      </c>
      <c r="CX119" s="197">
        <f>'Margins summary'!$S$14</f>
        <v>471.64</v>
      </c>
      <c r="CY119" s="197">
        <f t="shared" si="349"/>
        <v>471.64</v>
      </c>
      <c r="CZ119" s="197"/>
      <c r="DA119" s="913">
        <f>'Energy NPV'!U45</f>
        <v>2000.1999999999998</v>
      </c>
      <c r="DB119" s="197"/>
      <c r="DC119" s="197">
        <f t="shared" si="350"/>
        <v>2000.1999999999998</v>
      </c>
      <c r="DD119" s="197">
        <f t="shared" si="311"/>
        <v>-2000.1999999999998</v>
      </c>
      <c r="DE119" s="197">
        <f t="shared" si="312"/>
        <v>-1528.56</v>
      </c>
      <c r="DF119" s="196">
        <f t="shared" si="351"/>
        <v>0</v>
      </c>
      <c r="DG119" s="197">
        <f t="shared" si="352"/>
        <v>372.74394291536589</v>
      </c>
      <c r="DH119" s="197">
        <f t="shared" si="353"/>
        <v>1580.7871143654372</v>
      </c>
      <c r="DI119" s="197">
        <f t="shared" si="354"/>
        <v>-1580.7871143654372</v>
      </c>
      <c r="DJ119" s="199">
        <f t="shared" si="355"/>
        <v>-1208.0431714500714</v>
      </c>
      <c r="DK119" s="196">
        <f t="shared" si="367"/>
        <v>0</v>
      </c>
      <c r="DL119" s="197">
        <f t="shared" si="356"/>
        <v>2944.0414271158488</v>
      </c>
      <c r="DM119" s="197">
        <f t="shared" si="356"/>
        <v>77710.665927846276</v>
      </c>
      <c r="DN119" s="197">
        <f t="shared" si="356"/>
        <v>-77710.665927846276</v>
      </c>
      <c r="DO119" s="199">
        <f t="shared" si="356"/>
        <v>-74766.624500730439</v>
      </c>
    </row>
    <row r="120" spans="2:119" x14ac:dyDescent="0.3">
      <c r="B120" s="895">
        <v>8</v>
      </c>
      <c r="C120" s="757">
        <f>'Energy NPV'!$D46</f>
        <v>12.54</v>
      </c>
      <c r="D120" s="197">
        <f>'Energy Inputs'!$E$58*$E$109</f>
        <v>269.5</v>
      </c>
      <c r="E120" s="197">
        <f t="shared" si="357"/>
        <v>3379.5299999999997</v>
      </c>
      <c r="F120" s="197">
        <f>'Margins summary'!$S$14</f>
        <v>471.64</v>
      </c>
      <c r="G120" s="197">
        <f t="shared" si="313"/>
        <v>3851.1699999999996</v>
      </c>
      <c r="H120" s="197"/>
      <c r="I120" s="913">
        <f>'Energy NPV'!U46</f>
        <v>2000.1999999999998</v>
      </c>
      <c r="J120" s="197"/>
      <c r="K120" s="197">
        <f t="shared" si="314"/>
        <v>2000.1999999999998</v>
      </c>
      <c r="L120" s="197">
        <f t="shared" si="303"/>
        <v>1379.33</v>
      </c>
      <c r="M120" s="197">
        <f t="shared" si="304"/>
        <v>1850.9699999999998</v>
      </c>
      <c r="N120" s="196">
        <f t="shared" si="315"/>
        <v>2568.1650472507686</v>
      </c>
      <c r="O120" s="197">
        <f t="shared" si="316"/>
        <v>358.40763741862111</v>
      </c>
      <c r="P120" s="197">
        <f t="shared" si="317"/>
        <v>1519.9876099667667</v>
      </c>
      <c r="Q120" s="197">
        <f t="shared" si="318"/>
        <v>1048.1774372840018</v>
      </c>
      <c r="R120" s="199">
        <f t="shared" si="319"/>
        <v>1406.5850747026229</v>
      </c>
      <c r="S120" s="196">
        <f t="shared" si="358"/>
        <v>17854.57733204437</v>
      </c>
      <c r="T120" s="197">
        <f t="shared" si="320"/>
        <v>3302.4490645344699</v>
      </c>
      <c r="U120" s="197">
        <f t="shared" si="320"/>
        <v>79230.653537813036</v>
      </c>
      <c r="V120" s="197">
        <f t="shared" si="320"/>
        <v>-61376.076205768702</v>
      </c>
      <c r="W120" s="199">
        <f t="shared" si="320"/>
        <v>-58073.627141234232</v>
      </c>
      <c r="Z120" s="895">
        <v>8</v>
      </c>
      <c r="AA120" s="757">
        <f t="shared" si="321"/>
        <v>12.54</v>
      </c>
      <c r="AB120" s="197">
        <f>'Energy Inputs'!$E$58*$AB$109</f>
        <v>404.25</v>
      </c>
      <c r="AC120" s="197">
        <f t="shared" si="359"/>
        <v>5069.2950000000001</v>
      </c>
      <c r="AD120" s="197">
        <f>'Margins summary'!$S$14</f>
        <v>471.64</v>
      </c>
      <c r="AE120" s="197">
        <f t="shared" si="322"/>
        <v>5540.9350000000004</v>
      </c>
      <c r="AF120" s="197"/>
      <c r="AG120" s="913">
        <f>'Energy NPV'!U46</f>
        <v>2000.1999999999998</v>
      </c>
      <c r="AH120" s="197"/>
      <c r="AI120" s="197">
        <f t="shared" si="323"/>
        <v>2000.1999999999998</v>
      </c>
      <c r="AJ120" s="197">
        <f t="shared" si="305"/>
        <v>3069.0950000000003</v>
      </c>
      <c r="AK120" s="197">
        <f t="shared" si="306"/>
        <v>3540.7350000000006</v>
      </c>
      <c r="AL120" s="196">
        <f t="shared" si="324"/>
        <v>3852.2475708761531</v>
      </c>
      <c r="AM120" s="197">
        <f t="shared" si="325"/>
        <v>358.40763741862111</v>
      </c>
      <c r="AN120" s="197">
        <f t="shared" si="326"/>
        <v>1519.9876099667667</v>
      </c>
      <c r="AO120" s="197">
        <f t="shared" si="327"/>
        <v>2332.2599609093863</v>
      </c>
      <c r="AP120" s="199">
        <f t="shared" si="328"/>
        <v>2690.6675983280079</v>
      </c>
      <c r="AQ120" s="196">
        <f t="shared" si="360"/>
        <v>26781.865998066558</v>
      </c>
      <c r="AR120" s="197">
        <f t="shared" si="329"/>
        <v>3302.4490645344699</v>
      </c>
      <c r="AS120" s="197">
        <f t="shared" si="329"/>
        <v>79230.653537813036</v>
      </c>
      <c r="AT120" s="197">
        <f t="shared" si="329"/>
        <v>-52448.787539746489</v>
      </c>
      <c r="AU120" s="199">
        <f t="shared" si="329"/>
        <v>-49146.338475212026</v>
      </c>
      <c r="AX120" s="895">
        <v>8</v>
      </c>
      <c r="AY120" s="757">
        <f t="shared" si="330"/>
        <v>12.54</v>
      </c>
      <c r="AZ120" s="197">
        <f>'Energy Inputs'!$E$58*$AZ$109</f>
        <v>134.75</v>
      </c>
      <c r="BA120" s="197">
        <f t="shared" si="361"/>
        <v>1689.7649999999999</v>
      </c>
      <c r="BB120" s="197">
        <f>'Margins summary'!$S$14</f>
        <v>471.64</v>
      </c>
      <c r="BC120" s="197">
        <f t="shared" si="331"/>
        <v>2161.4049999999997</v>
      </c>
      <c r="BD120" s="197"/>
      <c r="BE120" s="913">
        <f>'Energy NPV'!U46</f>
        <v>2000.1999999999998</v>
      </c>
      <c r="BF120" s="197"/>
      <c r="BG120" s="197">
        <f t="shared" si="332"/>
        <v>2000.1999999999998</v>
      </c>
      <c r="BH120" s="197">
        <f t="shared" si="307"/>
        <v>-310.43499999999995</v>
      </c>
      <c r="BI120" s="197">
        <f t="shared" si="308"/>
        <v>161.20499999999993</v>
      </c>
      <c r="BJ120" s="196">
        <f t="shared" si="333"/>
        <v>1284.0825236253843</v>
      </c>
      <c r="BK120" s="197">
        <f t="shared" si="334"/>
        <v>358.40763741862111</v>
      </c>
      <c r="BL120" s="197">
        <f t="shared" si="335"/>
        <v>1519.9876099667667</v>
      </c>
      <c r="BM120" s="197">
        <f t="shared" si="336"/>
        <v>-235.90508634138246</v>
      </c>
      <c r="BN120" s="199">
        <f t="shared" si="337"/>
        <v>122.50255107723855</v>
      </c>
      <c r="BO120" s="196">
        <f t="shared" si="362"/>
        <v>8927.2886660221848</v>
      </c>
      <c r="BP120" s="197">
        <f t="shared" si="338"/>
        <v>3302.4490645344699</v>
      </c>
      <c r="BQ120" s="197">
        <f t="shared" si="338"/>
        <v>79230.653537813036</v>
      </c>
      <c r="BR120" s="197">
        <f t="shared" si="338"/>
        <v>-70303.36487179088</v>
      </c>
      <c r="BS120" s="199">
        <f t="shared" si="338"/>
        <v>-67000.915807256402</v>
      </c>
      <c r="BV120" s="895">
        <v>8</v>
      </c>
      <c r="BW120" s="757">
        <f t="shared" si="339"/>
        <v>12.54</v>
      </c>
      <c r="BX120" s="197">
        <f>'Energy Inputs'!$E$58*$BX$109</f>
        <v>539</v>
      </c>
      <c r="BY120" s="197">
        <f t="shared" si="363"/>
        <v>6759.0599999999995</v>
      </c>
      <c r="BZ120" s="197">
        <f>'Margins summary'!$S$14</f>
        <v>471.64</v>
      </c>
      <c r="CA120" s="197">
        <f t="shared" si="340"/>
        <v>7230.7</v>
      </c>
      <c r="CB120" s="197"/>
      <c r="CC120" s="913">
        <f>'Energy NPV'!U46</f>
        <v>2000.1999999999998</v>
      </c>
      <c r="CD120" s="197"/>
      <c r="CE120" s="197">
        <f t="shared" si="341"/>
        <v>2000.1999999999998</v>
      </c>
      <c r="CF120" s="197">
        <f t="shared" si="309"/>
        <v>4758.8599999999997</v>
      </c>
      <c r="CG120" s="197">
        <f t="shared" si="310"/>
        <v>5230.5</v>
      </c>
      <c r="CH120" s="196">
        <f t="shared" si="342"/>
        <v>5136.3300945015371</v>
      </c>
      <c r="CI120" s="197">
        <f t="shared" si="343"/>
        <v>358.40763741862111</v>
      </c>
      <c r="CJ120" s="197">
        <f t="shared" si="344"/>
        <v>1519.9876099667667</v>
      </c>
      <c r="CK120" s="197">
        <f t="shared" si="345"/>
        <v>3616.3424845347704</v>
      </c>
      <c r="CL120" s="199">
        <f t="shared" si="346"/>
        <v>3974.750121953392</v>
      </c>
      <c r="CM120" s="196">
        <f t="shared" si="364"/>
        <v>35709.154664088739</v>
      </c>
      <c r="CN120" s="197">
        <f t="shared" si="347"/>
        <v>3302.4490645344699</v>
      </c>
      <c r="CO120" s="197">
        <f t="shared" si="347"/>
        <v>79230.653537813036</v>
      </c>
      <c r="CP120" s="197">
        <f t="shared" si="347"/>
        <v>-43521.498873724326</v>
      </c>
      <c r="CQ120" s="199">
        <f t="shared" si="347"/>
        <v>-40219.049809189841</v>
      </c>
      <c r="CT120" s="204">
        <f t="shared" si="365"/>
        <v>8</v>
      </c>
      <c r="CU120" s="757">
        <f t="shared" si="348"/>
        <v>12.54</v>
      </c>
      <c r="CV120" s="197">
        <f>'Energy Inputs'!$E$58*$CV$109</f>
        <v>0</v>
      </c>
      <c r="CW120" s="197">
        <f t="shared" si="366"/>
        <v>0</v>
      </c>
      <c r="CX120" s="197">
        <f>'Margins summary'!$S$14</f>
        <v>471.64</v>
      </c>
      <c r="CY120" s="197">
        <f t="shared" si="349"/>
        <v>471.64</v>
      </c>
      <c r="CZ120" s="197"/>
      <c r="DA120" s="913">
        <f>'Energy NPV'!U46</f>
        <v>2000.1999999999998</v>
      </c>
      <c r="DB120" s="197"/>
      <c r="DC120" s="197">
        <f t="shared" si="350"/>
        <v>2000.1999999999998</v>
      </c>
      <c r="DD120" s="197">
        <f t="shared" si="311"/>
        <v>-2000.1999999999998</v>
      </c>
      <c r="DE120" s="197">
        <f t="shared" si="312"/>
        <v>-1528.56</v>
      </c>
      <c r="DF120" s="196">
        <f t="shared" si="351"/>
        <v>0</v>
      </c>
      <c r="DG120" s="197">
        <f t="shared" si="352"/>
        <v>358.40763741862111</v>
      </c>
      <c r="DH120" s="197">
        <f t="shared" si="353"/>
        <v>1519.9876099667667</v>
      </c>
      <c r="DI120" s="197">
        <f t="shared" si="354"/>
        <v>-1519.9876099667667</v>
      </c>
      <c r="DJ120" s="199">
        <f t="shared" si="355"/>
        <v>-1161.5799725481459</v>
      </c>
      <c r="DK120" s="196">
        <f t="shared" si="367"/>
        <v>0</v>
      </c>
      <c r="DL120" s="197">
        <f t="shared" si="356"/>
        <v>3302.4490645344699</v>
      </c>
      <c r="DM120" s="197">
        <f t="shared" si="356"/>
        <v>79230.653537813036</v>
      </c>
      <c r="DN120" s="197">
        <f t="shared" si="356"/>
        <v>-79230.653537813036</v>
      </c>
      <c r="DO120" s="199">
        <f t="shared" si="356"/>
        <v>-75928.204473278587</v>
      </c>
    </row>
    <row r="121" spans="2:119" x14ac:dyDescent="0.3">
      <c r="B121" s="895">
        <v>9</v>
      </c>
      <c r="C121" s="757">
        <f>'Energy NPV'!$D47</f>
        <v>12.54</v>
      </c>
      <c r="D121" s="197">
        <f>'Energy Inputs'!$E$58*$E$109</f>
        <v>269.5</v>
      </c>
      <c r="E121" s="197">
        <f t="shared" si="357"/>
        <v>3379.5299999999997</v>
      </c>
      <c r="F121" s="197">
        <f>'Margins summary'!$S$14</f>
        <v>471.64</v>
      </c>
      <c r="G121" s="197">
        <f t="shared" si="313"/>
        <v>3851.1699999999996</v>
      </c>
      <c r="H121" s="197"/>
      <c r="I121" s="913">
        <f>'Energy NPV'!U47</f>
        <v>2000.1999999999998</v>
      </c>
      <c r="J121" s="197"/>
      <c r="K121" s="197">
        <f t="shared" si="314"/>
        <v>2000.1999999999998</v>
      </c>
      <c r="L121" s="197">
        <f t="shared" si="303"/>
        <v>1379.33</v>
      </c>
      <c r="M121" s="197">
        <f t="shared" si="304"/>
        <v>1850.9699999999998</v>
      </c>
      <c r="N121" s="196">
        <f t="shared" si="315"/>
        <v>2469.3894685103542</v>
      </c>
      <c r="O121" s="197">
        <f t="shared" si="316"/>
        <v>344.6227282871356</v>
      </c>
      <c r="P121" s="197">
        <f t="shared" si="317"/>
        <v>1461.5265480449677</v>
      </c>
      <c r="Q121" s="197">
        <f t="shared" si="318"/>
        <v>1007.8629204653862</v>
      </c>
      <c r="R121" s="199">
        <f t="shared" si="319"/>
        <v>1352.4856487525217</v>
      </c>
      <c r="S121" s="196">
        <f t="shared" si="358"/>
        <v>20323.966800554725</v>
      </c>
      <c r="T121" s="197">
        <f t="shared" si="320"/>
        <v>3647.0717928216054</v>
      </c>
      <c r="U121" s="197">
        <f t="shared" si="320"/>
        <v>80692.18008585801</v>
      </c>
      <c r="V121" s="197">
        <f t="shared" si="320"/>
        <v>-60368.213285303318</v>
      </c>
      <c r="W121" s="199">
        <f t="shared" si="320"/>
        <v>-56721.141492481707</v>
      </c>
      <c r="Z121" s="895">
        <v>9</v>
      </c>
      <c r="AA121" s="757">
        <f t="shared" si="321"/>
        <v>12.54</v>
      </c>
      <c r="AB121" s="197">
        <f>'Energy Inputs'!$E$58*$AB$109</f>
        <v>404.25</v>
      </c>
      <c r="AC121" s="197">
        <f t="shared" si="359"/>
        <v>5069.2950000000001</v>
      </c>
      <c r="AD121" s="197">
        <f>'Margins summary'!$S$14</f>
        <v>471.64</v>
      </c>
      <c r="AE121" s="197">
        <f t="shared" si="322"/>
        <v>5540.9350000000004</v>
      </c>
      <c r="AF121" s="197"/>
      <c r="AG121" s="913">
        <f>'Energy NPV'!U47</f>
        <v>2000.1999999999998</v>
      </c>
      <c r="AH121" s="197"/>
      <c r="AI121" s="197">
        <f t="shared" si="323"/>
        <v>2000.1999999999998</v>
      </c>
      <c r="AJ121" s="197">
        <f t="shared" si="305"/>
        <v>3069.0950000000003</v>
      </c>
      <c r="AK121" s="197">
        <f t="shared" si="306"/>
        <v>3540.7350000000006</v>
      </c>
      <c r="AL121" s="196">
        <f t="shared" si="324"/>
        <v>3704.0842027655312</v>
      </c>
      <c r="AM121" s="197">
        <f t="shared" si="325"/>
        <v>344.6227282871356</v>
      </c>
      <c r="AN121" s="197">
        <f t="shared" si="326"/>
        <v>1461.5265480449677</v>
      </c>
      <c r="AO121" s="197">
        <f t="shared" si="327"/>
        <v>2242.5576547205637</v>
      </c>
      <c r="AP121" s="199">
        <f t="shared" si="328"/>
        <v>2587.1803830076997</v>
      </c>
      <c r="AQ121" s="196">
        <f t="shared" si="360"/>
        <v>30485.950200832089</v>
      </c>
      <c r="AR121" s="197">
        <f t="shared" si="329"/>
        <v>3647.0717928216054</v>
      </c>
      <c r="AS121" s="197">
        <f t="shared" si="329"/>
        <v>80692.18008585801</v>
      </c>
      <c r="AT121" s="197">
        <f t="shared" si="329"/>
        <v>-50206.229885025925</v>
      </c>
      <c r="AU121" s="199">
        <f t="shared" si="329"/>
        <v>-46559.158092204329</v>
      </c>
      <c r="AX121" s="895">
        <v>9</v>
      </c>
      <c r="AY121" s="757">
        <f t="shared" si="330"/>
        <v>12.54</v>
      </c>
      <c r="AZ121" s="197">
        <f>'Energy Inputs'!$E$58*$AZ$109</f>
        <v>134.75</v>
      </c>
      <c r="BA121" s="197">
        <f t="shared" si="361"/>
        <v>1689.7649999999999</v>
      </c>
      <c r="BB121" s="197">
        <f>'Margins summary'!$S$14</f>
        <v>471.64</v>
      </c>
      <c r="BC121" s="197">
        <f t="shared" si="331"/>
        <v>2161.4049999999997</v>
      </c>
      <c r="BD121" s="197"/>
      <c r="BE121" s="913">
        <f>'Energy NPV'!U47</f>
        <v>2000.1999999999998</v>
      </c>
      <c r="BF121" s="197"/>
      <c r="BG121" s="197">
        <f t="shared" si="332"/>
        <v>2000.1999999999998</v>
      </c>
      <c r="BH121" s="197">
        <f t="shared" si="307"/>
        <v>-310.43499999999995</v>
      </c>
      <c r="BI121" s="197">
        <f t="shared" si="308"/>
        <v>161.20499999999993</v>
      </c>
      <c r="BJ121" s="196">
        <f t="shared" si="333"/>
        <v>1234.6947342551771</v>
      </c>
      <c r="BK121" s="197">
        <f t="shared" si="334"/>
        <v>344.6227282871356</v>
      </c>
      <c r="BL121" s="197">
        <f t="shared" si="335"/>
        <v>1461.5265480449677</v>
      </c>
      <c r="BM121" s="197">
        <f t="shared" si="336"/>
        <v>-226.8318137897908</v>
      </c>
      <c r="BN121" s="199">
        <f t="shared" si="337"/>
        <v>117.79091449734474</v>
      </c>
      <c r="BO121" s="196">
        <f t="shared" si="362"/>
        <v>10161.983400277362</v>
      </c>
      <c r="BP121" s="197">
        <f t="shared" si="338"/>
        <v>3647.0717928216054</v>
      </c>
      <c r="BQ121" s="197">
        <f t="shared" si="338"/>
        <v>80692.18008585801</v>
      </c>
      <c r="BR121" s="197">
        <f t="shared" si="338"/>
        <v>-70530.196685580668</v>
      </c>
      <c r="BS121" s="199">
        <f t="shared" si="338"/>
        <v>-66883.124892759064</v>
      </c>
      <c r="BV121" s="895">
        <v>9</v>
      </c>
      <c r="BW121" s="757">
        <f t="shared" si="339"/>
        <v>12.54</v>
      </c>
      <c r="BX121" s="197">
        <f>'Energy Inputs'!$E$58*$BX$109</f>
        <v>539</v>
      </c>
      <c r="BY121" s="197">
        <f t="shared" si="363"/>
        <v>6759.0599999999995</v>
      </c>
      <c r="BZ121" s="197">
        <f>'Margins summary'!$S$14</f>
        <v>471.64</v>
      </c>
      <c r="CA121" s="197">
        <f t="shared" si="340"/>
        <v>7230.7</v>
      </c>
      <c r="CB121" s="197"/>
      <c r="CC121" s="913">
        <f>'Energy NPV'!U47</f>
        <v>2000.1999999999998</v>
      </c>
      <c r="CD121" s="197"/>
      <c r="CE121" s="197">
        <f t="shared" si="341"/>
        <v>2000.1999999999998</v>
      </c>
      <c r="CF121" s="197">
        <f t="shared" si="309"/>
        <v>4758.8599999999997</v>
      </c>
      <c r="CG121" s="197">
        <f t="shared" si="310"/>
        <v>5230.5</v>
      </c>
      <c r="CH121" s="196">
        <f t="shared" si="342"/>
        <v>4938.7789370207083</v>
      </c>
      <c r="CI121" s="197">
        <f t="shared" si="343"/>
        <v>344.6227282871356</v>
      </c>
      <c r="CJ121" s="197">
        <f t="shared" si="344"/>
        <v>1461.5265480449677</v>
      </c>
      <c r="CK121" s="197">
        <f t="shared" si="345"/>
        <v>3477.2523889757404</v>
      </c>
      <c r="CL121" s="199">
        <f t="shared" si="346"/>
        <v>3821.8751172628763</v>
      </c>
      <c r="CM121" s="196">
        <f t="shared" si="364"/>
        <v>40647.933601109449</v>
      </c>
      <c r="CN121" s="197">
        <f t="shared" si="347"/>
        <v>3647.0717928216054</v>
      </c>
      <c r="CO121" s="197">
        <f t="shared" si="347"/>
        <v>80692.18008585801</v>
      </c>
      <c r="CP121" s="197">
        <f t="shared" si="347"/>
        <v>-40044.246484748583</v>
      </c>
      <c r="CQ121" s="199">
        <f t="shared" si="347"/>
        <v>-36397.174691926964</v>
      </c>
      <c r="CT121" s="204">
        <f t="shared" si="365"/>
        <v>9</v>
      </c>
      <c r="CU121" s="757">
        <f t="shared" si="348"/>
        <v>12.54</v>
      </c>
      <c r="CV121" s="197">
        <f>'Energy Inputs'!$E$58*$CV$109</f>
        <v>0</v>
      </c>
      <c r="CW121" s="197">
        <f t="shared" si="366"/>
        <v>0</v>
      </c>
      <c r="CX121" s="197">
        <f>'Margins summary'!$S$14</f>
        <v>471.64</v>
      </c>
      <c r="CY121" s="197">
        <f t="shared" si="349"/>
        <v>471.64</v>
      </c>
      <c r="CZ121" s="197"/>
      <c r="DA121" s="913">
        <f>'Energy NPV'!U47</f>
        <v>2000.1999999999998</v>
      </c>
      <c r="DB121" s="197"/>
      <c r="DC121" s="197">
        <f t="shared" si="350"/>
        <v>2000.1999999999998</v>
      </c>
      <c r="DD121" s="197">
        <f t="shared" si="311"/>
        <v>-2000.1999999999998</v>
      </c>
      <c r="DE121" s="197">
        <f t="shared" si="312"/>
        <v>-1528.56</v>
      </c>
      <c r="DF121" s="196">
        <f t="shared" si="351"/>
        <v>0</v>
      </c>
      <c r="DG121" s="197">
        <f t="shared" si="352"/>
        <v>344.6227282871356</v>
      </c>
      <c r="DH121" s="197">
        <f t="shared" si="353"/>
        <v>1461.5265480449677</v>
      </c>
      <c r="DI121" s="197">
        <f t="shared" si="354"/>
        <v>-1461.5265480449677</v>
      </c>
      <c r="DJ121" s="199">
        <f t="shared" si="355"/>
        <v>-1116.9038197578323</v>
      </c>
      <c r="DK121" s="196">
        <f t="shared" si="367"/>
        <v>0</v>
      </c>
      <c r="DL121" s="197">
        <f t="shared" si="356"/>
        <v>3647.0717928216054</v>
      </c>
      <c r="DM121" s="197">
        <f t="shared" si="356"/>
        <v>80692.18008585801</v>
      </c>
      <c r="DN121" s="197">
        <f t="shared" si="356"/>
        <v>-80692.18008585801</v>
      </c>
      <c r="DO121" s="199">
        <f t="shared" si="356"/>
        <v>-77045.108293036421</v>
      </c>
    </row>
    <row r="122" spans="2:119" x14ac:dyDescent="0.3">
      <c r="B122" s="895">
        <v>10</v>
      </c>
      <c r="C122" s="757">
        <f>'Energy NPV'!$D48</f>
        <v>12.54</v>
      </c>
      <c r="D122" s="197">
        <f>'Energy Inputs'!$E$58*$E$109</f>
        <v>269.5</v>
      </c>
      <c r="E122" s="197">
        <f t="shared" si="357"/>
        <v>3379.5299999999997</v>
      </c>
      <c r="F122" s="197">
        <f>'Margins summary'!$S$14</f>
        <v>471.64</v>
      </c>
      <c r="G122" s="197">
        <f t="shared" si="313"/>
        <v>3851.1699999999996</v>
      </c>
      <c r="H122" s="197"/>
      <c r="I122" s="913">
        <f>'Energy NPV'!U48</f>
        <v>2000.1999999999998</v>
      </c>
      <c r="J122" s="197"/>
      <c r="K122" s="197">
        <f t="shared" si="314"/>
        <v>2000.1999999999998</v>
      </c>
      <c r="L122" s="197">
        <f t="shared" si="303"/>
        <v>1379.33</v>
      </c>
      <c r="M122" s="197">
        <f t="shared" si="304"/>
        <v>1850.9699999999998</v>
      </c>
      <c r="N122" s="196">
        <f t="shared" si="315"/>
        <v>2374.4129504907251</v>
      </c>
      <c r="O122" s="197">
        <f t="shared" si="316"/>
        <v>331.36800796839958</v>
      </c>
      <c r="P122" s="197">
        <f t="shared" si="317"/>
        <v>1405.3139885047767</v>
      </c>
      <c r="Q122" s="197">
        <f t="shared" si="318"/>
        <v>969.09896198594822</v>
      </c>
      <c r="R122" s="199">
        <f t="shared" si="319"/>
        <v>1300.4669699543476</v>
      </c>
      <c r="S122" s="196">
        <f t="shared" si="358"/>
        <v>22698.37975104545</v>
      </c>
      <c r="T122" s="197">
        <f t="shared" si="320"/>
        <v>3978.4398007900049</v>
      </c>
      <c r="U122" s="197">
        <f t="shared" si="320"/>
        <v>82097.494074362781</v>
      </c>
      <c r="V122" s="197">
        <f t="shared" si="320"/>
        <v>-59399.114323317372</v>
      </c>
      <c r="W122" s="199">
        <f t="shared" si="320"/>
        <v>-55420.674522527363</v>
      </c>
      <c r="Z122" s="895">
        <v>10</v>
      </c>
      <c r="AA122" s="757">
        <f t="shared" si="321"/>
        <v>12.54</v>
      </c>
      <c r="AB122" s="197">
        <f>'Energy Inputs'!$E$58*$AB$109</f>
        <v>404.25</v>
      </c>
      <c r="AC122" s="197">
        <f t="shared" si="359"/>
        <v>5069.2950000000001</v>
      </c>
      <c r="AD122" s="197">
        <f>'Margins summary'!$S$14</f>
        <v>471.64</v>
      </c>
      <c r="AE122" s="197">
        <f t="shared" si="322"/>
        <v>5540.9350000000004</v>
      </c>
      <c r="AF122" s="197"/>
      <c r="AG122" s="913">
        <f>'Energy NPV'!U48</f>
        <v>2000.1999999999998</v>
      </c>
      <c r="AH122" s="197"/>
      <c r="AI122" s="197">
        <f t="shared" si="323"/>
        <v>2000.1999999999998</v>
      </c>
      <c r="AJ122" s="197">
        <f t="shared" si="305"/>
        <v>3069.0950000000003</v>
      </c>
      <c r="AK122" s="197">
        <f t="shared" si="306"/>
        <v>3540.7350000000006</v>
      </c>
      <c r="AL122" s="196">
        <f t="shared" si="324"/>
        <v>3561.6194257360876</v>
      </c>
      <c r="AM122" s="197">
        <f t="shared" si="325"/>
        <v>331.36800796839958</v>
      </c>
      <c r="AN122" s="197">
        <f t="shared" si="326"/>
        <v>1405.3139885047767</v>
      </c>
      <c r="AO122" s="197">
        <f t="shared" si="327"/>
        <v>2156.3054372313109</v>
      </c>
      <c r="AP122" s="199">
        <f t="shared" si="328"/>
        <v>2487.6734451997108</v>
      </c>
      <c r="AQ122" s="196">
        <f t="shared" si="360"/>
        <v>34047.569626568176</v>
      </c>
      <c r="AR122" s="197">
        <f t="shared" si="329"/>
        <v>3978.4398007900049</v>
      </c>
      <c r="AS122" s="197">
        <f t="shared" si="329"/>
        <v>82097.494074362781</v>
      </c>
      <c r="AT122" s="197">
        <f t="shared" si="329"/>
        <v>-48049.924447794612</v>
      </c>
      <c r="AU122" s="199">
        <f t="shared" si="329"/>
        <v>-44071.484647004618</v>
      </c>
      <c r="AX122" s="895">
        <v>10</v>
      </c>
      <c r="AY122" s="757">
        <f t="shared" si="330"/>
        <v>12.54</v>
      </c>
      <c r="AZ122" s="197">
        <f>'Energy Inputs'!$E$58*$AZ$109</f>
        <v>134.75</v>
      </c>
      <c r="BA122" s="197">
        <f t="shared" si="361"/>
        <v>1689.7649999999999</v>
      </c>
      <c r="BB122" s="197">
        <f>'Margins summary'!$S$14</f>
        <v>471.64</v>
      </c>
      <c r="BC122" s="197">
        <f t="shared" si="331"/>
        <v>2161.4049999999997</v>
      </c>
      <c r="BD122" s="197"/>
      <c r="BE122" s="913">
        <f>'Energy NPV'!U48</f>
        <v>2000.1999999999998</v>
      </c>
      <c r="BF122" s="197"/>
      <c r="BG122" s="197">
        <f t="shared" si="332"/>
        <v>2000.1999999999998</v>
      </c>
      <c r="BH122" s="197">
        <f t="shared" si="307"/>
        <v>-310.43499999999995</v>
      </c>
      <c r="BI122" s="197">
        <f t="shared" si="308"/>
        <v>161.20499999999993</v>
      </c>
      <c r="BJ122" s="196">
        <f t="shared" si="333"/>
        <v>1187.2064752453625</v>
      </c>
      <c r="BK122" s="197">
        <f t="shared" si="334"/>
        <v>331.36800796839958</v>
      </c>
      <c r="BL122" s="197">
        <f t="shared" si="335"/>
        <v>1405.3139885047767</v>
      </c>
      <c r="BM122" s="197">
        <f t="shared" si="336"/>
        <v>-218.10751325941422</v>
      </c>
      <c r="BN122" s="199">
        <f t="shared" si="337"/>
        <v>113.26049470898532</v>
      </c>
      <c r="BO122" s="196">
        <f t="shared" si="362"/>
        <v>11349.189875522725</v>
      </c>
      <c r="BP122" s="197">
        <f t="shared" si="338"/>
        <v>3978.4398007900049</v>
      </c>
      <c r="BQ122" s="197">
        <f t="shared" si="338"/>
        <v>82097.494074362781</v>
      </c>
      <c r="BR122" s="197">
        <f t="shared" si="338"/>
        <v>-70748.30419884008</v>
      </c>
      <c r="BS122" s="199">
        <f t="shared" si="338"/>
        <v>-66769.864398050078</v>
      </c>
      <c r="BV122" s="895">
        <v>10</v>
      </c>
      <c r="BW122" s="757">
        <f t="shared" si="339"/>
        <v>12.54</v>
      </c>
      <c r="BX122" s="197">
        <f>'Energy Inputs'!$E$58*$BX$109</f>
        <v>539</v>
      </c>
      <c r="BY122" s="197">
        <f t="shared" si="363"/>
        <v>6759.0599999999995</v>
      </c>
      <c r="BZ122" s="197">
        <f>'Margins summary'!$S$14</f>
        <v>471.64</v>
      </c>
      <c r="CA122" s="197">
        <f t="shared" si="340"/>
        <v>7230.7</v>
      </c>
      <c r="CB122" s="197"/>
      <c r="CC122" s="913">
        <f>'Energy NPV'!U48</f>
        <v>2000.1999999999998</v>
      </c>
      <c r="CD122" s="197"/>
      <c r="CE122" s="197">
        <f t="shared" si="341"/>
        <v>2000.1999999999998</v>
      </c>
      <c r="CF122" s="197">
        <f t="shared" si="309"/>
        <v>4758.8599999999997</v>
      </c>
      <c r="CG122" s="197">
        <f t="shared" si="310"/>
        <v>5230.5</v>
      </c>
      <c r="CH122" s="196">
        <f t="shared" si="342"/>
        <v>4748.8259009814501</v>
      </c>
      <c r="CI122" s="197">
        <f t="shared" si="343"/>
        <v>331.36800796839958</v>
      </c>
      <c r="CJ122" s="197">
        <f t="shared" si="344"/>
        <v>1405.3139885047767</v>
      </c>
      <c r="CK122" s="197">
        <f t="shared" si="345"/>
        <v>3343.5119124766729</v>
      </c>
      <c r="CL122" s="199">
        <f t="shared" si="346"/>
        <v>3674.8799204450729</v>
      </c>
      <c r="CM122" s="196">
        <f t="shared" si="364"/>
        <v>45396.759502090899</v>
      </c>
      <c r="CN122" s="197">
        <f t="shared" si="347"/>
        <v>3978.4398007900049</v>
      </c>
      <c r="CO122" s="197">
        <f t="shared" si="347"/>
        <v>82097.494074362781</v>
      </c>
      <c r="CP122" s="197">
        <f t="shared" si="347"/>
        <v>-36700.734572271911</v>
      </c>
      <c r="CQ122" s="199">
        <f t="shared" si="347"/>
        <v>-32722.294771481891</v>
      </c>
      <c r="CT122" s="204">
        <f t="shared" si="365"/>
        <v>10</v>
      </c>
      <c r="CU122" s="757">
        <f t="shared" si="348"/>
        <v>12.54</v>
      </c>
      <c r="CV122" s="197">
        <f>'Energy Inputs'!$E$58*$CV$109</f>
        <v>0</v>
      </c>
      <c r="CW122" s="197">
        <f t="shared" si="366"/>
        <v>0</v>
      </c>
      <c r="CX122" s="197">
        <f>'Margins summary'!$S$14</f>
        <v>471.64</v>
      </c>
      <c r="CY122" s="197">
        <f t="shared" si="349"/>
        <v>471.64</v>
      </c>
      <c r="CZ122" s="197"/>
      <c r="DA122" s="913">
        <f>'Energy NPV'!U48</f>
        <v>2000.1999999999998</v>
      </c>
      <c r="DB122" s="197"/>
      <c r="DC122" s="197">
        <f t="shared" si="350"/>
        <v>2000.1999999999998</v>
      </c>
      <c r="DD122" s="197">
        <f t="shared" si="311"/>
        <v>-2000.1999999999998</v>
      </c>
      <c r="DE122" s="197">
        <f t="shared" si="312"/>
        <v>-1528.56</v>
      </c>
      <c r="DF122" s="196">
        <f t="shared" si="351"/>
        <v>0</v>
      </c>
      <c r="DG122" s="197">
        <f t="shared" si="352"/>
        <v>331.36800796839958</v>
      </c>
      <c r="DH122" s="197">
        <f t="shared" si="353"/>
        <v>1405.3139885047767</v>
      </c>
      <c r="DI122" s="197">
        <f t="shared" si="354"/>
        <v>-1405.3139885047767</v>
      </c>
      <c r="DJ122" s="199">
        <f t="shared" si="355"/>
        <v>-1073.9459805363772</v>
      </c>
      <c r="DK122" s="196">
        <f t="shared" si="367"/>
        <v>0</v>
      </c>
      <c r="DL122" s="197">
        <f t="shared" si="356"/>
        <v>3978.4398007900049</v>
      </c>
      <c r="DM122" s="197">
        <f t="shared" si="356"/>
        <v>82097.494074362781</v>
      </c>
      <c r="DN122" s="197">
        <f t="shared" si="356"/>
        <v>-82097.494074362781</v>
      </c>
      <c r="DO122" s="199">
        <f t="shared" si="356"/>
        <v>-78119.054273572794</v>
      </c>
    </row>
    <row r="123" spans="2:119" x14ac:dyDescent="0.3">
      <c r="B123" s="895">
        <v>11</v>
      </c>
      <c r="C123" s="757">
        <f>'Energy NPV'!$D49</f>
        <v>12.54</v>
      </c>
      <c r="D123" s="197">
        <f>'Energy Inputs'!$E$58*$E$109</f>
        <v>269.5</v>
      </c>
      <c r="E123" s="197">
        <f t="shared" si="357"/>
        <v>3379.5299999999997</v>
      </c>
      <c r="F123" s="197">
        <f>'Margins summary'!$S$14</f>
        <v>471.64</v>
      </c>
      <c r="G123" s="197">
        <f t="shared" si="313"/>
        <v>3851.1699999999996</v>
      </c>
      <c r="H123" s="197"/>
      <c r="I123" s="913">
        <f>'Energy NPV'!U49</f>
        <v>2000.1999999999998</v>
      </c>
      <c r="J123" s="197"/>
      <c r="K123" s="197">
        <f t="shared" si="314"/>
        <v>2000.1999999999998</v>
      </c>
      <c r="L123" s="197">
        <f t="shared" si="303"/>
        <v>1379.33</v>
      </c>
      <c r="M123" s="197">
        <f t="shared" si="304"/>
        <v>1850.9699999999998</v>
      </c>
      <c r="N123" s="196">
        <f t="shared" si="315"/>
        <v>2283.0893754718509</v>
      </c>
      <c r="O123" s="197">
        <f t="shared" si="316"/>
        <v>318.62308458499962</v>
      </c>
      <c r="P123" s="197">
        <f t="shared" si="317"/>
        <v>1351.2634504853622</v>
      </c>
      <c r="Q123" s="197">
        <f t="shared" si="318"/>
        <v>931.82592498648864</v>
      </c>
      <c r="R123" s="199">
        <f t="shared" si="319"/>
        <v>1250.4490095714882</v>
      </c>
      <c r="S123" s="196">
        <f t="shared" si="358"/>
        <v>24981.469126517302</v>
      </c>
      <c r="T123" s="197">
        <f t="shared" si="320"/>
        <v>4297.062885375005</v>
      </c>
      <c r="U123" s="197">
        <f t="shared" si="320"/>
        <v>83448.757524848144</v>
      </c>
      <c r="V123" s="197">
        <f t="shared" si="320"/>
        <v>-58467.288398330886</v>
      </c>
      <c r="W123" s="199">
        <f t="shared" si="320"/>
        <v>-54170.225512955876</v>
      </c>
      <c r="Z123" s="895">
        <v>11</v>
      </c>
      <c r="AA123" s="757">
        <f t="shared" si="321"/>
        <v>12.54</v>
      </c>
      <c r="AB123" s="197">
        <f>'Energy Inputs'!$E$58*$AB$109</f>
        <v>404.25</v>
      </c>
      <c r="AC123" s="197">
        <f t="shared" si="359"/>
        <v>5069.2950000000001</v>
      </c>
      <c r="AD123" s="197">
        <f>'Margins summary'!$S$14</f>
        <v>471.64</v>
      </c>
      <c r="AE123" s="197">
        <f t="shared" si="322"/>
        <v>5540.9350000000004</v>
      </c>
      <c r="AF123" s="197"/>
      <c r="AG123" s="913">
        <f>'Energy NPV'!U49</f>
        <v>2000.1999999999998</v>
      </c>
      <c r="AH123" s="197"/>
      <c r="AI123" s="197">
        <f t="shared" si="323"/>
        <v>2000.1999999999998</v>
      </c>
      <c r="AJ123" s="197">
        <f t="shared" si="305"/>
        <v>3069.0950000000003</v>
      </c>
      <c r="AK123" s="197">
        <f t="shared" si="306"/>
        <v>3540.7350000000006</v>
      </c>
      <c r="AL123" s="196">
        <f t="shared" si="324"/>
        <v>3424.6340632077763</v>
      </c>
      <c r="AM123" s="197">
        <f t="shared" si="325"/>
        <v>318.62308458499962</v>
      </c>
      <c r="AN123" s="197">
        <f t="shared" si="326"/>
        <v>1351.2634504853622</v>
      </c>
      <c r="AO123" s="197">
        <f t="shared" si="327"/>
        <v>2073.3706127224145</v>
      </c>
      <c r="AP123" s="199">
        <f t="shared" si="328"/>
        <v>2391.9936973074141</v>
      </c>
      <c r="AQ123" s="196">
        <f t="shared" si="360"/>
        <v>37472.203689775954</v>
      </c>
      <c r="AR123" s="197">
        <f t="shared" si="329"/>
        <v>4297.062885375005</v>
      </c>
      <c r="AS123" s="197">
        <f t="shared" si="329"/>
        <v>83448.757524848144</v>
      </c>
      <c r="AT123" s="197">
        <f t="shared" si="329"/>
        <v>-45976.553835072198</v>
      </c>
      <c r="AU123" s="199">
        <f t="shared" si="329"/>
        <v>-41679.490949697203</v>
      </c>
      <c r="AX123" s="895">
        <v>11</v>
      </c>
      <c r="AY123" s="757">
        <f t="shared" si="330"/>
        <v>12.54</v>
      </c>
      <c r="AZ123" s="197">
        <f>'Energy Inputs'!$E$58*$AZ$109</f>
        <v>134.75</v>
      </c>
      <c r="BA123" s="197">
        <f t="shared" si="361"/>
        <v>1689.7649999999999</v>
      </c>
      <c r="BB123" s="197">
        <f>'Margins summary'!$S$14</f>
        <v>471.64</v>
      </c>
      <c r="BC123" s="197">
        <f t="shared" si="331"/>
        <v>2161.4049999999997</v>
      </c>
      <c r="BD123" s="197"/>
      <c r="BE123" s="913">
        <f>'Energy NPV'!U49</f>
        <v>2000.1999999999998</v>
      </c>
      <c r="BF123" s="197"/>
      <c r="BG123" s="197">
        <f t="shared" si="332"/>
        <v>2000.1999999999998</v>
      </c>
      <c r="BH123" s="197">
        <f t="shared" si="307"/>
        <v>-310.43499999999995</v>
      </c>
      <c r="BI123" s="197">
        <f t="shared" si="308"/>
        <v>161.20499999999993</v>
      </c>
      <c r="BJ123" s="196">
        <f t="shared" si="333"/>
        <v>1141.5446877359254</v>
      </c>
      <c r="BK123" s="197">
        <f t="shared" si="334"/>
        <v>318.62308458499962</v>
      </c>
      <c r="BL123" s="197">
        <f t="shared" si="335"/>
        <v>1351.2634504853622</v>
      </c>
      <c r="BM123" s="197">
        <f t="shared" si="336"/>
        <v>-209.71876274943673</v>
      </c>
      <c r="BN123" s="199">
        <f t="shared" si="337"/>
        <v>108.90432183556281</v>
      </c>
      <c r="BO123" s="196">
        <f t="shared" si="362"/>
        <v>12490.734563258651</v>
      </c>
      <c r="BP123" s="197">
        <f t="shared" si="338"/>
        <v>4297.062885375005</v>
      </c>
      <c r="BQ123" s="197">
        <f t="shared" si="338"/>
        <v>83448.757524848144</v>
      </c>
      <c r="BR123" s="197">
        <f t="shared" si="338"/>
        <v>-70958.022961589522</v>
      </c>
      <c r="BS123" s="199">
        <f t="shared" si="338"/>
        <v>-66660.960076214513</v>
      </c>
      <c r="BV123" s="895">
        <v>11</v>
      </c>
      <c r="BW123" s="757">
        <f t="shared" si="339"/>
        <v>12.54</v>
      </c>
      <c r="BX123" s="197">
        <f>'Energy Inputs'!$E$58*$BX$109</f>
        <v>539</v>
      </c>
      <c r="BY123" s="197">
        <f t="shared" si="363"/>
        <v>6759.0599999999995</v>
      </c>
      <c r="BZ123" s="197">
        <f>'Margins summary'!$S$14</f>
        <v>471.64</v>
      </c>
      <c r="CA123" s="197">
        <f t="shared" si="340"/>
        <v>7230.7</v>
      </c>
      <c r="CB123" s="197"/>
      <c r="CC123" s="913">
        <f>'Energy NPV'!U49</f>
        <v>2000.1999999999998</v>
      </c>
      <c r="CD123" s="197"/>
      <c r="CE123" s="197">
        <f t="shared" si="341"/>
        <v>2000.1999999999998</v>
      </c>
      <c r="CF123" s="197">
        <f t="shared" si="309"/>
        <v>4758.8599999999997</v>
      </c>
      <c r="CG123" s="197">
        <f t="shared" si="310"/>
        <v>5230.5</v>
      </c>
      <c r="CH123" s="196">
        <f t="shared" si="342"/>
        <v>4566.1787509437017</v>
      </c>
      <c r="CI123" s="197">
        <f t="shared" si="343"/>
        <v>318.62308458499962</v>
      </c>
      <c r="CJ123" s="197">
        <f t="shared" si="344"/>
        <v>1351.2634504853622</v>
      </c>
      <c r="CK123" s="197">
        <f t="shared" si="345"/>
        <v>3214.9153004583395</v>
      </c>
      <c r="CL123" s="199">
        <f t="shared" si="346"/>
        <v>3533.5383850433395</v>
      </c>
      <c r="CM123" s="196">
        <f t="shared" si="364"/>
        <v>49962.938253034605</v>
      </c>
      <c r="CN123" s="197">
        <f t="shared" si="347"/>
        <v>4297.062885375005</v>
      </c>
      <c r="CO123" s="197">
        <f t="shared" si="347"/>
        <v>83448.757524848144</v>
      </c>
      <c r="CP123" s="197">
        <f t="shared" si="347"/>
        <v>-33485.819271813569</v>
      </c>
      <c r="CQ123" s="199">
        <f t="shared" si="347"/>
        <v>-29188.756386438552</v>
      </c>
      <c r="CT123" s="204">
        <f t="shared" si="365"/>
        <v>11</v>
      </c>
      <c r="CU123" s="757">
        <f t="shared" si="348"/>
        <v>12.54</v>
      </c>
      <c r="CV123" s="197">
        <f>'Energy Inputs'!$E$58*$CV$109</f>
        <v>0</v>
      </c>
      <c r="CW123" s="197">
        <f t="shared" si="366"/>
        <v>0</v>
      </c>
      <c r="CX123" s="197">
        <f>'Margins summary'!$S$14</f>
        <v>471.64</v>
      </c>
      <c r="CY123" s="197">
        <f t="shared" si="349"/>
        <v>471.64</v>
      </c>
      <c r="CZ123" s="197"/>
      <c r="DA123" s="913">
        <f>'Energy NPV'!U49</f>
        <v>2000.1999999999998</v>
      </c>
      <c r="DB123" s="197"/>
      <c r="DC123" s="197">
        <f t="shared" si="350"/>
        <v>2000.1999999999998</v>
      </c>
      <c r="DD123" s="197">
        <f t="shared" si="311"/>
        <v>-2000.1999999999998</v>
      </c>
      <c r="DE123" s="197">
        <f t="shared" si="312"/>
        <v>-1528.56</v>
      </c>
      <c r="DF123" s="196">
        <f t="shared" si="351"/>
        <v>0</v>
      </c>
      <c r="DG123" s="197">
        <f t="shared" si="352"/>
        <v>318.62308458499962</v>
      </c>
      <c r="DH123" s="197">
        <f t="shared" si="353"/>
        <v>1351.2634504853622</v>
      </c>
      <c r="DI123" s="197">
        <f t="shared" si="354"/>
        <v>-1351.2634504853622</v>
      </c>
      <c r="DJ123" s="199">
        <f t="shared" si="355"/>
        <v>-1032.6403659003627</v>
      </c>
      <c r="DK123" s="196">
        <f t="shared" si="367"/>
        <v>0</v>
      </c>
      <c r="DL123" s="197">
        <f t="shared" si="356"/>
        <v>4297.062885375005</v>
      </c>
      <c r="DM123" s="197">
        <f t="shared" si="356"/>
        <v>83448.757524848144</v>
      </c>
      <c r="DN123" s="197">
        <f t="shared" si="356"/>
        <v>-83448.757524848144</v>
      </c>
      <c r="DO123" s="199">
        <f t="shared" si="356"/>
        <v>-79151.694639473164</v>
      </c>
    </row>
    <row r="124" spans="2:119" x14ac:dyDescent="0.3">
      <c r="B124" s="895">
        <v>12</v>
      </c>
      <c r="C124" s="757">
        <f>'Energy NPV'!$D50</f>
        <v>12.54</v>
      </c>
      <c r="D124" s="197">
        <f>'Energy Inputs'!$E$58*$E$109</f>
        <v>269.5</v>
      </c>
      <c r="E124" s="197">
        <f t="shared" si="357"/>
        <v>3379.5299999999997</v>
      </c>
      <c r="F124" s="197">
        <f>'Margins summary'!$S$14</f>
        <v>471.64</v>
      </c>
      <c r="G124" s="197">
        <f t="shared" si="313"/>
        <v>3851.1699999999996</v>
      </c>
      <c r="H124" s="197"/>
      <c r="I124" s="913">
        <f>'Energy NPV'!U50</f>
        <v>2000.1999999999998</v>
      </c>
      <c r="J124" s="197"/>
      <c r="K124" s="197">
        <f t="shared" si="314"/>
        <v>2000.1999999999998</v>
      </c>
      <c r="L124" s="197">
        <f t="shared" si="303"/>
        <v>1379.33</v>
      </c>
      <c r="M124" s="197">
        <f t="shared" si="304"/>
        <v>1850.9699999999998</v>
      </c>
      <c r="N124" s="196">
        <f t="shared" si="315"/>
        <v>2195.2782456460104</v>
      </c>
      <c r="O124" s="197">
        <f t="shared" si="316"/>
        <v>306.36835056249964</v>
      </c>
      <c r="P124" s="197">
        <f t="shared" si="317"/>
        <v>1299.2917793128483</v>
      </c>
      <c r="Q124" s="197">
        <f t="shared" si="318"/>
        <v>895.9864663331623</v>
      </c>
      <c r="R124" s="199">
        <f t="shared" si="319"/>
        <v>1202.3548168956618</v>
      </c>
      <c r="S124" s="196">
        <f t="shared" si="358"/>
        <v>27176.747372163314</v>
      </c>
      <c r="T124" s="197">
        <f t="shared" si="320"/>
        <v>4603.4312359375044</v>
      </c>
      <c r="U124" s="197">
        <f t="shared" si="320"/>
        <v>84748.049304160988</v>
      </c>
      <c r="V124" s="197">
        <f t="shared" si="320"/>
        <v>-57571.301931997725</v>
      </c>
      <c r="W124" s="199">
        <f t="shared" si="320"/>
        <v>-52967.870696060214</v>
      </c>
      <c r="Z124" s="895">
        <v>12</v>
      </c>
      <c r="AA124" s="757">
        <f t="shared" si="321"/>
        <v>12.54</v>
      </c>
      <c r="AB124" s="197">
        <f>'Energy Inputs'!$E$58*$AB$109</f>
        <v>404.25</v>
      </c>
      <c r="AC124" s="197">
        <f t="shared" si="359"/>
        <v>5069.2950000000001</v>
      </c>
      <c r="AD124" s="197">
        <f>'Margins summary'!$S$14</f>
        <v>471.64</v>
      </c>
      <c r="AE124" s="197">
        <f t="shared" si="322"/>
        <v>5540.9350000000004</v>
      </c>
      <c r="AF124" s="197"/>
      <c r="AG124" s="913">
        <f>'Energy NPV'!U50</f>
        <v>2000.1999999999998</v>
      </c>
      <c r="AH124" s="197"/>
      <c r="AI124" s="197">
        <f t="shared" si="323"/>
        <v>2000.1999999999998</v>
      </c>
      <c r="AJ124" s="197">
        <f t="shared" si="305"/>
        <v>3069.0950000000003</v>
      </c>
      <c r="AK124" s="197">
        <f t="shared" si="306"/>
        <v>3540.7350000000006</v>
      </c>
      <c r="AL124" s="196">
        <f t="shared" si="324"/>
        <v>3292.9173684690163</v>
      </c>
      <c r="AM124" s="197">
        <f t="shared" si="325"/>
        <v>306.36835056249964</v>
      </c>
      <c r="AN124" s="197">
        <f t="shared" si="326"/>
        <v>1299.2917793128483</v>
      </c>
      <c r="AO124" s="197">
        <f t="shared" si="327"/>
        <v>1993.6255891561677</v>
      </c>
      <c r="AP124" s="199">
        <f t="shared" si="328"/>
        <v>2299.9939397186677</v>
      </c>
      <c r="AQ124" s="196">
        <f t="shared" si="360"/>
        <v>40765.121058244971</v>
      </c>
      <c r="AR124" s="197">
        <f t="shared" si="329"/>
        <v>4603.4312359375044</v>
      </c>
      <c r="AS124" s="197">
        <f t="shared" si="329"/>
        <v>84748.049304160988</v>
      </c>
      <c r="AT124" s="197">
        <f t="shared" si="329"/>
        <v>-43982.928245916031</v>
      </c>
      <c r="AU124" s="199">
        <f t="shared" si="329"/>
        <v>-39379.497009978535</v>
      </c>
      <c r="AX124" s="895">
        <v>12</v>
      </c>
      <c r="AY124" s="757">
        <f t="shared" si="330"/>
        <v>12.54</v>
      </c>
      <c r="AZ124" s="197">
        <f>'Energy Inputs'!$E$58*$AZ$109</f>
        <v>134.75</v>
      </c>
      <c r="BA124" s="197">
        <f t="shared" si="361"/>
        <v>1689.7649999999999</v>
      </c>
      <c r="BB124" s="197">
        <f>'Margins summary'!$S$14</f>
        <v>471.64</v>
      </c>
      <c r="BC124" s="197">
        <f t="shared" si="331"/>
        <v>2161.4049999999997</v>
      </c>
      <c r="BD124" s="197"/>
      <c r="BE124" s="913">
        <f>'Energy NPV'!U50</f>
        <v>2000.1999999999998</v>
      </c>
      <c r="BF124" s="197"/>
      <c r="BG124" s="197">
        <f t="shared" si="332"/>
        <v>2000.1999999999998</v>
      </c>
      <c r="BH124" s="197">
        <f t="shared" si="307"/>
        <v>-310.43499999999995</v>
      </c>
      <c r="BI124" s="197">
        <f t="shared" si="308"/>
        <v>161.20499999999993</v>
      </c>
      <c r="BJ124" s="196">
        <f t="shared" si="333"/>
        <v>1097.6391228230052</v>
      </c>
      <c r="BK124" s="197">
        <f t="shared" si="334"/>
        <v>306.36835056249964</v>
      </c>
      <c r="BL124" s="197">
        <f t="shared" si="335"/>
        <v>1299.2917793128483</v>
      </c>
      <c r="BM124" s="197">
        <f t="shared" si="336"/>
        <v>-201.65265648984303</v>
      </c>
      <c r="BN124" s="199">
        <f t="shared" si="337"/>
        <v>104.71569407265655</v>
      </c>
      <c r="BO124" s="196">
        <f t="shared" si="362"/>
        <v>13588.373686081657</v>
      </c>
      <c r="BP124" s="197">
        <f t="shared" si="338"/>
        <v>4603.4312359375044</v>
      </c>
      <c r="BQ124" s="197">
        <f t="shared" si="338"/>
        <v>84748.049304160988</v>
      </c>
      <c r="BR124" s="197">
        <f t="shared" si="338"/>
        <v>-71159.67561807936</v>
      </c>
      <c r="BS124" s="199">
        <f t="shared" si="338"/>
        <v>-66556.244382141856</v>
      </c>
      <c r="BV124" s="895">
        <v>12</v>
      </c>
      <c r="BW124" s="757">
        <f t="shared" si="339"/>
        <v>12.54</v>
      </c>
      <c r="BX124" s="197">
        <f>'Energy Inputs'!$E$58*$BX$109</f>
        <v>539</v>
      </c>
      <c r="BY124" s="197">
        <f t="shared" si="363"/>
        <v>6759.0599999999995</v>
      </c>
      <c r="BZ124" s="197">
        <f>'Margins summary'!$S$14</f>
        <v>471.64</v>
      </c>
      <c r="CA124" s="197">
        <f t="shared" si="340"/>
        <v>7230.7</v>
      </c>
      <c r="CB124" s="197"/>
      <c r="CC124" s="913">
        <f>'Energy NPV'!U50</f>
        <v>2000.1999999999998</v>
      </c>
      <c r="CD124" s="197"/>
      <c r="CE124" s="197">
        <f t="shared" si="341"/>
        <v>2000.1999999999998</v>
      </c>
      <c r="CF124" s="197">
        <f t="shared" si="309"/>
        <v>4758.8599999999997</v>
      </c>
      <c r="CG124" s="197">
        <f t="shared" si="310"/>
        <v>5230.5</v>
      </c>
      <c r="CH124" s="196">
        <f t="shared" si="342"/>
        <v>4390.5564912920208</v>
      </c>
      <c r="CI124" s="197">
        <f t="shared" si="343"/>
        <v>306.36835056249964</v>
      </c>
      <c r="CJ124" s="197">
        <f t="shared" si="344"/>
        <v>1299.2917793128483</v>
      </c>
      <c r="CK124" s="197">
        <f t="shared" si="345"/>
        <v>3091.2647119791727</v>
      </c>
      <c r="CL124" s="199">
        <f t="shared" si="346"/>
        <v>3397.6330625416726</v>
      </c>
      <c r="CM124" s="196">
        <f t="shared" si="364"/>
        <v>54353.494744326628</v>
      </c>
      <c r="CN124" s="197">
        <f t="shared" si="347"/>
        <v>4603.4312359375044</v>
      </c>
      <c r="CO124" s="197">
        <f t="shared" si="347"/>
        <v>84748.049304160988</v>
      </c>
      <c r="CP124" s="197">
        <f t="shared" si="347"/>
        <v>-30394.554559834396</v>
      </c>
      <c r="CQ124" s="199">
        <f t="shared" si="347"/>
        <v>-25791.123323896878</v>
      </c>
      <c r="CT124" s="204">
        <f t="shared" si="365"/>
        <v>12</v>
      </c>
      <c r="CU124" s="757">
        <f t="shared" si="348"/>
        <v>12.54</v>
      </c>
      <c r="CV124" s="197">
        <f>'Energy Inputs'!$E$58*$CV$109</f>
        <v>0</v>
      </c>
      <c r="CW124" s="197">
        <f t="shared" si="366"/>
        <v>0</v>
      </c>
      <c r="CX124" s="197">
        <f>'Margins summary'!$S$14</f>
        <v>471.64</v>
      </c>
      <c r="CY124" s="197">
        <f t="shared" si="349"/>
        <v>471.64</v>
      </c>
      <c r="CZ124" s="197"/>
      <c r="DA124" s="913">
        <f>'Energy NPV'!U50</f>
        <v>2000.1999999999998</v>
      </c>
      <c r="DB124" s="197"/>
      <c r="DC124" s="197">
        <f t="shared" si="350"/>
        <v>2000.1999999999998</v>
      </c>
      <c r="DD124" s="197">
        <f t="shared" si="311"/>
        <v>-2000.1999999999998</v>
      </c>
      <c r="DE124" s="197">
        <f t="shared" si="312"/>
        <v>-1528.56</v>
      </c>
      <c r="DF124" s="196">
        <f t="shared" si="351"/>
        <v>0</v>
      </c>
      <c r="DG124" s="197">
        <f t="shared" si="352"/>
        <v>306.36835056249964</v>
      </c>
      <c r="DH124" s="197">
        <f t="shared" si="353"/>
        <v>1299.2917793128483</v>
      </c>
      <c r="DI124" s="197">
        <f t="shared" si="354"/>
        <v>-1299.2917793128483</v>
      </c>
      <c r="DJ124" s="199">
        <f t="shared" si="355"/>
        <v>-992.92342875034876</v>
      </c>
      <c r="DK124" s="196">
        <f t="shared" si="367"/>
        <v>0</v>
      </c>
      <c r="DL124" s="197">
        <f t="shared" si="356"/>
        <v>4603.4312359375044</v>
      </c>
      <c r="DM124" s="197">
        <f t="shared" si="356"/>
        <v>84748.049304160988</v>
      </c>
      <c r="DN124" s="197">
        <f t="shared" si="356"/>
        <v>-84748.049304160988</v>
      </c>
      <c r="DO124" s="199">
        <f t="shared" si="356"/>
        <v>-80144.618068223514</v>
      </c>
    </row>
    <row r="125" spans="2:119" x14ac:dyDescent="0.3">
      <c r="B125" s="895">
        <v>13</v>
      </c>
      <c r="C125" s="757">
        <f>'Energy NPV'!$D51</f>
        <v>12.54</v>
      </c>
      <c r="D125" s="197">
        <f>'Energy Inputs'!$E$58*$E$109</f>
        <v>269.5</v>
      </c>
      <c r="E125" s="197">
        <f t="shared" si="357"/>
        <v>3379.5299999999997</v>
      </c>
      <c r="F125" s="197">
        <f>'Margins summary'!$S$14</f>
        <v>471.64</v>
      </c>
      <c r="G125" s="197">
        <f t="shared" si="313"/>
        <v>3851.1699999999996</v>
      </c>
      <c r="H125" s="197"/>
      <c r="I125" s="913">
        <f>'Energy NPV'!U51</f>
        <v>2000.1999999999998</v>
      </c>
      <c r="J125" s="197"/>
      <c r="K125" s="197">
        <f t="shared" si="314"/>
        <v>2000.1999999999998</v>
      </c>
      <c r="L125" s="197">
        <f t="shared" si="303"/>
        <v>1379.33</v>
      </c>
      <c r="M125" s="197">
        <f t="shared" si="304"/>
        <v>1850.9699999999998</v>
      </c>
      <c r="N125" s="196">
        <f t="shared" si="315"/>
        <v>2110.8444669673172</v>
      </c>
      <c r="O125" s="197">
        <f t="shared" si="316"/>
        <v>294.58495246394193</v>
      </c>
      <c r="P125" s="197">
        <f t="shared" si="317"/>
        <v>1249.3190185700462</v>
      </c>
      <c r="Q125" s="197">
        <f t="shared" si="318"/>
        <v>861.52544839727125</v>
      </c>
      <c r="R125" s="199">
        <f t="shared" si="319"/>
        <v>1156.1104008612131</v>
      </c>
      <c r="S125" s="196">
        <f t="shared" si="358"/>
        <v>29287.591839130633</v>
      </c>
      <c r="T125" s="197">
        <f t="shared" si="320"/>
        <v>4898.016188401446</v>
      </c>
      <c r="U125" s="197">
        <f t="shared" si="320"/>
        <v>85997.368322731039</v>
      </c>
      <c r="V125" s="197">
        <f t="shared" si="320"/>
        <v>-56709.77648360045</v>
      </c>
      <c r="W125" s="199">
        <f t="shared" si="320"/>
        <v>-51811.760295198997</v>
      </c>
      <c r="Z125" s="895">
        <v>13</v>
      </c>
      <c r="AA125" s="757">
        <f t="shared" si="321"/>
        <v>12.54</v>
      </c>
      <c r="AB125" s="197">
        <f>'Energy Inputs'!$E$58*$AB$109</f>
        <v>404.25</v>
      </c>
      <c r="AC125" s="197">
        <f t="shared" si="359"/>
        <v>5069.2950000000001</v>
      </c>
      <c r="AD125" s="197">
        <f>'Margins summary'!$S$14</f>
        <v>471.64</v>
      </c>
      <c r="AE125" s="197">
        <f t="shared" si="322"/>
        <v>5540.9350000000004</v>
      </c>
      <c r="AF125" s="197"/>
      <c r="AG125" s="913">
        <f>'Energy NPV'!U51</f>
        <v>2000.1999999999998</v>
      </c>
      <c r="AH125" s="197"/>
      <c r="AI125" s="197">
        <f t="shared" si="323"/>
        <v>2000.1999999999998</v>
      </c>
      <c r="AJ125" s="197">
        <f t="shared" si="305"/>
        <v>3069.0950000000003</v>
      </c>
      <c r="AK125" s="197">
        <f t="shared" si="306"/>
        <v>3540.7350000000006</v>
      </c>
      <c r="AL125" s="196">
        <f t="shared" si="324"/>
        <v>3166.2667004509763</v>
      </c>
      <c r="AM125" s="197">
        <f t="shared" si="325"/>
        <v>294.58495246394193</v>
      </c>
      <c r="AN125" s="197">
        <f t="shared" si="326"/>
        <v>1249.3190185700462</v>
      </c>
      <c r="AO125" s="197">
        <f t="shared" si="327"/>
        <v>1916.9476818809301</v>
      </c>
      <c r="AP125" s="199">
        <f t="shared" si="328"/>
        <v>2211.5326343448723</v>
      </c>
      <c r="AQ125" s="196">
        <f t="shared" si="360"/>
        <v>43931.38775869595</v>
      </c>
      <c r="AR125" s="197">
        <f t="shared" si="329"/>
        <v>4898.016188401446</v>
      </c>
      <c r="AS125" s="197">
        <f t="shared" si="329"/>
        <v>85997.368322731039</v>
      </c>
      <c r="AT125" s="197">
        <f t="shared" si="329"/>
        <v>-42065.980564035104</v>
      </c>
      <c r="AU125" s="199">
        <f t="shared" si="329"/>
        <v>-37167.964375633659</v>
      </c>
      <c r="AX125" s="895">
        <v>13</v>
      </c>
      <c r="AY125" s="757">
        <f t="shared" si="330"/>
        <v>12.54</v>
      </c>
      <c r="AZ125" s="197">
        <f>'Energy Inputs'!$E$58*$AZ$109</f>
        <v>134.75</v>
      </c>
      <c r="BA125" s="197">
        <f t="shared" si="361"/>
        <v>1689.7649999999999</v>
      </c>
      <c r="BB125" s="197">
        <f>'Margins summary'!$S$14</f>
        <v>471.64</v>
      </c>
      <c r="BC125" s="197">
        <f t="shared" si="331"/>
        <v>2161.4049999999997</v>
      </c>
      <c r="BD125" s="197"/>
      <c r="BE125" s="913">
        <f>'Energy NPV'!U51</f>
        <v>2000.1999999999998</v>
      </c>
      <c r="BF125" s="197"/>
      <c r="BG125" s="197">
        <f t="shared" si="332"/>
        <v>2000.1999999999998</v>
      </c>
      <c r="BH125" s="197">
        <f t="shared" si="307"/>
        <v>-310.43499999999995</v>
      </c>
      <c r="BI125" s="197">
        <f t="shared" si="308"/>
        <v>161.20499999999993</v>
      </c>
      <c r="BJ125" s="196">
        <f t="shared" si="333"/>
        <v>1055.4222334836586</v>
      </c>
      <c r="BK125" s="197">
        <f t="shared" si="334"/>
        <v>294.58495246394193</v>
      </c>
      <c r="BL125" s="197">
        <f t="shared" si="335"/>
        <v>1249.3190185700462</v>
      </c>
      <c r="BM125" s="197">
        <f t="shared" si="336"/>
        <v>-193.8967850863875</v>
      </c>
      <c r="BN125" s="199">
        <f t="shared" si="337"/>
        <v>100.68816737755435</v>
      </c>
      <c r="BO125" s="196">
        <f t="shared" si="362"/>
        <v>14643.795919565317</v>
      </c>
      <c r="BP125" s="197">
        <f t="shared" si="338"/>
        <v>4898.016188401446</v>
      </c>
      <c r="BQ125" s="197">
        <f t="shared" si="338"/>
        <v>85997.368322731039</v>
      </c>
      <c r="BR125" s="197">
        <f t="shared" si="338"/>
        <v>-71353.572403165745</v>
      </c>
      <c r="BS125" s="199">
        <f t="shared" si="338"/>
        <v>-66455.556214764307</v>
      </c>
      <c r="BV125" s="895">
        <v>13</v>
      </c>
      <c r="BW125" s="757">
        <f t="shared" si="339"/>
        <v>12.54</v>
      </c>
      <c r="BX125" s="197">
        <f>'Energy Inputs'!$E$58*$BX$109</f>
        <v>539</v>
      </c>
      <c r="BY125" s="197">
        <f t="shared" si="363"/>
        <v>6759.0599999999995</v>
      </c>
      <c r="BZ125" s="197">
        <f>'Margins summary'!$S$14</f>
        <v>471.64</v>
      </c>
      <c r="CA125" s="197">
        <f t="shared" si="340"/>
        <v>7230.7</v>
      </c>
      <c r="CB125" s="197"/>
      <c r="CC125" s="913">
        <f>'Energy NPV'!U51</f>
        <v>2000.1999999999998</v>
      </c>
      <c r="CD125" s="197"/>
      <c r="CE125" s="197">
        <f t="shared" si="341"/>
        <v>2000.1999999999998</v>
      </c>
      <c r="CF125" s="197">
        <f t="shared" si="309"/>
        <v>4758.8599999999997</v>
      </c>
      <c r="CG125" s="197">
        <f t="shared" si="310"/>
        <v>5230.5</v>
      </c>
      <c r="CH125" s="196">
        <f t="shared" si="342"/>
        <v>4221.6889339346344</v>
      </c>
      <c r="CI125" s="197">
        <f t="shared" si="343"/>
        <v>294.58495246394193</v>
      </c>
      <c r="CJ125" s="197">
        <f t="shared" si="344"/>
        <v>1249.3190185700462</v>
      </c>
      <c r="CK125" s="197">
        <f t="shared" si="345"/>
        <v>2972.3699153645885</v>
      </c>
      <c r="CL125" s="199">
        <f t="shared" si="346"/>
        <v>3266.9548678285305</v>
      </c>
      <c r="CM125" s="196">
        <f t="shared" si="364"/>
        <v>58575.183678261266</v>
      </c>
      <c r="CN125" s="197">
        <f t="shared" si="347"/>
        <v>4898.016188401446</v>
      </c>
      <c r="CO125" s="197">
        <f t="shared" si="347"/>
        <v>85997.368322731039</v>
      </c>
      <c r="CP125" s="197">
        <f t="shared" si="347"/>
        <v>-27422.184644469809</v>
      </c>
      <c r="CQ125" s="199">
        <f t="shared" si="347"/>
        <v>-22524.168456068346</v>
      </c>
      <c r="CT125" s="204">
        <f t="shared" si="365"/>
        <v>13</v>
      </c>
      <c r="CU125" s="757">
        <f t="shared" si="348"/>
        <v>12.54</v>
      </c>
      <c r="CV125" s="197">
        <f>'Energy Inputs'!$E$58*$CV$109</f>
        <v>0</v>
      </c>
      <c r="CW125" s="197">
        <f t="shared" si="366"/>
        <v>0</v>
      </c>
      <c r="CX125" s="197">
        <f>'Margins summary'!$S$14</f>
        <v>471.64</v>
      </c>
      <c r="CY125" s="197">
        <f t="shared" si="349"/>
        <v>471.64</v>
      </c>
      <c r="CZ125" s="197"/>
      <c r="DA125" s="913">
        <f>'Energy NPV'!U51</f>
        <v>2000.1999999999998</v>
      </c>
      <c r="DB125" s="197"/>
      <c r="DC125" s="197">
        <f t="shared" si="350"/>
        <v>2000.1999999999998</v>
      </c>
      <c r="DD125" s="197">
        <f t="shared" si="311"/>
        <v>-2000.1999999999998</v>
      </c>
      <c r="DE125" s="197">
        <f t="shared" si="312"/>
        <v>-1528.56</v>
      </c>
      <c r="DF125" s="196">
        <f t="shared" si="351"/>
        <v>0</v>
      </c>
      <c r="DG125" s="197">
        <f t="shared" si="352"/>
        <v>294.58495246394193</v>
      </c>
      <c r="DH125" s="197">
        <f t="shared" si="353"/>
        <v>1249.3190185700462</v>
      </c>
      <c r="DI125" s="197">
        <f t="shared" si="354"/>
        <v>-1249.3190185700462</v>
      </c>
      <c r="DJ125" s="199">
        <f t="shared" si="355"/>
        <v>-954.73406610610436</v>
      </c>
      <c r="DK125" s="196">
        <f t="shared" si="367"/>
        <v>0</v>
      </c>
      <c r="DL125" s="197">
        <f t="shared" si="356"/>
        <v>4898.016188401446</v>
      </c>
      <c r="DM125" s="197">
        <f t="shared" si="356"/>
        <v>85997.368322731039</v>
      </c>
      <c r="DN125" s="197">
        <f t="shared" si="356"/>
        <v>-85997.368322731039</v>
      </c>
      <c r="DO125" s="199">
        <f t="shared" si="356"/>
        <v>-81099.352134329616</v>
      </c>
    </row>
    <row r="126" spans="2:119" x14ac:dyDescent="0.3">
      <c r="B126" s="895">
        <v>14</v>
      </c>
      <c r="C126" s="757">
        <f>'Energy NPV'!$D52</f>
        <v>12.54</v>
      </c>
      <c r="D126" s="197">
        <f>'Energy Inputs'!$E$58*$E$109</f>
        <v>269.5</v>
      </c>
      <c r="E126" s="197">
        <f t="shared" si="357"/>
        <v>3379.5299999999997</v>
      </c>
      <c r="F126" s="197">
        <f>'Margins summary'!$S$14</f>
        <v>471.64</v>
      </c>
      <c r="G126" s="197">
        <f t="shared" si="313"/>
        <v>3851.1699999999996</v>
      </c>
      <c r="H126" s="197"/>
      <c r="I126" s="913">
        <f>'Energy NPV'!U52</f>
        <v>2000.1999999999998</v>
      </c>
      <c r="J126" s="197"/>
      <c r="K126" s="197">
        <f t="shared" si="314"/>
        <v>2000.1999999999998</v>
      </c>
      <c r="L126" s="197">
        <f t="shared" si="303"/>
        <v>1379.33</v>
      </c>
      <c r="M126" s="197">
        <f t="shared" si="304"/>
        <v>1850.9699999999998</v>
      </c>
      <c r="N126" s="196">
        <f t="shared" si="315"/>
        <v>2029.6581413147283</v>
      </c>
      <c r="O126" s="197">
        <f t="shared" si="316"/>
        <v>283.25476198455954</v>
      </c>
      <c r="P126" s="197">
        <f t="shared" si="317"/>
        <v>1201.2682870865829</v>
      </c>
      <c r="Q126" s="197">
        <f t="shared" si="318"/>
        <v>828.3898542281454</v>
      </c>
      <c r="R126" s="199">
        <f t="shared" si="319"/>
        <v>1111.6446162127049</v>
      </c>
      <c r="S126" s="196">
        <f t="shared" si="358"/>
        <v>31317.249980445362</v>
      </c>
      <c r="T126" s="197">
        <f t="shared" si="320"/>
        <v>5181.270950386006</v>
      </c>
      <c r="U126" s="197">
        <f t="shared" si="320"/>
        <v>87198.636609817622</v>
      </c>
      <c r="V126" s="197">
        <f t="shared" si="320"/>
        <v>-55881.386629372304</v>
      </c>
      <c r="W126" s="199">
        <f t="shared" si="320"/>
        <v>-50700.115678986294</v>
      </c>
      <c r="Z126" s="895">
        <v>14</v>
      </c>
      <c r="AA126" s="757">
        <f t="shared" si="321"/>
        <v>12.54</v>
      </c>
      <c r="AB126" s="197">
        <f>'Energy Inputs'!$E$58*$AB$109</f>
        <v>404.25</v>
      </c>
      <c r="AC126" s="197">
        <f t="shared" si="359"/>
        <v>5069.2950000000001</v>
      </c>
      <c r="AD126" s="197">
        <f>'Margins summary'!$S$14</f>
        <v>471.64</v>
      </c>
      <c r="AE126" s="197">
        <f t="shared" si="322"/>
        <v>5540.9350000000004</v>
      </c>
      <c r="AF126" s="197"/>
      <c r="AG126" s="913">
        <f>'Energy NPV'!U52</f>
        <v>2000.1999999999998</v>
      </c>
      <c r="AH126" s="197"/>
      <c r="AI126" s="197">
        <f t="shared" si="323"/>
        <v>2000.1999999999998</v>
      </c>
      <c r="AJ126" s="197">
        <f t="shared" si="305"/>
        <v>3069.0950000000003</v>
      </c>
      <c r="AK126" s="197">
        <f t="shared" si="306"/>
        <v>3540.7350000000006</v>
      </c>
      <c r="AL126" s="196">
        <f t="shared" si="324"/>
        <v>3044.4872119720926</v>
      </c>
      <c r="AM126" s="197">
        <f t="shared" si="325"/>
        <v>283.25476198455954</v>
      </c>
      <c r="AN126" s="197">
        <f t="shared" si="326"/>
        <v>1201.2682870865829</v>
      </c>
      <c r="AO126" s="197">
        <f t="shared" si="327"/>
        <v>1843.2189248855098</v>
      </c>
      <c r="AP126" s="199">
        <f t="shared" si="328"/>
        <v>2126.4736868700693</v>
      </c>
      <c r="AQ126" s="196">
        <f t="shared" si="360"/>
        <v>46975.874970668039</v>
      </c>
      <c r="AR126" s="197">
        <f t="shared" si="329"/>
        <v>5181.270950386006</v>
      </c>
      <c r="AS126" s="197">
        <f t="shared" si="329"/>
        <v>87198.636609817622</v>
      </c>
      <c r="AT126" s="197">
        <f t="shared" si="329"/>
        <v>-40222.761639149598</v>
      </c>
      <c r="AU126" s="199">
        <f t="shared" si="329"/>
        <v>-35041.490688763588</v>
      </c>
      <c r="AX126" s="895">
        <v>14</v>
      </c>
      <c r="AY126" s="757">
        <f t="shared" si="330"/>
        <v>12.54</v>
      </c>
      <c r="AZ126" s="197">
        <f>'Energy Inputs'!$E$58*$AZ$109</f>
        <v>134.75</v>
      </c>
      <c r="BA126" s="197">
        <f t="shared" si="361"/>
        <v>1689.7649999999999</v>
      </c>
      <c r="BB126" s="197">
        <f>'Margins summary'!$S$14</f>
        <v>471.64</v>
      </c>
      <c r="BC126" s="197">
        <f t="shared" si="331"/>
        <v>2161.4049999999997</v>
      </c>
      <c r="BD126" s="197"/>
      <c r="BE126" s="913">
        <f>'Energy NPV'!U52</f>
        <v>2000.1999999999998</v>
      </c>
      <c r="BF126" s="197"/>
      <c r="BG126" s="197">
        <f t="shared" si="332"/>
        <v>2000.1999999999998</v>
      </c>
      <c r="BH126" s="197">
        <f t="shared" si="307"/>
        <v>-310.43499999999995</v>
      </c>
      <c r="BI126" s="197">
        <f t="shared" si="308"/>
        <v>161.20499999999993</v>
      </c>
      <c r="BJ126" s="196">
        <f t="shared" si="333"/>
        <v>1014.8290706573641</v>
      </c>
      <c r="BK126" s="197">
        <f t="shared" si="334"/>
        <v>283.25476198455954</v>
      </c>
      <c r="BL126" s="197">
        <f t="shared" si="335"/>
        <v>1201.2682870865829</v>
      </c>
      <c r="BM126" s="197">
        <f t="shared" si="336"/>
        <v>-186.43921642921873</v>
      </c>
      <c r="BN126" s="199">
        <f t="shared" si="337"/>
        <v>96.815545555340719</v>
      </c>
      <c r="BO126" s="196">
        <f t="shared" si="362"/>
        <v>15658.624990222681</v>
      </c>
      <c r="BP126" s="197">
        <f t="shared" si="338"/>
        <v>5181.270950386006</v>
      </c>
      <c r="BQ126" s="197">
        <f t="shared" si="338"/>
        <v>87198.636609817622</v>
      </c>
      <c r="BR126" s="197">
        <f t="shared" si="338"/>
        <v>-71540.011619594967</v>
      </c>
      <c r="BS126" s="199">
        <f t="shared" si="338"/>
        <v>-66358.740669208972</v>
      </c>
      <c r="BV126" s="895">
        <v>14</v>
      </c>
      <c r="BW126" s="757">
        <f t="shared" si="339"/>
        <v>12.54</v>
      </c>
      <c r="BX126" s="197">
        <f>'Energy Inputs'!$E$58*$BX$109</f>
        <v>539</v>
      </c>
      <c r="BY126" s="197">
        <f t="shared" si="363"/>
        <v>6759.0599999999995</v>
      </c>
      <c r="BZ126" s="197">
        <f>'Margins summary'!$S$14</f>
        <v>471.64</v>
      </c>
      <c r="CA126" s="197">
        <f t="shared" si="340"/>
        <v>7230.7</v>
      </c>
      <c r="CB126" s="197"/>
      <c r="CC126" s="913">
        <f>'Energy NPV'!U52</f>
        <v>2000.1999999999998</v>
      </c>
      <c r="CD126" s="197"/>
      <c r="CE126" s="197">
        <f t="shared" si="341"/>
        <v>2000.1999999999998</v>
      </c>
      <c r="CF126" s="197">
        <f t="shared" si="309"/>
        <v>4758.8599999999997</v>
      </c>
      <c r="CG126" s="197">
        <f t="shared" si="310"/>
        <v>5230.5</v>
      </c>
      <c r="CH126" s="196">
        <f t="shared" si="342"/>
        <v>4059.3162826294565</v>
      </c>
      <c r="CI126" s="197">
        <f t="shared" si="343"/>
        <v>283.25476198455954</v>
      </c>
      <c r="CJ126" s="197">
        <f t="shared" si="344"/>
        <v>1201.2682870865829</v>
      </c>
      <c r="CK126" s="197">
        <f t="shared" si="345"/>
        <v>2858.0479955428737</v>
      </c>
      <c r="CL126" s="199">
        <f t="shared" si="346"/>
        <v>3141.3027575274332</v>
      </c>
      <c r="CM126" s="196">
        <f t="shared" si="364"/>
        <v>62634.499960890724</v>
      </c>
      <c r="CN126" s="197">
        <f t="shared" si="347"/>
        <v>5181.270950386006</v>
      </c>
      <c r="CO126" s="197">
        <f t="shared" si="347"/>
        <v>87198.636609817622</v>
      </c>
      <c r="CP126" s="197">
        <f t="shared" si="347"/>
        <v>-24564.136648926935</v>
      </c>
      <c r="CQ126" s="199">
        <f t="shared" si="347"/>
        <v>-19382.865698540914</v>
      </c>
      <c r="CT126" s="204">
        <f t="shared" si="365"/>
        <v>14</v>
      </c>
      <c r="CU126" s="757">
        <f t="shared" si="348"/>
        <v>12.54</v>
      </c>
      <c r="CV126" s="197">
        <f>'Energy Inputs'!$E$58*$CV$109</f>
        <v>0</v>
      </c>
      <c r="CW126" s="197">
        <f t="shared" si="366"/>
        <v>0</v>
      </c>
      <c r="CX126" s="197">
        <f>'Margins summary'!$S$14</f>
        <v>471.64</v>
      </c>
      <c r="CY126" s="197">
        <f t="shared" si="349"/>
        <v>471.64</v>
      </c>
      <c r="CZ126" s="197"/>
      <c r="DA126" s="913">
        <f>'Energy NPV'!U52</f>
        <v>2000.1999999999998</v>
      </c>
      <c r="DB126" s="197"/>
      <c r="DC126" s="197">
        <f t="shared" si="350"/>
        <v>2000.1999999999998</v>
      </c>
      <c r="DD126" s="197">
        <f t="shared" si="311"/>
        <v>-2000.1999999999998</v>
      </c>
      <c r="DE126" s="197">
        <f t="shared" si="312"/>
        <v>-1528.56</v>
      </c>
      <c r="DF126" s="196">
        <f t="shared" si="351"/>
        <v>0</v>
      </c>
      <c r="DG126" s="197">
        <f t="shared" si="352"/>
        <v>283.25476198455954</v>
      </c>
      <c r="DH126" s="197">
        <f t="shared" si="353"/>
        <v>1201.2682870865829</v>
      </c>
      <c r="DI126" s="197">
        <f t="shared" si="354"/>
        <v>-1201.2682870865829</v>
      </c>
      <c r="DJ126" s="199">
        <f t="shared" si="355"/>
        <v>-918.01352510202332</v>
      </c>
      <c r="DK126" s="196">
        <f t="shared" si="367"/>
        <v>0</v>
      </c>
      <c r="DL126" s="197">
        <f t="shared" si="356"/>
        <v>5181.270950386006</v>
      </c>
      <c r="DM126" s="197">
        <f t="shared" si="356"/>
        <v>87198.636609817622</v>
      </c>
      <c r="DN126" s="197">
        <f t="shared" si="356"/>
        <v>-87198.636609817622</v>
      </c>
      <c r="DO126" s="199">
        <f t="shared" si="356"/>
        <v>-82017.365659431642</v>
      </c>
    </row>
    <row r="127" spans="2:119" x14ac:dyDescent="0.3">
      <c r="B127" s="895">
        <v>15</v>
      </c>
      <c r="C127" s="757">
        <f>'Energy NPV'!$D53</f>
        <v>12.54</v>
      </c>
      <c r="D127" s="197">
        <f>'Energy Inputs'!$E$58*$E$109</f>
        <v>269.5</v>
      </c>
      <c r="E127" s="197">
        <f t="shared" si="357"/>
        <v>3379.5299999999997</v>
      </c>
      <c r="F127" s="197">
        <f>'Margins summary'!$S$14</f>
        <v>471.64</v>
      </c>
      <c r="G127" s="197">
        <f t="shared" si="313"/>
        <v>3851.1699999999996</v>
      </c>
      <c r="H127" s="197"/>
      <c r="I127" s="913">
        <f>'Energy NPV'!U53</f>
        <v>2000.1999999999998</v>
      </c>
      <c r="J127" s="197"/>
      <c r="K127" s="197">
        <f t="shared" si="314"/>
        <v>2000.1999999999998</v>
      </c>
      <c r="L127" s="197">
        <f t="shared" si="303"/>
        <v>1379.33</v>
      </c>
      <c r="M127" s="197">
        <f t="shared" si="304"/>
        <v>1850.9699999999998</v>
      </c>
      <c r="N127" s="196">
        <f t="shared" si="315"/>
        <v>1951.5943666487772</v>
      </c>
      <c r="O127" s="197">
        <f t="shared" si="316"/>
        <v>272.36034806207647</v>
      </c>
      <c r="P127" s="197">
        <f t="shared" si="317"/>
        <v>1155.0656606601758</v>
      </c>
      <c r="Q127" s="197">
        <f t="shared" si="318"/>
        <v>796.52870598860136</v>
      </c>
      <c r="R127" s="199">
        <f t="shared" si="319"/>
        <v>1068.8890540506777</v>
      </c>
      <c r="S127" s="196">
        <f t="shared" si="358"/>
        <v>33268.844347094142</v>
      </c>
      <c r="T127" s="197">
        <f t="shared" si="320"/>
        <v>5453.6312984480828</v>
      </c>
      <c r="U127" s="197">
        <f t="shared" si="320"/>
        <v>88353.702270477792</v>
      </c>
      <c r="V127" s="197">
        <f t="shared" si="320"/>
        <v>-55084.857923383701</v>
      </c>
      <c r="W127" s="199">
        <f t="shared" si="320"/>
        <v>-49631.226624935618</v>
      </c>
      <c r="Z127" s="895">
        <v>15</v>
      </c>
      <c r="AA127" s="757">
        <f t="shared" si="321"/>
        <v>12.54</v>
      </c>
      <c r="AB127" s="197">
        <f>'Energy Inputs'!$E$58*$AB$109</f>
        <v>404.25</v>
      </c>
      <c r="AC127" s="197">
        <f t="shared" si="359"/>
        <v>5069.2950000000001</v>
      </c>
      <c r="AD127" s="197">
        <f>'Margins summary'!$S$14</f>
        <v>471.64</v>
      </c>
      <c r="AE127" s="197">
        <f t="shared" si="322"/>
        <v>5540.9350000000004</v>
      </c>
      <c r="AF127" s="197"/>
      <c r="AG127" s="913">
        <f>'Energy NPV'!U53</f>
        <v>2000.1999999999998</v>
      </c>
      <c r="AH127" s="197"/>
      <c r="AI127" s="197">
        <f t="shared" si="323"/>
        <v>2000.1999999999998</v>
      </c>
      <c r="AJ127" s="197">
        <f t="shared" si="305"/>
        <v>3069.0950000000003</v>
      </c>
      <c r="AK127" s="197">
        <f t="shared" si="306"/>
        <v>3540.7350000000006</v>
      </c>
      <c r="AL127" s="196">
        <f t="shared" si="324"/>
        <v>2927.3915499731661</v>
      </c>
      <c r="AM127" s="197">
        <f t="shared" si="325"/>
        <v>272.36034806207647</v>
      </c>
      <c r="AN127" s="197">
        <f t="shared" si="326"/>
        <v>1155.0656606601758</v>
      </c>
      <c r="AO127" s="197">
        <f t="shared" si="327"/>
        <v>1772.3258893129901</v>
      </c>
      <c r="AP127" s="199">
        <f t="shared" si="328"/>
        <v>2044.6862373750669</v>
      </c>
      <c r="AQ127" s="196">
        <f t="shared" si="360"/>
        <v>49903.266520641206</v>
      </c>
      <c r="AR127" s="197">
        <f t="shared" si="329"/>
        <v>5453.6312984480828</v>
      </c>
      <c r="AS127" s="197">
        <f t="shared" si="329"/>
        <v>88353.702270477792</v>
      </c>
      <c r="AT127" s="197">
        <f t="shared" si="329"/>
        <v>-38450.435749836608</v>
      </c>
      <c r="AU127" s="199">
        <f t="shared" si="329"/>
        <v>-32996.804451388518</v>
      </c>
      <c r="AX127" s="895">
        <v>15</v>
      </c>
      <c r="AY127" s="757">
        <f t="shared" si="330"/>
        <v>12.54</v>
      </c>
      <c r="AZ127" s="197">
        <f>'Energy Inputs'!$E$58*$AZ$109</f>
        <v>134.75</v>
      </c>
      <c r="BA127" s="197">
        <f t="shared" si="361"/>
        <v>1689.7649999999999</v>
      </c>
      <c r="BB127" s="197">
        <f>'Margins summary'!$S$14</f>
        <v>471.64</v>
      </c>
      <c r="BC127" s="197">
        <f t="shared" si="331"/>
        <v>2161.4049999999997</v>
      </c>
      <c r="BD127" s="197"/>
      <c r="BE127" s="913">
        <f>'Energy NPV'!U53</f>
        <v>2000.1999999999998</v>
      </c>
      <c r="BF127" s="197"/>
      <c r="BG127" s="197">
        <f t="shared" si="332"/>
        <v>2000.1999999999998</v>
      </c>
      <c r="BH127" s="197">
        <f t="shared" si="307"/>
        <v>-310.43499999999995</v>
      </c>
      <c r="BI127" s="197">
        <f t="shared" si="308"/>
        <v>161.20499999999993</v>
      </c>
      <c r="BJ127" s="196">
        <f t="shared" si="333"/>
        <v>975.79718332438858</v>
      </c>
      <c r="BK127" s="197">
        <f t="shared" si="334"/>
        <v>272.36034806207647</v>
      </c>
      <c r="BL127" s="197">
        <f t="shared" si="335"/>
        <v>1155.0656606601758</v>
      </c>
      <c r="BM127" s="197">
        <f t="shared" si="336"/>
        <v>-179.26847733578725</v>
      </c>
      <c r="BN127" s="199">
        <f t="shared" si="337"/>
        <v>93.091870726289159</v>
      </c>
      <c r="BO127" s="196">
        <f t="shared" si="362"/>
        <v>16634.422173547071</v>
      </c>
      <c r="BP127" s="197">
        <f t="shared" si="338"/>
        <v>5453.6312984480828</v>
      </c>
      <c r="BQ127" s="197">
        <f t="shared" si="338"/>
        <v>88353.702270477792</v>
      </c>
      <c r="BR127" s="197">
        <f t="shared" si="338"/>
        <v>-71719.280096930757</v>
      </c>
      <c r="BS127" s="199">
        <f t="shared" si="338"/>
        <v>-66265.648798482682</v>
      </c>
      <c r="BV127" s="895">
        <v>15</v>
      </c>
      <c r="BW127" s="757">
        <f t="shared" si="339"/>
        <v>12.54</v>
      </c>
      <c r="BX127" s="197">
        <f>'Energy Inputs'!$E$58*$BX$109</f>
        <v>539</v>
      </c>
      <c r="BY127" s="197">
        <f t="shared" si="363"/>
        <v>6759.0599999999995</v>
      </c>
      <c r="BZ127" s="197">
        <f>'Margins summary'!$S$14</f>
        <v>471.64</v>
      </c>
      <c r="CA127" s="197">
        <f t="shared" si="340"/>
        <v>7230.7</v>
      </c>
      <c r="CB127" s="197"/>
      <c r="CC127" s="913">
        <f>'Energy NPV'!U53</f>
        <v>2000.1999999999998</v>
      </c>
      <c r="CD127" s="197"/>
      <c r="CE127" s="197">
        <f t="shared" si="341"/>
        <v>2000.1999999999998</v>
      </c>
      <c r="CF127" s="197">
        <f t="shared" si="309"/>
        <v>4758.8599999999997</v>
      </c>
      <c r="CG127" s="197">
        <f t="shared" si="310"/>
        <v>5230.5</v>
      </c>
      <c r="CH127" s="196">
        <f t="shared" si="342"/>
        <v>3903.1887332975543</v>
      </c>
      <c r="CI127" s="197">
        <f t="shared" si="343"/>
        <v>272.36034806207647</v>
      </c>
      <c r="CJ127" s="197">
        <f t="shared" si="344"/>
        <v>1155.0656606601758</v>
      </c>
      <c r="CK127" s="197">
        <f t="shared" si="345"/>
        <v>2748.1230726373783</v>
      </c>
      <c r="CL127" s="199">
        <f t="shared" si="346"/>
        <v>3020.4834206994551</v>
      </c>
      <c r="CM127" s="196">
        <f t="shared" si="364"/>
        <v>66537.688694188284</v>
      </c>
      <c r="CN127" s="197">
        <f t="shared" si="347"/>
        <v>5453.6312984480828</v>
      </c>
      <c r="CO127" s="197">
        <f t="shared" si="347"/>
        <v>88353.702270477792</v>
      </c>
      <c r="CP127" s="197">
        <f t="shared" si="347"/>
        <v>-21816.013576289555</v>
      </c>
      <c r="CQ127" s="199">
        <f t="shared" si="347"/>
        <v>-16362.38227784146</v>
      </c>
      <c r="CT127" s="204">
        <f t="shared" si="365"/>
        <v>15</v>
      </c>
      <c r="CU127" s="757">
        <f t="shared" si="348"/>
        <v>12.54</v>
      </c>
      <c r="CV127" s="197">
        <f>'Energy Inputs'!$E$58*$CV$109</f>
        <v>0</v>
      </c>
      <c r="CW127" s="197">
        <f t="shared" si="366"/>
        <v>0</v>
      </c>
      <c r="CX127" s="197">
        <f>'Margins summary'!$S$14</f>
        <v>471.64</v>
      </c>
      <c r="CY127" s="197">
        <f t="shared" si="349"/>
        <v>471.64</v>
      </c>
      <c r="CZ127" s="197"/>
      <c r="DA127" s="913">
        <f>'Energy NPV'!U53</f>
        <v>2000.1999999999998</v>
      </c>
      <c r="DB127" s="197"/>
      <c r="DC127" s="197">
        <f t="shared" si="350"/>
        <v>2000.1999999999998</v>
      </c>
      <c r="DD127" s="197">
        <f t="shared" si="311"/>
        <v>-2000.1999999999998</v>
      </c>
      <c r="DE127" s="197">
        <f t="shared" si="312"/>
        <v>-1528.56</v>
      </c>
      <c r="DF127" s="196">
        <f t="shared" si="351"/>
        <v>0</v>
      </c>
      <c r="DG127" s="197">
        <f t="shared" si="352"/>
        <v>272.36034806207647</v>
      </c>
      <c r="DH127" s="197">
        <f t="shared" si="353"/>
        <v>1155.0656606601758</v>
      </c>
      <c r="DI127" s="197">
        <f t="shared" si="354"/>
        <v>-1155.0656606601758</v>
      </c>
      <c r="DJ127" s="199">
        <f t="shared" si="355"/>
        <v>-882.70531259809945</v>
      </c>
      <c r="DK127" s="196">
        <f t="shared" si="367"/>
        <v>0</v>
      </c>
      <c r="DL127" s="197">
        <f t="shared" si="356"/>
        <v>5453.6312984480828</v>
      </c>
      <c r="DM127" s="197">
        <f t="shared" si="356"/>
        <v>88353.702270477792</v>
      </c>
      <c r="DN127" s="197">
        <f t="shared" si="356"/>
        <v>-88353.702270477792</v>
      </c>
      <c r="DO127" s="199">
        <f t="shared" si="356"/>
        <v>-82900.070972029745</v>
      </c>
    </row>
    <row r="128" spans="2:119" x14ac:dyDescent="0.3">
      <c r="B128" s="896">
        <v>16</v>
      </c>
      <c r="C128" s="758">
        <f>'Energy NPV'!$D54</f>
        <v>12.54</v>
      </c>
      <c r="D128" s="207">
        <f>'Energy Inputs'!$E$58*$E$109</f>
        <v>269.5</v>
      </c>
      <c r="E128" s="207">
        <f t="shared" si="357"/>
        <v>3379.5299999999997</v>
      </c>
      <c r="F128" s="207">
        <f>'Margins summary'!$S$14</f>
        <v>471.64</v>
      </c>
      <c r="G128" s="207">
        <f t="shared" si="313"/>
        <v>3851.1699999999996</v>
      </c>
      <c r="H128" s="207"/>
      <c r="I128" s="914">
        <f>'Energy NPV'!U54</f>
        <v>2000.1999999999998</v>
      </c>
      <c r="J128" s="207">
        <f>'Energy margins'!$Q$67</f>
        <v>500</v>
      </c>
      <c r="K128" s="207">
        <f t="shared" si="314"/>
        <v>2500.1999999999998</v>
      </c>
      <c r="L128" s="207">
        <f t="shared" si="303"/>
        <v>879.32999999999993</v>
      </c>
      <c r="M128" s="207">
        <f t="shared" si="304"/>
        <v>1350.9699999999998</v>
      </c>
      <c r="N128" s="208">
        <f t="shared" si="315"/>
        <v>1876.5330448545935</v>
      </c>
      <c r="O128" s="207">
        <f t="shared" si="316"/>
        <v>261.88495005968895</v>
      </c>
      <c r="P128" s="207">
        <f t="shared" si="317"/>
        <v>1388.2723096837296</v>
      </c>
      <c r="Q128" s="207">
        <f t="shared" si="318"/>
        <v>488.26073517086388</v>
      </c>
      <c r="R128" s="209">
        <f t="shared" si="319"/>
        <v>750.14568523055277</v>
      </c>
      <c r="S128" s="208">
        <f t="shared" si="358"/>
        <v>35145.377391948736</v>
      </c>
      <c r="T128" s="207">
        <f t="shared" si="320"/>
        <v>5715.5162485077717</v>
      </c>
      <c r="U128" s="207">
        <f t="shared" si="320"/>
        <v>89741.974580161521</v>
      </c>
      <c r="V128" s="207">
        <f t="shared" si="320"/>
        <v>-54596.597188212836</v>
      </c>
      <c r="W128" s="209">
        <f t="shared" si="320"/>
        <v>-48881.080939705062</v>
      </c>
      <c r="Z128" s="896">
        <v>16</v>
      </c>
      <c r="AA128" s="758">
        <f t="shared" si="321"/>
        <v>12.54</v>
      </c>
      <c r="AB128" s="207">
        <f>'Energy Inputs'!$E$58*$AB$109</f>
        <v>404.25</v>
      </c>
      <c r="AC128" s="207">
        <f t="shared" si="359"/>
        <v>5069.2950000000001</v>
      </c>
      <c r="AD128" s="207">
        <f>'Margins summary'!$S$14</f>
        <v>471.64</v>
      </c>
      <c r="AE128" s="207">
        <f t="shared" si="322"/>
        <v>5540.9350000000004</v>
      </c>
      <c r="AF128" s="207"/>
      <c r="AG128" s="914">
        <f>'Energy NPV'!U54</f>
        <v>2000.1999999999998</v>
      </c>
      <c r="AH128" s="207">
        <f>'Energy margins'!$Q$67</f>
        <v>500</v>
      </c>
      <c r="AI128" s="207">
        <f t="shared" si="323"/>
        <v>2500.1999999999998</v>
      </c>
      <c r="AJ128" s="207">
        <f t="shared" si="305"/>
        <v>2569.0950000000003</v>
      </c>
      <c r="AK128" s="207">
        <f t="shared" si="306"/>
        <v>3040.7350000000006</v>
      </c>
      <c r="AL128" s="208">
        <f t="shared" si="324"/>
        <v>2814.7995672818906</v>
      </c>
      <c r="AM128" s="207">
        <f t="shared" si="325"/>
        <v>261.88495005968895</v>
      </c>
      <c r="AN128" s="207">
        <f t="shared" si="326"/>
        <v>1388.2723096837296</v>
      </c>
      <c r="AO128" s="207">
        <f t="shared" si="327"/>
        <v>1426.5272575981608</v>
      </c>
      <c r="AP128" s="209">
        <f t="shared" si="328"/>
        <v>1688.4122076578499</v>
      </c>
      <c r="AQ128" s="208">
        <f>AQ127+AL128</f>
        <v>52718.0660879231</v>
      </c>
      <c r="AR128" s="207">
        <f t="shared" si="329"/>
        <v>5715.5162485077717</v>
      </c>
      <c r="AS128" s="207">
        <f t="shared" si="329"/>
        <v>89741.974580161521</v>
      </c>
      <c r="AT128" s="207">
        <f t="shared" si="329"/>
        <v>-37023.90849223845</v>
      </c>
      <c r="AU128" s="209">
        <f t="shared" si="329"/>
        <v>-31308.392243730668</v>
      </c>
      <c r="AX128" s="896">
        <v>16</v>
      </c>
      <c r="AY128" s="758">
        <f t="shared" si="330"/>
        <v>12.54</v>
      </c>
      <c r="AZ128" s="207">
        <f>'Energy Inputs'!$E$58*$AZ$109</f>
        <v>134.75</v>
      </c>
      <c r="BA128" s="207">
        <f t="shared" si="361"/>
        <v>1689.7649999999999</v>
      </c>
      <c r="BB128" s="207">
        <f>'Margins summary'!$S$14</f>
        <v>471.64</v>
      </c>
      <c r="BC128" s="207">
        <f t="shared" si="331"/>
        <v>2161.4049999999997</v>
      </c>
      <c r="BD128" s="207"/>
      <c r="BE128" s="914">
        <f>'Energy NPV'!U54</f>
        <v>2000.1999999999998</v>
      </c>
      <c r="BF128" s="207">
        <f>'Energy margins'!$Q$67</f>
        <v>500</v>
      </c>
      <c r="BG128" s="207">
        <f t="shared" si="332"/>
        <v>2500.1999999999998</v>
      </c>
      <c r="BH128" s="207">
        <f t="shared" si="307"/>
        <v>-810.43499999999995</v>
      </c>
      <c r="BI128" s="207">
        <f t="shared" si="308"/>
        <v>-338.79500000000007</v>
      </c>
      <c r="BJ128" s="208">
        <f t="shared" si="333"/>
        <v>938.26652242729676</v>
      </c>
      <c r="BK128" s="207">
        <f t="shared" si="334"/>
        <v>261.88495005968895</v>
      </c>
      <c r="BL128" s="207">
        <f t="shared" si="335"/>
        <v>1388.2723096837296</v>
      </c>
      <c r="BM128" s="207">
        <f t="shared" si="336"/>
        <v>-450.00578725643282</v>
      </c>
      <c r="BN128" s="209">
        <f t="shared" si="337"/>
        <v>-188.12083719674396</v>
      </c>
      <c r="BO128" s="208">
        <f t="shared" si="362"/>
        <v>17572.688695974368</v>
      </c>
      <c r="BP128" s="207">
        <f t="shared" si="338"/>
        <v>5715.5162485077717</v>
      </c>
      <c r="BQ128" s="207">
        <f t="shared" si="338"/>
        <v>89741.974580161521</v>
      </c>
      <c r="BR128" s="207">
        <f t="shared" si="338"/>
        <v>-72169.285884187193</v>
      </c>
      <c r="BS128" s="209">
        <f t="shared" si="338"/>
        <v>-66453.769635679419</v>
      </c>
      <c r="BV128" s="896">
        <v>16</v>
      </c>
      <c r="BW128" s="758">
        <f t="shared" si="339"/>
        <v>12.54</v>
      </c>
      <c r="BX128" s="207">
        <f>'Energy Inputs'!$E$58*$BX$109</f>
        <v>539</v>
      </c>
      <c r="BY128" s="207">
        <f t="shared" si="363"/>
        <v>6759.0599999999995</v>
      </c>
      <c r="BZ128" s="207">
        <f>'Margins summary'!$S$14</f>
        <v>471.64</v>
      </c>
      <c r="CA128" s="207">
        <f t="shared" si="340"/>
        <v>7230.7</v>
      </c>
      <c r="CB128" s="207"/>
      <c r="CC128" s="914">
        <f>'Energy NPV'!U54</f>
        <v>2000.1999999999998</v>
      </c>
      <c r="CD128" s="207">
        <f>'Energy margins'!$Q$67</f>
        <v>500</v>
      </c>
      <c r="CE128" s="207">
        <f t="shared" si="341"/>
        <v>2500.1999999999998</v>
      </c>
      <c r="CF128" s="207">
        <f t="shared" si="309"/>
        <v>4258.8599999999997</v>
      </c>
      <c r="CG128" s="207">
        <f t="shared" si="310"/>
        <v>4730.5</v>
      </c>
      <c r="CH128" s="208">
        <f t="shared" si="342"/>
        <v>3753.0660897091871</v>
      </c>
      <c r="CI128" s="207">
        <f t="shared" si="343"/>
        <v>261.88495005968895</v>
      </c>
      <c r="CJ128" s="207">
        <f t="shared" si="344"/>
        <v>1388.2723096837296</v>
      </c>
      <c r="CK128" s="207">
        <f t="shared" si="345"/>
        <v>2364.7937800254572</v>
      </c>
      <c r="CL128" s="209">
        <f t="shared" si="346"/>
        <v>2626.6787300851465</v>
      </c>
      <c r="CM128" s="208">
        <f t="shared" si="364"/>
        <v>70290.754783897471</v>
      </c>
      <c r="CN128" s="207">
        <f t="shared" si="347"/>
        <v>5715.5162485077717</v>
      </c>
      <c r="CO128" s="207">
        <f t="shared" si="347"/>
        <v>89741.974580161521</v>
      </c>
      <c r="CP128" s="207">
        <f t="shared" si="347"/>
        <v>-19451.219796264097</v>
      </c>
      <c r="CQ128" s="209">
        <f t="shared" si="347"/>
        <v>-13735.703547756313</v>
      </c>
      <c r="CT128" s="206">
        <f t="shared" si="365"/>
        <v>16</v>
      </c>
      <c r="CU128" s="758">
        <f t="shared" si="348"/>
        <v>12.54</v>
      </c>
      <c r="CV128" s="207">
        <f>'Energy Inputs'!$E$58*$CV$109</f>
        <v>0</v>
      </c>
      <c r="CW128" s="207">
        <f t="shared" si="366"/>
        <v>0</v>
      </c>
      <c r="CX128" s="207">
        <f>'Margins summary'!$S$14</f>
        <v>471.64</v>
      </c>
      <c r="CY128" s="207">
        <f t="shared" si="349"/>
        <v>471.64</v>
      </c>
      <c r="CZ128" s="207"/>
      <c r="DA128" s="914">
        <f>'Energy NPV'!U54</f>
        <v>2000.1999999999998</v>
      </c>
      <c r="DB128" s="207">
        <f>'Energy margins'!$Q$67</f>
        <v>500</v>
      </c>
      <c r="DC128" s="207">
        <f t="shared" si="350"/>
        <v>2500.1999999999998</v>
      </c>
      <c r="DD128" s="207">
        <f t="shared" si="311"/>
        <v>-2500.1999999999998</v>
      </c>
      <c r="DE128" s="207">
        <f t="shared" si="312"/>
        <v>-2028.56</v>
      </c>
      <c r="DF128" s="208">
        <f t="shared" si="351"/>
        <v>0</v>
      </c>
      <c r="DG128" s="207">
        <f t="shared" si="352"/>
        <v>261.88495005968895</v>
      </c>
      <c r="DH128" s="207">
        <f t="shared" si="353"/>
        <v>1388.2723096837296</v>
      </c>
      <c r="DI128" s="207">
        <f t="shared" si="354"/>
        <v>-1388.2723096837296</v>
      </c>
      <c r="DJ128" s="209">
        <f>DE128/((1+$B$4)^(CT128-1))</f>
        <v>-1126.3873596240408</v>
      </c>
      <c r="DK128" s="208">
        <f t="shared" si="367"/>
        <v>0</v>
      </c>
      <c r="DL128" s="207">
        <f t="shared" si="356"/>
        <v>5715.5162485077717</v>
      </c>
      <c r="DM128" s="207">
        <f t="shared" si="356"/>
        <v>89741.974580161521</v>
      </c>
      <c r="DN128" s="207">
        <f t="shared" si="356"/>
        <v>-89741.974580161521</v>
      </c>
      <c r="DO128" s="209">
        <f t="shared" si="356"/>
        <v>-84026.45833165379</v>
      </c>
    </row>
    <row r="134" spans="2:118" x14ac:dyDescent="0.3">
      <c r="B134" s="212" t="s">
        <v>258</v>
      </c>
      <c r="C134" s="760" t="s">
        <v>386</v>
      </c>
      <c r="D134" s="269" t="s">
        <v>397</v>
      </c>
      <c r="E134" s="908">
        <v>1</v>
      </c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Z134" s="212" t="s">
        <v>258</v>
      </c>
      <c r="AA134" s="760" t="s">
        <v>387</v>
      </c>
      <c r="AB134" s="269" t="s">
        <v>397</v>
      </c>
      <c r="AC134" s="908">
        <v>1.5</v>
      </c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X134" s="212" t="s">
        <v>258</v>
      </c>
      <c r="AY134" s="760" t="s">
        <v>388</v>
      </c>
      <c r="AZ134" s="269" t="s">
        <v>397</v>
      </c>
      <c r="BA134" s="908">
        <v>0.5</v>
      </c>
      <c r="BB134" s="102"/>
      <c r="BC134" s="102"/>
      <c r="BD134" s="102"/>
      <c r="BE134" s="102"/>
      <c r="BF134" s="102"/>
      <c r="BG134" s="102"/>
      <c r="BH134" s="102"/>
      <c r="BI134" s="102"/>
      <c r="BJ134" s="102"/>
      <c r="BK134" s="102"/>
      <c r="BL134" s="102"/>
      <c r="BM134" s="102"/>
      <c r="BN134" s="102"/>
      <c r="BO134" s="102"/>
      <c r="BP134" s="102"/>
      <c r="BV134" s="212" t="s">
        <v>258</v>
      </c>
      <c r="BW134" s="760" t="s">
        <v>389</v>
      </c>
      <c r="BX134" s="269" t="s">
        <v>397</v>
      </c>
      <c r="BY134" s="908">
        <v>2</v>
      </c>
      <c r="BZ134" s="102"/>
      <c r="CA134" s="102"/>
      <c r="CB134" s="102"/>
      <c r="CC134" s="102"/>
      <c r="CD134" s="102"/>
      <c r="CE134" s="102"/>
      <c r="CF134" s="102"/>
      <c r="CG134" s="102"/>
      <c r="CH134" s="102"/>
      <c r="CI134" s="102"/>
      <c r="CJ134" s="102"/>
      <c r="CK134" s="102"/>
      <c r="CL134" s="102"/>
      <c r="CM134" s="102"/>
      <c r="CN134" s="102"/>
      <c r="CT134" s="212" t="s">
        <v>258</v>
      </c>
      <c r="CU134" s="760" t="s">
        <v>390</v>
      </c>
      <c r="CV134" s="269" t="s">
        <v>397</v>
      </c>
      <c r="CW134" s="908">
        <v>0</v>
      </c>
      <c r="CX134" s="102"/>
      <c r="CY134" s="102"/>
      <c r="CZ134" s="102"/>
      <c r="DA134" s="102"/>
      <c r="DB134" s="102"/>
      <c r="DC134" s="102"/>
      <c r="DD134" s="102"/>
      <c r="DE134" s="102"/>
      <c r="DF134" s="102"/>
      <c r="DG134" s="102"/>
      <c r="DH134" s="102"/>
      <c r="DI134" s="102"/>
      <c r="DJ134" s="102"/>
      <c r="DK134" s="102"/>
      <c r="DL134" s="102"/>
    </row>
    <row r="135" spans="2:118" x14ac:dyDescent="0.3">
      <c r="B135" s="203"/>
      <c r="D135" s="158"/>
      <c r="E135" s="755"/>
      <c r="F135" s="755"/>
      <c r="G135" s="755"/>
      <c r="H135" s="148"/>
      <c r="I135" s="148"/>
      <c r="J135" s="755"/>
      <c r="K135" s="148"/>
      <c r="L135" s="148"/>
      <c r="M135" s="889" t="s">
        <v>273</v>
      </c>
      <c r="N135" s="890"/>
      <c r="O135" s="890"/>
      <c r="P135" s="890"/>
      <c r="Q135" s="891"/>
      <c r="R135" s="889" t="s">
        <v>274</v>
      </c>
      <c r="S135" s="890"/>
      <c r="T135" s="890"/>
      <c r="U135" s="890"/>
      <c r="V135" s="891"/>
      <c r="Z135" s="203"/>
      <c r="AB135" s="158"/>
      <c r="AC135" s="755"/>
      <c r="AD135" s="755"/>
      <c r="AE135" s="755"/>
      <c r="AF135" s="148"/>
      <c r="AG135" s="148"/>
      <c r="AH135" s="755"/>
      <c r="AI135" s="148"/>
      <c r="AJ135" s="148"/>
      <c r="AK135" s="889" t="s">
        <v>273</v>
      </c>
      <c r="AL135" s="890"/>
      <c r="AM135" s="890"/>
      <c r="AN135" s="890"/>
      <c r="AO135" s="891"/>
      <c r="AP135" s="889" t="s">
        <v>274</v>
      </c>
      <c r="AQ135" s="890"/>
      <c r="AR135" s="890"/>
      <c r="AS135" s="890"/>
      <c r="AT135" s="891"/>
      <c r="AX135" s="203"/>
      <c r="AZ135" s="158"/>
      <c r="BA135" s="755"/>
      <c r="BB135" s="755"/>
      <c r="BC135" s="755"/>
      <c r="BD135" s="148"/>
      <c r="BE135" s="148"/>
      <c r="BF135" s="755"/>
      <c r="BG135" s="148"/>
      <c r="BH135" s="148"/>
      <c r="BI135" s="889" t="s">
        <v>273</v>
      </c>
      <c r="BJ135" s="890"/>
      <c r="BK135" s="890"/>
      <c r="BL135" s="890"/>
      <c r="BM135" s="891"/>
      <c r="BN135" s="889" t="s">
        <v>274</v>
      </c>
      <c r="BO135" s="890"/>
      <c r="BP135" s="890"/>
      <c r="BQ135" s="890"/>
      <c r="BR135" s="891"/>
      <c r="BV135" s="203"/>
      <c r="BX135" s="158"/>
      <c r="BY135" s="755"/>
      <c r="BZ135" s="755"/>
      <c r="CA135" s="755"/>
      <c r="CB135" s="148"/>
      <c r="CC135" s="148"/>
      <c r="CD135" s="755"/>
      <c r="CE135" s="148"/>
      <c r="CF135" s="148"/>
      <c r="CG135" s="889" t="s">
        <v>273</v>
      </c>
      <c r="CH135" s="890"/>
      <c r="CI135" s="890"/>
      <c r="CJ135" s="890"/>
      <c r="CK135" s="891"/>
      <c r="CL135" s="889" t="s">
        <v>274</v>
      </c>
      <c r="CM135" s="890"/>
      <c r="CN135" s="890"/>
      <c r="CO135" s="890"/>
      <c r="CP135" s="891"/>
      <c r="CT135" s="203"/>
      <c r="CV135" s="158"/>
      <c r="CW135" s="755"/>
      <c r="CX135" s="755"/>
      <c r="CY135" s="755"/>
      <c r="CZ135" s="148"/>
      <c r="DA135" s="148"/>
      <c r="DB135" s="755"/>
      <c r="DC135" s="148"/>
      <c r="DD135" s="148"/>
      <c r="DE135" s="889" t="s">
        <v>273</v>
      </c>
      <c r="DF135" s="890"/>
      <c r="DG135" s="890"/>
      <c r="DH135" s="890"/>
      <c r="DI135" s="891"/>
      <c r="DJ135" s="889" t="s">
        <v>274</v>
      </c>
      <c r="DK135" s="890"/>
      <c r="DL135" s="890"/>
      <c r="DM135" s="890"/>
      <c r="DN135" s="891"/>
    </row>
    <row r="136" spans="2:118" ht="51" x14ac:dyDescent="0.3">
      <c r="B136" s="204" t="s">
        <v>275</v>
      </c>
      <c r="C136" s="205" t="s">
        <v>293</v>
      </c>
      <c r="D136" s="205" t="s">
        <v>294</v>
      </c>
      <c r="E136" s="171" t="s">
        <v>622</v>
      </c>
      <c r="F136" s="171" t="s">
        <v>591</v>
      </c>
      <c r="G136" s="171" t="s">
        <v>623</v>
      </c>
      <c r="H136" s="205" t="str">
        <f>'Arable NPV'!$G$141</f>
        <v>Total Variable Costs</v>
      </c>
      <c r="I136" s="205" t="str">
        <f>'Arable NPV'!$H$141</f>
        <v>Total Fixed Costs</v>
      </c>
      <c r="J136" s="171" t="s">
        <v>279</v>
      </c>
      <c r="K136" s="171" t="s">
        <v>624</v>
      </c>
      <c r="L136" s="171" t="s">
        <v>625</v>
      </c>
      <c r="M136" s="195" t="s">
        <v>280</v>
      </c>
      <c r="N136" s="171" t="s">
        <v>626</v>
      </c>
      <c r="O136" s="171" t="s">
        <v>281</v>
      </c>
      <c r="P136" s="171" t="s">
        <v>627</v>
      </c>
      <c r="Q136" s="198" t="s">
        <v>282</v>
      </c>
      <c r="R136" s="195" t="s">
        <v>283</v>
      </c>
      <c r="S136" s="171" t="s">
        <v>628</v>
      </c>
      <c r="T136" s="171" t="s">
        <v>284</v>
      </c>
      <c r="U136" s="171" t="s">
        <v>629</v>
      </c>
      <c r="V136" s="198" t="s">
        <v>285</v>
      </c>
      <c r="Z136" s="204" t="s">
        <v>275</v>
      </c>
      <c r="AA136" s="205" t="s">
        <v>293</v>
      </c>
      <c r="AB136" s="205" t="s">
        <v>294</v>
      </c>
      <c r="AC136" s="171" t="s">
        <v>622</v>
      </c>
      <c r="AD136" s="171" t="s">
        <v>591</v>
      </c>
      <c r="AE136" s="171" t="s">
        <v>623</v>
      </c>
      <c r="AF136" s="205" t="str">
        <f>'Arable NPV'!$G$141</f>
        <v>Total Variable Costs</v>
      </c>
      <c r="AG136" s="205" t="str">
        <f>'Arable NPV'!$H$141</f>
        <v>Total Fixed Costs</v>
      </c>
      <c r="AH136" s="171" t="s">
        <v>279</v>
      </c>
      <c r="AI136" s="171" t="s">
        <v>624</v>
      </c>
      <c r="AJ136" s="171" t="s">
        <v>625</v>
      </c>
      <c r="AK136" s="195" t="s">
        <v>280</v>
      </c>
      <c r="AL136" s="171" t="s">
        <v>626</v>
      </c>
      <c r="AM136" s="171" t="s">
        <v>281</v>
      </c>
      <c r="AN136" s="171" t="s">
        <v>627</v>
      </c>
      <c r="AO136" s="198" t="s">
        <v>282</v>
      </c>
      <c r="AP136" s="195" t="s">
        <v>283</v>
      </c>
      <c r="AQ136" s="171" t="s">
        <v>628</v>
      </c>
      <c r="AR136" s="171" t="s">
        <v>284</v>
      </c>
      <c r="AS136" s="171" t="s">
        <v>629</v>
      </c>
      <c r="AT136" s="198" t="s">
        <v>285</v>
      </c>
      <c r="AX136" s="204" t="s">
        <v>275</v>
      </c>
      <c r="AY136" s="205" t="s">
        <v>293</v>
      </c>
      <c r="AZ136" s="205" t="s">
        <v>294</v>
      </c>
      <c r="BA136" s="171" t="s">
        <v>622</v>
      </c>
      <c r="BB136" s="171" t="s">
        <v>591</v>
      </c>
      <c r="BC136" s="171" t="s">
        <v>623</v>
      </c>
      <c r="BD136" s="205" t="str">
        <f>'Arable NPV'!$G$141</f>
        <v>Total Variable Costs</v>
      </c>
      <c r="BE136" s="205" t="str">
        <f>'Arable NPV'!$H$141</f>
        <v>Total Fixed Costs</v>
      </c>
      <c r="BF136" s="171" t="s">
        <v>279</v>
      </c>
      <c r="BG136" s="171" t="s">
        <v>624</v>
      </c>
      <c r="BH136" s="171" t="s">
        <v>625</v>
      </c>
      <c r="BI136" s="195" t="s">
        <v>280</v>
      </c>
      <c r="BJ136" s="171" t="s">
        <v>626</v>
      </c>
      <c r="BK136" s="171" t="s">
        <v>281</v>
      </c>
      <c r="BL136" s="171" t="s">
        <v>627</v>
      </c>
      <c r="BM136" s="198" t="s">
        <v>282</v>
      </c>
      <c r="BN136" s="195" t="s">
        <v>283</v>
      </c>
      <c r="BO136" s="171" t="s">
        <v>628</v>
      </c>
      <c r="BP136" s="171" t="s">
        <v>284</v>
      </c>
      <c r="BQ136" s="171" t="s">
        <v>629</v>
      </c>
      <c r="BR136" s="198" t="s">
        <v>285</v>
      </c>
      <c r="BV136" s="204" t="s">
        <v>275</v>
      </c>
      <c r="BW136" s="205" t="s">
        <v>293</v>
      </c>
      <c r="BX136" s="205" t="s">
        <v>294</v>
      </c>
      <c r="BY136" s="171" t="s">
        <v>622</v>
      </c>
      <c r="BZ136" s="171" t="s">
        <v>591</v>
      </c>
      <c r="CA136" s="171" t="s">
        <v>623</v>
      </c>
      <c r="CB136" s="205" t="str">
        <f>'Arable NPV'!$G$141</f>
        <v>Total Variable Costs</v>
      </c>
      <c r="CC136" s="205" t="str">
        <f>'Arable NPV'!$H$141</f>
        <v>Total Fixed Costs</v>
      </c>
      <c r="CD136" s="171" t="s">
        <v>279</v>
      </c>
      <c r="CE136" s="171" t="s">
        <v>624</v>
      </c>
      <c r="CF136" s="171" t="s">
        <v>625</v>
      </c>
      <c r="CG136" s="195" t="s">
        <v>280</v>
      </c>
      <c r="CH136" s="171" t="s">
        <v>626</v>
      </c>
      <c r="CI136" s="171" t="s">
        <v>281</v>
      </c>
      <c r="CJ136" s="171" t="s">
        <v>627</v>
      </c>
      <c r="CK136" s="198" t="s">
        <v>282</v>
      </c>
      <c r="CL136" s="195" t="s">
        <v>283</v>
      </c>
      <c r="CM136" s="171" t="s">
        <v>628</v>
      </c>
      <c r="CN136" s="171" t="s">
        <v>284</v>
      </c>
      <c r="CO136" s="171" t="s">
        <v>629</v>
      </c>
      <c r="CP136" s="198" t="s">
        <v>285</v>
      </c>
      <c r="CT136" s="204" t="s">
        <v>275</v>
      </c>
      <c r="CU136" s="205" t="s">
        <v>293</v>
      </c>
      <c r="CV136" s="205" t="s">
        <v>294</v>
      </c>
      <c r="CW136" s="171" t="s">
        <v>622</v>
      </c>
      <c r="CX136" s="171" t="s">
        <v>591</v>
      </c>
      <c r="CY136" s="171" t="s">
        <v>623</v>
      </c>
      <c r="CZ136" s="205" t="str">
        <f>'Arable NPV'!$G$141</f>
        <v>Total Variable Costs</v>
      </c>
      <c r="DA136" s="205" t="str">
        <f>'Arable NPV'!$H$141</f>
        <v>Total Fixed Costs</v>
      </c>
      <c r="DB136" s="171" t="s">
        <v>279</v>
      </c>
      <c r="DC136" s="171" t="s">
        <v>624</v>
      </c>
      <c r="DD136" s="171" t="s">
        <v>625</v>
      </c>
      <c r="DE136" s="195" t="s">
        <v>280</v>
      </c>
      <c r="DF136" s="171" t="s">
        <v>626</v>
      </c>
      <c r="DG136" s="171" t="s">
        <v>281</v>
      </c>
      <c r="DH136" s="171" t="s">
        <v>627</v>
      </c>
      <c r="DI136" s="198" t="s">
        <v>282</v>
      </c>
      <c r="DJ136" s="195" t="s">
        <v>283</v>
      </c>
      <c r="DK136" s="171" t="s">
        <v>628</v>
      </c>
      <c r="DL136" s="171" t="s">
        <v>284</v>
      </c>
      <c r="DM136" s="171" t="s">
        <v>629</v>
      </c>
      <c r="DN136" s="198" t="s">
        <v>285</v>
      </c>
    </row>
    <row r="137" spans="2:118" x14ac:dyDescent="0.3">
      <c r="B137" s="173"/>
      <c r="C137" s="226" t="s">
        <v>336</v>
      </c>
      <c r="D137" s="226" t="s">
        <v>573</v>
      </c>
      <c r="E137" s="201" t="s">
        <v>571</v>
      </c>
      <c r="F137" s="201" t="s">
        <v>571</v>
      </c>
      <c r="G137" s="201" t="s">
        <v>571</v>
      </c>
      <c r="H137" s="201" t="s">
        <v>571</v>
      </c>
      <c r="I137" s="201" t="s">
        <v>571</v>
      </c>
      <c r="J137" s="201" t="s">
        <v>571</v>
      </c>
      <c r="K137" s="201" t="s">
        <v>571</v>
      </c>
      <c r="L137" s="202" t="s">
        <v>571</v>
      </c>
      <c r="M137" s="201" t="s">
        <v>571</v>
      </c>
      <c r="N137" s="201" t="s">
        <v>571</v>
      </c>
      <c r="O137" s="201" t="s">
        <v>571</v>
      </c>
      <c r="P137" s="201" t="s">
        <v>571</v>
      </c>
      <c r="Q137" s="202" t="s">
        <v>571</v>
      </c>
      <c r="R137" s="201" t="s">
        <v>571</v>
      </c>
      <c r="S137" s="201" t="s">
        <v>571</v>
      </c>
      <c r="T137" s="201" t="s">
        <v>571</v>
      </c>
      <c r="U137" s="201" t="s">
        <v>571</v>
      </c>
      <c r="V137" s="202" t="s">
        <v>571</v>
      </c>
      <c r="Z137" s="173"/>
      <c r="AA137" s="226" t="s">
        <v>336</v>
      </c>
      <c r="AB137" s="226" t="s">
        <v>573</v>
      </c>
      <c r="AC137" s="201" t="s">
        <v>571</v>
      </c>
      <c r="AD137" s="201" t="s">
        <v>571</v>
      </c>
      <c r="AE137" s="201" t="s">
        <v>571</v>
      </c>
      <c r="AF137" s="201" t="s">
        <v>571</v>
      </c>
      <c r="AG137" s="201" t="s">
        <v>571</v>
      </c>
      <c r="AH137" s="201" t="s">
        <v>571</v>
      </c>
      <c r="AI137" s="201" t="s">
        <v>571</v>
      </c>
      <c r="AJ137" s="202" t="s">
        <v>571</v>
      </c>
      <c r="AK137" s="201" t="s">
        <v>571</v>
      </c>
      <c r="AL137" s="201" t="s">
        <v>571</v>
      </c>
      <c r="AM137" s="201" t="s">
        <v>571</v>
      </c>
      <c r="AN137" s="201" t="s">
        <v>571</v>
      </c>
      <c r="AO137" s="202" t="s">
        <v>571</v>
      </c>
      <c r="AP137" s="201" t="s">
        <v>571</v>
      </c>
      <c r="AQ137" s="201" t="s">
        <v>571</v>
      </c>
      <c r="AR137" s="201" t="s">
        <v>571</v>
      </c>
      <c r="AS137" s="201" t="s">
        <v>571</v>
      </c>
      <c r="AT137" s="202" t="s">
        <v>571</v>
      </c>
      <c r="AX137" s="173"/>
      <c r="AY137" s="226" t="s">
        <v>336</v>
      </c>
      <c r="AZ137" s="226" t="s">
        <v>573</v>
      </c>
      <c r="BA137" s="201" t="s">
        <v>571</v>
      </c>
      <c r="BB137" s="201" t="s">
        <v>571</v>
      </c>
      <c r="BC137" s="201" t="s">
        <v>571</v>
      </c>
      <c r="BD137" s="201" t="s">
        <v>571</v>
      </c>
      <c r="BE137" s="201" t="s">
        <v>571</v>
      </c>
      <c r="BF137" s="201" t="s">
        <v>571</v>
      </c>
      <c r="BG137" s="201" t="s">
        <v>571</v>
      </c>
      <c r="BH137" s="202" t="s">
        <v>571</v>
      </c>
      <c r="BI137" s="201" t="s">
        <v>571</v>
      </c>
      <c r="BJ137" s="201" t="s">
        <v>571</v>
      </c>
      <c r="BK137" s="201" t="s">
        <v>571</v>
      </c>
      <c r="BL137" s="201" t="s">
        <v>571</v>
      </c>
      <c r="BM137" s="202" t="s">
        <v>571</v>
      </c>
      <c r="BN137" s="201" t="s">
        <v>571</v>
      </c>
      <c r="BO137" s="201" t="s">
        <v>571</v>
      </c>
      <c r="BP137" s="201" t="s">
        <v>571</v>
      </c>
      <c r="BQ137" s="201" t="s">
        <v>571</v>
      </c>
      <c r="BR137" s="202" t="s">
        <v>571</v>
      </c>
      <c r="BV137" s="173"/>
      <c r="BW137" s="226" t="s">
        <v>336</v>
      </c>
      <c r="BX137" s="226" t="s">
        <v>573</v>
      </c>
      <c r="BY137" s="201" t="s">
        <v>571</v>
      </c>
      <c r="BZ137" s="201" t="s">
        <v>571</v>
      </c>
      <c r="CA137" s="201" t="s">
        <v>571</v>
      </c>
      <c r="CB137" s="201" t="s">
        <v>571</v>
      </c>
      <c r="CC137" s="201" t="s">
        <v>571</v>
      </c>
      <c r="CD137" s="201" t="s">
        <v>571</v>
      </c>
      <c r="CE137" s="201" t="s">
        <v>571</v>
      </c>
      <c r="CF137" s="202" t="s">
        <v>571</v>
      </c>
      <c r="CG137" s="201" t="s">
        <v>571</v>
      </c>
      <c r="CH137" s="201" t="s">
        <v>571</v>
      </c>
      <c r="CI137" s="201" t="s">
        <v>571</v>
      </c>
      <c r="CJ137" s="201" t="s">
        <v>571</v>
      </c>
      <c r="CK137" s="202" t="s">
        <v>571</v>
      </c>
      <c r="CL137" s="201" t="s">
        <v>571</v>
      </c>
      <c r="CM137" s="201" t="s">
        <v>571</v>
      </c>
      <c r="CN137" s="201" t="s">
        <v>571</v>
      </c>
      <c r="CO137" s="201" t="s">
        <v>571</v>
      </c>
      <c r="CP137" s="202" t="s">
        <v>571</v>
      </c>
      <c r="CT137" s="173"/>
      <c r="CU137" s="226" t="s">
        <v>336</v>
      </c>
      <c r="CV137" s="226" t="s">
        <v>573</v>
      </c>
      <c r="CW137" s="201" t="s">
        <v>571</v>
      </c>
      <c r="CX137" s="201" t="s">
        <v>571</v>
      </c>
      <c r="CY137" s="201" t="s">
        <v>571</v>
      </c>
      <c r="CZ137" s="201" t="s">
        <v>571</v>
      </c>
      <c r="DA137" s="201" t="s">
        <v>571</v>
      </c>
      <c r="DB137" s="201" t="s">
        <v>571</v>
      </c>
      <c r="DC137" s="201" t="s">
        <v>571</v>
      </c>
      <c r="DD137" s="202" t="s">
        <v>571</v>
      </c>
      <c r="DE137" s="201" t="s">
        <v>571</v>
      </c>
      <c r="DF137" s="201" t="s">
        <v>571</v>
      </c>
      <c r="DG137" s="201" t="s">
        <v>571</v>
      </c>
      <c r="DH137" s="201" t="s">
        <v>571</v>
      </c>
      <c r="DI137" s="202" t="s">
        <v>571</v>
      </c>
      <c r="DJ137" s="201" t="s">
        <v>571</v>
      </c>
      <c r="DK137" s="201" t="s">
        <v>571</v>
      </c>
      <c r="DL137" s="201" t="s">
        <v>571</v>
      </c>
      <c r="DM137" s="201" t="s">
        <v>571</v>
      </c>
      <c r="DN137" s="202" t="s">
        <v>571</v>
      </c>
    </row>
    <row r="138" spans="2:118" x14ac:dyDescent="0.3">
      <c r="B138" s="894">
        <v>1</v>
      </c>
      <c r="C138" s="906">
        <f>'Arable Inputs'!$H$18</f>
        <v>12</v>
      </c>
      <c r="D138" s="757">
        <f>'Arable Inputs'!$H$25*$E$134</f>
        <v>724</v>
      </c>
      <c r="E138" s="759">
        <f>C138*D138</f>
        <v>8688</v>
      </c>
      <c r="F138" s="197">
        <f>'Arable NPV'!$D117</f>
        <v>471.64</v>
      </c>
      <c r="G138" s="197">
        <f>E138+F138</f>
        <v>9159.64</v>
      </c>
      <c r="H138" s="197">
        <f>'Arable NPV'!$F117</f>
        <v>2474.37212</v>
      </c>
      <c r="I138" s="197">
        <f>'Arable NPV'!$G117</f>
        <v>3226.3624</v>
      </c>
      <c r="J138" s="197">
        <f>H138+I138</f>
        <v>5700.73452</v>
      </c>
      <c r="K138" s="197">
        <f>E138-J138</f>
        <v>2987.26548</v>
      </c>
      <c r="L138" s="197">
        <f>G138-J138</f>
        <v>3458.9054799999994</v>
      </c>
      <c r="M138" s="196">
        <f>E138/(1+$B$4)^(B138-1)</f>
        <v>8688</v>
      </c>
      <c r="N138" s="197">
        <f>F138/(1+$B$4)^(B138-1)</f>
        <v>471.64</v>
      </c>
      <c r="O138" s="197">
        <f>J138/(1+$B$4)^(B138-1)</f>
        <v>5700.73452</v>
      </c>
      <c r="P138" s="197">
        <f>K138/(1+$B$4)^(B138-1)</f>
        <v>2987.26548</v>
      </c>
      <c r="Q138" s="197">
        <f>L138/(1+$B$4)^(B138-1)</f>
        <v>3458.9054799999994</v>
      </c>
      <c r="R138" s="196">
        <f>M138</f>
        <v>8688</v>
      </c>
      <c r="S138" s="197">
        <f>N138</f>
        <v>471.64</v>
      </c>
      <c r="T138" s="197">
        <f>O138</f>
        <v>5700.73452</v>
      </c>
      <c r="U138" s="197">
        <f>P138</f>
        <v>2987.26548</v>
      </c>
      <c r="V138" s="199">
        <f>Q138</f>
        <v>3458.9054799999994</v>
      </c>
      <c r="Z138" s="894">
        <v>1</v>
      </c>
      <c r="AA138" s="906">
        <f>'Arable Inputs'!$H$18</f>
        <v>12</v>
      </c>
      <c r="AB138" s="757">
        <f>'Arable Inputs'!$H$25*$AC$134</f>
        <v>1086</v>
      </c>
      <c r="AC138" s="759">
        <f>AA138*AB138</f>
        <v>13032</v>
      </c>
      <c r="AD138" s="197">
        <f>'Arable NPV'!$D117</f>
        <v>471.64</v>
      </c>
      <c r="AE138" s="197">
        <f>AC138+AD138</f>
        <v>13503.64</v>
      </c>
      <c r="AF138" s="197">
        <f>'Arable NPV'!$F117</f>
        <v>2474.37212</v>
      </c>
      <c r="AG138" s="197">
        <f>'Arable NPV'!$G117</f>
        <v>3226.3624</v>
      </c>
      <c r="AH138" s="197">
        <f>AF138+AG138</f>
        <v>5700.73452</v>
      </c>
      <c r="AI138" s="197">
        <f>AC138-AH138</f>
        <v>7331.26548</v>
      </c>
      <c r="AJ138" s="197">
        <f>AE138-AH138</f>
        <v>7802.9054799999994</v>
      </c>
      <c r="AK138" s="196">
        <f>AC138/(1+$B$4)^(Z138-1)</f>
        <v>13032</v>
      </c>
      <c r="AL138" s="197">
        <f>AD138/(1+$B$4)^(Z138-1)</f>
        <v>471.64</v>
      </c>
      <c r="AM138" s="197">
        <f>AH138/(1+$B$4)^(Z138-1)</f>
        <v>5700.73452</v>
      </c>
      <c r="AN138" s="197">
        <f>AI138/(1+$B$4)^(Z138-1)</f>
        <v>7331.26548</v>
      </c>
      <c r="AO138" s="197">
        <f>AJ138/(1+$B$4)^(Z138-1)</f>
        <v>7802.9054799999994</v>
      </c>
      <c r="AP138" s="196">
        <f>AK138</f>
        <v>13032</v>
      </c>
      <c r="AQ138" s="197">
        <f>AL138</f>
        <v>471.64</v>
      </c>
      <c r="AR138" s="197">
        <f>AM138</f>
        <v>5700.73452</v>
      </c>
      <c r="AS138" s="197">
        <f>AN138</f>
        <v>7331.26548</v>
      </c>
      <c r="AT138" s="199">
        <f>AO138</f>
        <v>7802.9054799999994</v>
      </c>
      <c r="AX138" s="894">
        <v>1</v>
      </c>
      <c r="AY138" s="906">
        <f>'Arable Inputs'!$H$18</f>
        <v>12</v>
      </c>
      <c r="AZ138" s="757">
        <f>'Arable Inputs'!$H$25*$BA$134</f>
        <v>362</v>
      </c>
      <c r="BA138" s="759">
        <f>AY138*AZ138</f>
        <v>4344</v>
      </c>
      <c r="BB138" s="197">
        <f>'Arable NPV'!$D117</f>
        <v>471.64</v>
      </c>
      <c r="BC138" s="197">
        <f>BA138+BB138</f>
        <v>4815.6400000000003</v>
      </c>
      <c r="BD138" s="197">
        <f>'Arable NPV'!$F117</f>
        <v>2474.37212</v>
      </c>
      <c r="BE138" s="197">
        <f>'Arable NPV'!$G117</f>
        <v>3226.3624</v>
      </c>
      <c r="BF138" s="197">
        <f>BD138+BE138</f>
        <v>5700.73452</v>
      </c>
      <c r="BG138" s="197">
        <f>BA138-BF138</f>
        <v>-1356.73452</v>
      </c>
      <c r="BH138" s="197">
        <f>BC138-BF138</f>
        <v>-885.09451999999965</v>
      </c>
      <c r="BI138" s="196">
        <f>BA138/(1+$B$4)^(AX138-1)</f>
        <v>4344</v>
      </c>
      <c r="BJ138" s="197">
        <f>BB138/(1+$B$4)^(AX138-1)</f>
        <v>471.64</v>
      </c>
      <c r="BK138" s="197">
        <f>BF138/(1+$B$4)^(AX138-1)</f>
        <v>5700.73452</v>
      </c>
      <c r="BL138" s="197">
        <f>BG138/(1+$B$4)^(AX138-1)</f>
        <v>-1356.73452</v>
      </c>
      <c r="BM138" s="197">
        <f>BH138/(1+$B$4)^(AX138-1)</f>
        <v>-885.09451999999965</v>
      </c>
      <c r="BN138" s="196">
        <f>BI138</f>
        <v>4344</v>
      </c>
      <c r="BO138" s="197">
        <f>BJ138</f>
        <v>471.64</v>
      </c>
      <c r="BP138" s="197">
        <f>BK138</f>
        <v>5700.73452</v>
      </c>
      <c r="BQ138" s="197">
        <f>BL138</f>
        <v>-1356.73452</v>
      </c>
      <c r="BR138" s="199">
        <f>BM138</f>
        <v>-885.09451999999965</v>
      </c>
      <c r="BV138" s="894">
        <v>1</v>
      </c>
      <c r="BW138" s="906">
        <f>'Arable Inputs'!$H$18</f>
        <v>12</v>
      </c>
      <c r="BX138" s="757">
        <f>'Arable Inputs'!$H$25*$BY$134</f>
        <v>1448</v>
      </c>
      <c r="BY138" s="759">
        <f>BW138*BX138</f>
        <v>17376</v>
      </c>
      <c r="BZ138" s="197">
        <f>'Arable NPV'!$D117</f>
        <v>471.64</v>
      </c>
      <c r="CA138" s="197">
        <f>BY138+BZ138</f>
        <v>17847.64</v>
      </c>
      <c r="CB138" s="197">
        <f>'Arable NPV'!$F117</f>
        <v>2474.37212</v>
      </c>
      <c r="CC138" s="197">
        <f>'Arable NPV'!$G117</f>
        <v>3226.3624</v>
      </c>
      <c r="CD138" s="197">
        <f>CB138+CC138</f>
        <v>5700.73452</v>
      </c>
      <c r="CE138" s="197">
        <f>BY138-CD138</f>
        <v>11675.26548</v>
      </c>
      <c r="CF138" s="197">
        <f>CA138-CD138</f>
        <v>12146.905479999999</v>
      </c>
      <c r="CG138" s="196">
        <f>BY138/(1+$B$4)^(BV138-1)</f>
        <v>17376</v>
      </c>
      <c r="CH138" s="197">
        <f>BZ138/(1+$B$4)^(BV138-1)</f>
        <v>471.64</v>
      </c>
      <c r="CI138" s="197">
        <f>CD138/(1+$B$4)^(BV138-1)</f>
        <v>5700.73452</v>
      </c>
      <c r="CJ138" s="197">
        <f>CE138/(1+$B$4)^(BV138-1)</f>
        <v>11675.26548</v>
      </c>
      <c r="CK138" s="197">
        <f>CF138/(1+$B$4)^(BV138-1)</f>
        <v>12146.905479999999</v>
      </c>
      <c r="CL138" s="196">
        <f>CG138</f>
        <v>17376</v>
      </c>
      <c r="CM138" s="197">
        <f>CH138</f>
        <v>471.64</v>
      </c>
      <c r="CN138" s="197">
        <f>CI138</f>
        <v>5700.73452</v>
      </c>
      <c r="CO138" s="197">
        <f>CJ138</f>
        <v>11675.26548</v>
      </c>
      <c r="CP138" s="199">
        <f>CK138</f>
        <v>12146.905479999999</v>
      </c>
      <c r="CT138" s="894">
        <v>1</v>
      </c>
      <c r="CU138" s="906">
        <f>'Arable Inputs'!$H$18</f>
        <v>12</v>
      </c>
      <c r="CV138" s="757">
        <f>'Arable Inputs'!$H$25*$CW$134</f>
        <v>0</v>
      </c>
      <c r="CW138" s="759">
        <f>CU138*CV138</f>
        <v>0</v>
      </c>
      <c r="CX138" s="197">
        <f>'Arable NPV'!$D117</f>
        <v>471.64</v>
      </c>
      <c r="CY138" s="197">
        <f>CW138+CX138</f>
        <v>471.64</v>
      </c>
      <c r="CZ138" s="197">
        <f>'Arable NPV'!$F117</f>
        <v>2474.37212</v>
      </c>
      <c r="DA138" s="197">
        <f>'Arable NPV'!$G117</f>
        <v>3226.3624</v>
      </c>
      <c r="DB138" s="197">
        <f>CZ138+DA138</f>
        <v>5700.73452</v>
      </c>
      <c r="DC138" s="197">
        <f>CW138-DB138</f>
        <v>-5700.73452</v>
      </c>
      <c r="DD138" s="197">
        <f>CY138-DB138</f>
        <v>-5229.0945199999996</v>
      </c>
      <c r="DE138" s="196">
        <f>CW138/(1+$B$4)^(CT138-1)</f>
        <v>0</v>
      </c>
      <c r="DF138" s="197">
        <f>CX138/(1+$B$4)^(CT138-1)</f>
        <v>471.64</v>
      </c>
      <c r="DG138" s="197">
        <f>DB138/(1+$B$4)^(CT138-1)</f>
        <v>5700.73452</v>
      </c>
      <c r="DH138" s="197">
        <f>DC138/(1+$B$4)^(CT138-1)</f>
        <v>-5700.73452</v>
      </c>
      <c r="DI138" s="197">
        <f>DD138/(1+$B$4)^(CT138-1)</f>
        <v>-5229.0945199999996</v>
      </c>
      <c r="DJ138" s="196">
        <f>DE138</f>
        <v>0</v>
      </c>
      <c r="DK138" s="197">
        <f>DF138</f>
        <v>471.64</v>
      </c>
      <c r="DL138" s="197">
        <f>DG138</f>
        <v>5700.73452</v>
      </c>
      <c r="DM138" s="197">
        <f>DH138</f>
        <v>-5700.73452</v>
      </c>
      <c r="DN138" s="199">
        <f>DI138</f>
        <v>-5229.0945199999996</v>
      </c>
    </row>
    <row r="139" spans="2:118" x14ac:dyDescent="0.3">
      <c r="B139" s="895">
        <v>2</v>
      </c>
      <c r="C139" s="906">
        <f>'Arable Inputs'!$H$18</f>
        <v>12</v>
      </c>
      <c r="D139" s="757">
        <f>'Arable Inputs'!$H$25*$E$134</f>
        <v>724</v>
      </c>
      <c r="E139" s="759">
        <f t="shared" ref="E139:E153" si="368">C139*D139</f>
        <v>8688</v>
      </c>
      <c r="F139" s="197">
        <f>'Arable NPV'!$D118</f>
        <v>471.64</v>
      </c>
      <c r="G139" s="197">
        <f>E139+F139</f>
        <v>9159.64</v>
      </c>
      <c r="H139" s="197">
        <f>'Arable NPV'!$F118</f>
        <v>2474.37212</v>
      </c>
      <c r="I139" s="197">
        <f>'Arable NPV'!$G118</f>
        <v>3226.3624</v>
      </c>
      <c r="J139" s="197">
        <f>H139+I139</f>
        <v>5700.73452</v>
      </c>
      <c r="K139" s="197">
        <f t="shared" ref="K139:K153" si="369">E139-J139</f>
        <v>2987.26548</v>
      </c>
      <c r="L139" s="197">
        <f t="shared" ref="L139:L153" si="370">G139-J139</f>
        <v>3458.9054799999994</v>
      </c>
      <c r="M139" s="196">
        <f t="shared" ref="M139:M153" si="371">E139/(1+$B$4)^(B139-1)</f>
        <v>8353.8461538461543</v>
      </c>
      <c r="N139" s="197">
        <f t="shared" ref="N139:N153" si="372">F139/(1+$B$4)^(B139-1)</f>
        <v>453.49999999999994</v>
      </c>
      <c r="O139" s="197">
        <f t="shared" ref="O139:O153" si="373">J139/(1+$B$4)^(B139-1)</f>
        <v>5481.4754999999996</v>
      </c>
      <c r="P139" s="197">
        <f t="shared" ref="P139:P153" si="374">K139/(1+$B$4)^(B139-1)</f>
        <v>2872.3706538461538</v>
      </c>
      <c r="Q139" s="197">
        <f t="shared" ref="Q139:Q152" si="375">L139/(1+$B$4)^(B139-1)</f>
        <v>3325.8706538461533</v>
      </c>
      <c r="R139" s="196">
        <f t="shared" ref="R139:R153" si="376">R138+M139</f>
        <v>17041.846153846156</v>
      </c>
      <c r="S139" s="197">
        <f t="shared" ref="S139:S153" si="377">S138+N139</f>
        <v>925.13999999999987</v>
      </c>
      <c r="T139" s="197">
        <f t="shared" ref="T139:T153" si="378">T138+O139</f>
        <v>11182.210019999999</v>
      </c>
      <c r="U139" s="197">
        <f t="shared" ref="U139:U153" si="379">U138+P139</f>
        <v>5859.6361338461538</v>
      </c>
      <c r="V139" s="199">
        <f t="shared" ref="V139:V153" si="380">V138+Q139</f>
        <v>6784.7761338461532</v>
      </c>
      <c r="Z139" s="895">
        <v>2</v>
      </c>
      <c r="AA139" s="906">
        <f>'Arable Inputs'!$H$18</f>
        <v>12</v>
      </c>
      <c r="AB139" s="757">
        <f>'Arable Inputs'!$H$25*$AC$134</f>
        <v>1086</v>
      </c>
      <c r="AC139" s="759">
        <f t="shared" ref="AC139:AC153" si="381">AA139*AB139</f>
        <v>13032</v>
      </c>
      <c r="AD139" s="197">
        <f>'Arable NPV'!$D118</f>
        <v>471.64</v>
      </c>
      <c r="AE139" s="197">
        <f>AC139+AD139</f>
        <v>13503.64</v>
      </c>
      <c r="AF139" s="197">
        <f>'Arable NPV'!$F118</f>
        <v>2474.37212</v>
      </c>
      <c r="AG139" s="197">
        <f>'Arable NPV'!$G118</f>
        <v>3226.3624</v>
      </c>
      <c r="AH139" s="197">
        <f>AF139+AG139</f>
        <v>5700.73452</v>
      </c>
      <c r="AI139" s="197">
        <f t="shared" ref="AI139:AI153" si="382">AC139-AH139</f>
        <v>7331.26548</v>
      </c>
      <c r="AJ139" s="197">
        <f t="shared" ref="AJ139:AJ153" si="383">AE139-AH139</f>
        <v>7802.9054799999994</v>
      </c>
      <c r="AK139" s="196">
        <f t="shared" ref="AK139:AK153" si="384">AC139/(1+$B$4)^(Z139-1)</f>
        <v>12530.76923076923</v>
      </c>
      <c r="AL139" s="197">
        <f t="shared" ref="AL139:AL153" si="385">AD139/(1+$B$4)^(Z139-1)</f>
        <v>453.49999999999994</v>
      </c>
      <c r="AM139" s="197">
        <f t="shared" ref="AM139:AM153" si="386">AH139/(1+$B$4)^(Z139-1)</f>
        <v>5481.4754999999996</v>
      </c>
      <c r="AN139" s="197">
        <f t="shared" ref="AN139:AN153" si="387">AI139/(1+$B$4)^(Z139-1)</f>
        <v>7049.2937307692309</v>
      </c>
      <c r="AO139" s="197">
        <f t="shared" ref="AO139:AO152" si="388">AJ139/(1+$B$4)^(Z139-1)</f>
        <v>7502.79373076923</v>
      </c>
      <c r="AP139" s="196">
        <f t="shared" ref="AP139:AP153" si="389">AP138+AK139</f>
        <v>25562.76923076923</v>
      </c>
      <c r="AQ139" s="197">
        <f t="shared" ref="AQ139:AQ153" si="390">AQ138+AL139</f>
        <v>925.13999999999987</v>
      </c>
      <c r="AR139" s="197">
        <f t="shared" ref="AR139:AR153" si="391">AR138+AM139</f>
        <v>11182.210019999999</v>
      </c>
      <c r="AS139" s="197">
        <f t="shared" ref="AS139:AS153" si="392">AS138+AN139</f>
        <v>14380.559210769232</v>
      </c>
      <c r="AT139" s="199">
        <f t="shared" ref="AT139:AT153" si="393">AT138+AO139</f>
        <v>15305.699210769229</v>
      </c>
      <c r="AX139" s="895">
        <v>2</v>
      </c>
      <c r="AY139" s="906">
        <f>'Arable Inputs'!$H$18</f>
        <v>12</v>
      </c>
      <c r="AZ139" s="757">
        <f>'Arable Inputs'!$H$25*$BA$134</f>
        <v>362</v>
      </c>
      <c r="BA139" s="759">
        <f t="shared" ref="BA139:BA153" si="394">AY139*AZ139</f>
        <v>4344</v>
      </c>
      <c r="BB139" s="197">
        <f>'Arable NPV'!$D118</f>
        <v>471.64</v>
      </c>
      <c r="BC139" s="197">
        <f>BA139+BB139</f>
        <v>4815.6400000000003</v>
      </c>
      <c r="BD139" s="197">
        <f>'Arable NPV'!$F118</f>
        <v>2474.37212</v>
      </c>
      <c r="BE139" s="197">
        <f>'Arable NPV'!$G118</f>
        <v>3226.3624</v>
      </c>
      <c r="BF139" s="197">
        <f>BD139+BE139</f>
        <v>5700.73452</v>
      </c>
      <c r="BG139" s="197">
        <f t="shared" ref="BG139:BG153" si="395">BA139-BF139</f>
        <v>-1356.73452</v>
      </c>
      <c r="BH139" s="197">
        <f t="shared" ref="BH139:BH153" si="396">BC139-BF139</f>
        <v>-885.09451999999965</v>
      </c>
      <c r="BI139" s="196">
        <f t="shared" ref="BI139:BI153" si="397">BA139/(1+$B$4)^(AX139-1)</f>
        <v>4176.9230769230771</v>
      </c>
      <c r="BJ139" s="197">
        <f t="shared" ref="BJ139:BJ153" si="398">BB139/(1+$B$4)^(AX139-1)</f>
        <v>453.49999999999994</v>
      </c>
      <c r="BK139" s="197">
        <f t="shared" ref="BK139:BK153" si="399">BF139/(1+$B$4)^(AX139-1)</f>
        <v>5481.4754999999996</v>
      </c>
      <c r="BL139" s="197">
        <f t="shared" ref="BL139:BL153" si="400">BG139/(1+$B$4)^(AX139-1)</f>
        <v>-1304.5524230769231</v>
      </c>
      <c r="BM139" s="197">
        <f t="shared" ref="BM139:BM152" si="401">BH139/(1+$B$4)^(AX139-1)</f>
        <v>-851.05242307692276</v>
      </c>
      <c r="BN139" s="196">
        <f t="shared" ref="BN139:BN153" si="402">BN138+BI139</f>
        <v>8520.923076923078</v>
      </c>
      <c r="BO139" s="197">
        <f t="shared" ref="BO139:BO153" si="403">BO138+BJ139</f>
        <v>925.13999999999987</v>
      </c>
      <c r="BP139" s="197">
        <f t="shared" ref="BP139:BP153" si="404">BP138+BK139</f>
        <v>11182.210019999999</v>
      </c>
      <c r="BQ139" s="197">
        <f t="shared" ref="BQ139:BQ153" si="405">BQ138+BL139</f>
        <v>-2661.2869430769233</v>
      </c>
      <c r="BR139" s="199">
        <f t="shared" ref="BR139:BR153" si="406">BR138+BM139</f>
        <v>-1736.1469430769225</v>
      </c>
      <c r="BV139" s="895">
        <v>2</v>
      </c>
      <c r="BW139" s="906">
        <f>'Arable Inputs'!$H$18</f>
        <v>12</v>
      </c>
      <c r="BX139" s="757">
        <f>'Arable Inputs'!$H$25*$BY$134</f>
        <v>1448</v>
      </c>
      <c r="BY139" s="759">
        <f t="shared" ref="BY139:BY153" si="407">BW139*BX139</f>
        <v>17376</v>
      </c>
      <c r="BZ139" s="197">
        <f>'Arable NPV'!$D118</f>
        <v>471.64</v>
      </c>
      <c r="CA139" s="197">
        <f>BY139+BZ139</f>
        <v>17847.64</v>
      </c>
      <c r="CB139" s="197">
        <f>'Arable NPV'!$F118</f>
        <v>2474.37212</v>
      </c>
      <c r="CC139" s="197">
        <f>'Arable NPV'!$G118</f>
        <v>3226.3624</v>
      </c>
      <c r="CD139" s="197">
        <f>CB139+CC139</f>
        <v>5700.73452</v>
      </c>
      <c r="CE139" s="197">
        <f t="shared" ref="CE139:CE153" si="408">BY139-CD139</f>
        <v>11675.26548</v>
      </c>
      <c r="CF139" s="197">
        <f t="shared" ref="CF139:CF153" si="409">CA139-CD139</f>
        <v>12146.905479999999</v>
      </c>
      <c r="CG139" s="196">
        <f t="shared" ref="CG139:CG153" si="410">BY139/(1+$B$4)^(BV139-1)</f>
        <v>16707.692307692309</v>
      </c>
      <c r="CH139" s="197">
        <f t="shared" ref="CH139:CH153" si="411">BZ139/(1+$B$4)^(BV139-1)</f>
        <v>453.49999999999994</v>
      </c>
      <c r="CI139" s="197">
        <f t="shared" ref="CI139:CI153" si="412">CD139/(1+$B$4)^(BV139-1)</f>
        <v>5481.4754999999996</v>
      </c>
      <c r="CJ139" s="197">
        <f t="shared" ref="CJ139:CJ153" si="413">CE139/(1+$B$4)^(BV139-1)</f>
        <v>11226.216807692308</v>
      </c>
      <c r="CK139" s="197">
        <f t="shared" ref="CK139:CK152" si="414">CF139/(1+$B$4)^(BV139-1)</f>
        <v>11679.716807692306</v>
      </c>
      <c r="CL139" s="196">
        <f t="shared" ref="CL139:CL153" si="415">CL138+CG139</f>
        <v>34083.692307692312</v>
      </c>
      <c r="CM139" s="197">
        <f t="shared" ref="CM139:CM153" si="416">CM138+CH139</f>
        <v>925.13999999999987</v>
      </c>
      <c r="CN139" s="197">
        <f t="shared" ref="CN139:CN153" si="417">CN138+CI139</f>
        <v>11182.210019999999</v>
      </c>
      <c r="CO139" s="197">
        <f t="shared" ref="CO139:CO153" si="418">CO138+CJ139</f>
        <v>22901.482287692306</v>
      </c>
      <c r="CP139" s="199">
        <f t="shared" ref="CP139:CP153" si="419">CP138+CK139</f>
        <v>23826.622287692306</v>
      </c>
      <c r="CT139" s="895">
        <v>2</v>
      </c>
      <c r="CU139" s="906">
        <f>'Arable Inputs'!$H$18</f>
        <v>12</v>
      </c>
      <c r="CV139" s="757">
        <f>'Arable Inputs'!$H$25*$CW$134</f>
        <v>0</v>
      </c>
      <c r="CW139" s="759">
        <f t="shared" ref="CW139:CW153" si="420">CU139*CV139</f>
        <v>0</v>
      </c>
      <c r="CX139" s="197">
        <f>'Arable NPV'!$D118</f>
        <v>471.64</v>
      </c>
      <c r="CY139" s="197">
        <f>CW139+CX139</f>
        <v>471.64</v>
      </c>
      <c r="CZ139" s="197">
        <f>'Arable NPV'!$F118</f>
        <v>2474.37212</v>
      </c>
      <c r="DA139" s="197">
        <f>'Arable NPV'!$G118</f>
        <v>3226.3624</v>
      </c>
      <c r="DB139" s="197">
        <f>CZ139+DA139</f>
        <v>5700.73452</v>
      </c>
      <c r="DC139" s="197">
        <f t="shared" ref="DC139:DC153" si="421">CW139-DB139</f>
        <v>-5700.73452</v>
      </c>
      <c r="DD139" s="197">
        <f t="shared" ref="DD139:DD153" si="422">CY139-DB139</f>
        <v>-5229.0945199999996</v>
      </c>
      <c r="DE139" s="196">
        <f t="shared" ref="DE139:DE153" si="423">CW139/(1+$B$4)^(CT139-1)</f>
        <v>0</v>
      </c>
      <c r="DF139" s="197">
        <f t="shared" ref="DF139:DF153" si="424">CX139/(1+$B$4)^(CT139-1)</f>
        <v>453.49999999999994</v>
      </c>
      <c r="DG139" s="197">
        <f t="shared" ref="DG139:DG153" si="425">DB139/(1+$B$4)^(CT139-1)</f>
        <v>5481.4754999999996</v>
      </c>
      <c r="DH139" s="197">
        <f t="shared" ref="DH139:DH153" si="426">DC139/(1+$B$4)^(CT139-1)</f>
        <v>-5481.4754999999996</v>
      </c>
      <c r="DI139" s="197">
        <f t="shared" ref="DI139:DI152" si="427">DD139/(1+$B$4)^(CT139-1)</f>
        <v>-5027.9754999999996</v>
      </c>
      <c r="DJ139" s="196">
        <f t="shared" ref="DJ139:DJ153" si="428">DJ138+DE139</f>
        <v>0</v>
      </c>
      <c r="DK139" s="197">
        <f t="shared" ref="DK139:DK153" si="429">DK138+DF139</f>
        <v>925.13999999999987</v>
      </c>
      <c r="DL139" s="197">
        <f t="shared" ref="DL139:DL153" si="430">DL138+DG139</f>
        <v>11182.210019999999</v>
      </c>
      <c r="DM139" s="197">
        <f t="shared" ref="DM139:DM153" si="431">DM138+DH139</f>
        <v>-11182.210019999999</v>
      </c>
      <c r="DN139" s="199">
        <f t="shared" ref="DN139:DN153" si="432">DN138+DI139</f>
        <v>-10257.070019999999</v>
      </c>
    </row>
    <row r="140" spans="2:118" x14ac:dyDescent="0.3">
      <c r="B140" s="895">
        <v>3</v>
      </c>
      <c r="C140" s="906">
        <f>'Arable Inputs'!$H$18</f>
        <v>12</v>
      </c>
      <c r="D140" s="757">
        <f>'Arable Inputs'!$H$25*$E$134</f>
        <v>724</v>
      </c>
      <c r="E140" s="759">
        <f t="shared" si="368"/>
        <v>8688</v>
      </c>
      <c r="F140" s="197">
        <f>'Arable NPV'!$D119</f>
        <v>471.64</v>
      </c>
      <c r="G140" s="197">
        <f t="shared" ref="G140:G152" si="433">E140+F140</f>
        <v>9159.64</v>
      </c>
      <c r="H140" s="197">
        <f>'Arable NPV'!$F119</f>
        <v>2474.37212</v>
      </c>
      <c r="I140" s="197">
        <f>'Arable NPV'!$G119</f>
        <v>3226.3624</v>
      </c>
      <c r="J140" s="197">
        <f t="shared" ref="J140:J153" si="434">H140+I140</f>
        <v>5700.73452</v>
      </c>
      <c r="K140" s="197">
        <f t="shared" si="369"/>
        <v>2987.26548</v>
      </c>
      <c r="L140" s="197">
        <f t="shared" si="370"/>
        <v>3458.9054799999994</v>
      </c>
      <c r="M140" s="196">
        <f t="shared" si="371"/>
        <v>8032.5443786982241</v>
      </c>
      <c r="N140" s="197">
        <f t="shared" si="372"/>
        <v>436.05769230769226</v>
      </c>
      <c r="O140" s="197">
        <f t="shared" si="373"/>
        <v>5270.6495192307684</v>
      </c>
      <c r="P140" s="197">
        <f t="shared" si="374"/>
        <v>2761.8948594674553</v>
      </c>
      <c r="Q140" s="197">
        <f t="shared" si="375"/>
        <v>3197.9525517751472</v>
      </c>
      <c r="R140" s="196">
        <f t="shared" si="376"/>
        <v>25074.390532544381</v>
      </c>
      <c r="S140" s="197">
        <f t="shared" si="377"/>
        <v>1361.1976923076923</v>
      </c>
      <c r="T140" s="197">
        <f t="shared" si="378"/>
        <v>16452.859539230769</v>
      </c>
      <c r="U140" s="197">
        <f t="shared" si="379"/>
        <v>8621.5309933136086</v>
      </c>
      <c r="V140" s="199">
        <f t="shared" si="380"/>
        <v>9982.7286856212995</v>
      </c>
      <c r="Z140" s="895">
        <v>3</v>
      </c>
      <c r="AA140" s="906">
        <f>'Arable Inputs'!$H$18</f>
        <v>12</v>
      </c>
      <c r="AB140" s="757">
        <f>'Arable Inputs'!$H$25*$AC$134</f>
        <v>1086</v>
      </c>
      <c r="AC140" s="759">
        <f t="shared" si="381"/>
        <v>13032</v>
      </c>
      <c r="AD140" s="197">
        <f>'Arable NPV'!$D119</f>
        <v>471.64</v>
      </c>
      <c r="AE140" s="197">
        <f t="shared" ref="AE140:AE152" si="435">AC140+AD140</f>
        <v>13503.64</v>
      </c>
      <c r="AF140" s="197">
        <f>'Arable NPV'!$F119</f>
        <v>2474.37212</v>
      </c>
      <c r="AG140" s="197">
        <f>'Arable NPV'!$G119</f>
        <v>3226.3624</v>
      </c>
      <c r="AH140" s="197">
        <f t="shared" ref="AH140:AH153" si="436">AF140+AG140</f>
        <v>5700.73452</v>
      </c>
      <c r="AI140" s="197">
        <f t="shared" si="382"/>
        <v>7331.26548</v>
      </c>
      <c r="AJ140" s="197">
        <f t="shared" si="383"/>
        <v>7802.9054799999994</v>
      </c>
      <c r="AK140" s="196">
        <f t="shared" si="384"/>
        <v>12048.816568047336</v>
      </c>
      <c r="AL140" s="197">
        <f t="shared" si="385"/>
        <v>436.05769230769226</v>
      </c>
      <c r="AM140" s="197">
        <f t="shared" si="386"/>
        <v>5270.6495192307684</v>
      </c>
      <c r="AN140" s="197">
        <f t="shared" si="387"/>
        <v>6778.1670488165673</v>
      </c>
      <c r="AO140" s="197">
        <f t="shared" si="388"/>
        <v>7214.2247411242588</v>
      </c>
      <c r="AP140" s="196">
        <f t="shared" si="389"/>
        <v>37611.585798816566</v>
      </c>
      <c r="AQ140" s="197">
        <f t="shared" si="390"/>
        <v>1361.1976923076923</v>
      </c>
      <c r="AR140" s="197">
        <f t="shared" si="391"/>
        <v>16452.859539230769</v>
      </c>
      <c r="AS140" s="197">
        <f t="shared" si="392"/>
        <v>21158.726259585797</v>
      </c>
      <c r="AT140" s="199">
        <f t="shared" si="393"/>
        <v>22519.923951893488</v>
      </c>
      <c r="AX140" s="895">
        <v>3</v>
      </c>
      <c r="AY140" s="906">
        <f>'Arable Inputs'!$H$18</f>
        <v>12</v>
      </c>
      <c r="AZ140" s="757">
        <f>'Arable Inputs'!$H$25*$BA$134</f>
        <v>362</v>
      </c>
      <c r="BA140" s="759">
        <f t="shared" si="394"/>
        <v>4344</v>
      </c>
      <c r="BB140" s="197">
        <f>'Arable NPV'!$D119</f>
        <v>471.64</v>
      </c>
      <c r="BC140" s="197">
        <f t="shared" ref="BC140:BC152" si="437">BA140+BB140</f>
        <v>4815.6400000000003</v>
      </c>
      <c r="BD140" s="197">
        <f>'Arable NPV'!$F119</f>
        <v>2474.37212</v>
      </c>
      <c r="BE140" s="197">
        <f>'Arable NPV'!$G119</f>
        <v>3226.3624</v>
      </c>
      <c r="BF140" s="197">
        <f t="shared" ref="BF140:BF153" si="438">BD140+BE140</f>
        <v>5700.73452</v>
      </c>
      <c r="BG140" s="197">
        <f t="shared" si="395"/>
        <v>-1356.73452</v>
      </c>
      <c r="BH140" s="197">
        <f t="shared" si="396"/>
        <v>-885.09451999999965</v>
      </c>
      <c r="BI140" s="196">
        <f t="shared" si="397"/>
        <v>4016.2721893491121</v>
      </c>
      <c r="BJ140" s="197">
        <f t="shared" si="398"/>
        <v>436.05769230769226</v>
      </c>
      <c r="BK140" s="197">
        <f t="shared" si="399"/>
        <v>5270.6495192307684</v>
      </c>
      <c r="BL140" s="197">
        <f t="shared" si="400"/>
        <v>-1254.3773298816566</v>
      </c>
      <c r="BM140" s="197">
        <f t="shared" si="401"/>
        <v>-818.31963757396409</v>
      </c>
      <c r="BN140" s="196">
        <f t="shared" si="402"/>
        <v>12537.195266272191</v>
      </c>
      <c r="BO140" s="197">
        <f t="shared" si="403"/>
        <v>1361.1976923076923</v>
      </c>
      <c r="BP140" s="197">
        <f t="shared" si="404"/>
        <v>16452.859539230769</v>
      </c>
      <c r="BQ140" s="197">
        <f t="shared" si="405"/>
        <v>-3915.6642729585801</v>
      </c>
      <c r="BR140" s="199">
        <f t="shared" si="406"/>
        <v>-2554.4665806508865</v>
      </c>
      <c r="BV140" s="895">
        <v>3</v>
      </c>
      <c r="BW140" s="906">
        <f>'Arable Inputs'!$H$18</f>
        <v>12</v>
      </c>
      <c r="BX140" s="757">
        <f>'Arable Inputs'!$H$25*$BY$134</f>
        <v>1448</v>
      </c>
      <c r="BY140" s="759">
        <f t="shared" si="407"/>
        <v>17376</v>
      </c>
      <c r="BZ140" s="197">
        <f>'Arable NPV'!$D119</f>
        <v>471.64</v>
      </c>
      <c r="CA140" s="197">
        <f t="shared" ref="CA140:CA152" si="439">BY140+BZ140</f>
        <v>17847.64</v>
      </c>
      <c r="CB140" s="197">
        <f>'Arable NPV'!$F119</f>
        <v>2474.37212</v>
      </c>
      <c r="CC140" s="197">
        <f>'Arable NPV'!$G119</f>
        <v>3226.3624</v>
      </c>
      <c r="CD140" s="197">
        <f t="shared" ref="CD140:CD153" si="440">CB140+CC140</f>
        <v>5700.73452</v>
      </c>
      <c r="CE140" s="197">
        <f t="shared" si="408"/>
        <v>11675.26548</v>
      </c>
      <c r="CF140" s="197">
        <f t="shared" si="409"/>
        <v>12146.905479999999</v>
      </c>
      <c r="CG140" s="196">
        <f t="shared" si="410"/>
        <v>16065.088757396448</v>
      </c>
      <c r="CH140" s="197">
        <f t="shared" si="411"/>
        <v>436.05769230769226</v>
      </c>
      <c r="CI140" s="197">
        <f t="shared" si="412"/>
        <v>5270.6495192307684</v>
      </c>
      <c r="CJ140" s="197">
        <f t="shared" si="413"/>
        <v>10794.43923816568</v>
      </c>
      <c r="CK140" s="197">
        <f t="shared" si="414"/>
        <v>11230.496930473371</v>
      </c>
      <c r="CL140" s="196">
        <f t="shared" si="415"/>
        <v>50148.781065088762</v>
      </c>
      <c r="CM140" s="197">
        <f t="shared" si="416"/>
        <v>1361.1976923076923</v>
      </c>
      <c r="CN140" s="197">
        <f t="shared" si="417"/>
        <v>16452.859539230769</v>
      </c>
      <c r="CO140" s="197">
        <f t="shared" si="418"/>
        <v>33695.921525857986</v>
      </c>
      <c r="CP140" s="199">
        <f t="shared" si="419"/>
        <v>35057.119218165681</v>
      </c>
      <c r="CT140" s="895">
        <v>3</v>
      </c>
      <c r="CU140" s="906">
        <f>'Arable Inputs'!$H$18</f>
        <v>12</v>
      </c>
      <c r="CV140" s="757">
        <f>'Arable Inputs'!$H$25*$CW$134</f>
        <v>0</v>
      </c>
      <c r="CW140" s="759">
        <f t="shared" si="420"/>
        <v>0</v>
      </c>
      <c r="CX140" s="197">
        <f>'Arable NPV'!$D119</f>
        <v>471.64</v>
      </c>
      <c r="CY140" s="197">
        <f t="shared" ref="CY140:CY152" si="441">CW140+CX140</f>
        <v>471.64</v>
      </c>
      <c r="CZ140" s="197">
        <f>'Arable NPV'!$F119</f>
        <v>2474.37212</v>
      </c>
      <c r="DA140" s="197">
        <f>'Arable NPV'!$G119</f>
        <v>3226.3624</v>
      </c>
      <c r="DB140" s="197">
        <f t="shared" ref="DB140:DB153" si="442">CZ140+DA140</f>
        <v>5700.73452</v>
      </c>
      <c r="DC140" s="197">
        <f t="shared" si="421"/>
        <v>-5700.73452</v>
      </c>
      <c r="DD140" s="197">
        <f t="shared" si="422"/>
        <v>-5229.0945199999996</v>
      </c>
      <c r="DE140" s="196">
        <f t="shared" si="423"/>
        <v>0</v>
      </c>
      <c r="DF140" s="197">
        <f t="shared" si="424"/>
        <v>436.05769230769226</v>
      </c>
      <c r="DG140" s="197">
        <f t="shared" si="425"/>
        <v>5270.6495192307684</v>
      </c>
      <c r="DH140" s="197">
        <f t="shared" si="426"/>
        <v>-5270.6495192307684</v>
      </c>
      <c r="DI140" s="197">
        <f t="shared" si="427"/>
        <v>-4834.591826923076</v>
      </c>
      <c r="DJ140" s="196">
        <f t="shared" si="428"/>
        <v>0</v>
      </c>
      <c r="DK140" s="197">
        <f t="shared" si="429"/>
        <v>1361.1976923076923</v>
      </c>
      <c r="DL140" s="197">
        <f t="shared" si="430"/>
        <v>16452.859539230769</v>
      </c>
      <c r="DM140" s="197">
        <f t="shared" si="431"/>
        <v>-16452.859539230769</v>
      </c>
      <c r="DN140" s="199">
        <f t="shared" si="432"/>
        <v>-15091.661846923074</v>
      </c>
    </row>
    <row r="141" spans="2:118" x14ac:dyDescent="0.3">
      <c r="B141" s="895">
        <v>4</v>
      </c>
      <c r="C141" s="906">
        <f>'Arable Inputs'!$H$18</f>
        <v>12</v>
      </c>
      <c r="D141" s="757">
        <f>'Arable Inputs'!$H$25*$E$134</f>
        <v>724</v>
      </c>
      <c r="E141" s="759">
        <f t="shared" si="368"/>
        <v>8688</v>
      </c>
      <c r="F141" s="197">
        <f>'Arable NPV'!$D120</f>
        <v>471.64</v>
      </c>
      <c r="G141" s="197">
        <f t="shared" si="433"/>
        <v>9159.64</v>
      </c>
      <c r="H141" s="197">
        <f>'Arable NPV'!$F120</f>
        <v>2474.37212</v>
      </c>
      <c r="I141" s="197">
        <f>'Arable NPV'!$G120</f>
        <v>3226.3624</v>
      </c>
      <c r="J141" s="197">
        <f t="shared" si="434"/>
        <v>5700.73452</v>
      </c>
      <c r="K141" s="197">
        <f t="shared" si="369"/>
        <v>2987.26548</v>
      </c>
      <c r="L141" s="197">
        <f t="shared" si="370"/>
        <v>3458.9054799999994</v>
      </c>
      <c r="M141" s="196">
        <f t="shared" si="371"/>
        <v>7723.600364132908</v>
      </c>
      <c r="N141" s="197">
        <f t="shared" si="372"/>
        <v>419.28624260355025</v>
      </c>
      <c r="O141" s="197">
        <f t="shared" si="373"/>
        <v>5067.9322300295853</v>
      </c>
      <c r="P141" s="197">
        <f t="shared" si="374"/>
        <v>2655.6681341033227</v>
      </c>
      <c r="Q141" s="197">
        <f t="shared" si="375"/>
        <v>3074.9543767068722</v>
      </c>
      <c r="R141" s="196">
        <f t="shared" si="376"/>
        <v>32797.990896677293</v>
      </c>
      <c r="S141" s="197">
        <f t="shared" si="377"/>
        <v>1780.4839349112426</v>
      </c>
      <c r="T141" s="197">
        <f t="shared" si="378"/>
        <v>21520.791769260355</v>
      </c>
      <c r="U141" s="197">
        <f t="shared" si="379"/>
        <v>11277.19912741693</v>
      </c>
      <c r="V141" s="199">
        <f t="shared" si="380"/>
        <v>13057.683062328171</v>
      </c>
      <c r="Z141" s="895">
        <v>4</v>
      </c>
      <c r="AA141" s="906">
        <f>'Arable Inputs'!$H$18</f>
        <v>12</v>
      </c>
      <c r="AB141" s="757">
        <f>'Arable Inputs'!$H$25*$AC$134</f>
        <v>1086</v>
      </c>
      <c r="AC141" s="759">
        <f t="shared" si="381"/>
        <v>13032</v>
      </c>
      <c r="AD141" s="197">
        <f>'Arable NPV'!$D120</f>
        <v>471.64</v>
      </c>
      <c r="AE141" s="197">
        <f t="shared" si="435"/>
        <v>13503.64</v>
      </c>
      <c r="AF141" s="197">
        <f>'Arable NPV'!$F120</f>
        <v>2474.37212</v>
      </c>
      <c r="AG141" s="197">
        <f>'Arable NPV'!$G120</f>
        <v>3226.3624</v>
      </c>
      <c r="AH141" s="197">
        <f t="shared" si="436"/>
        <v>5700.73452</v>
      </c>
      <c r="AI141" s="197">
        <f t="shared" si="382"/>
        <v>7331.26548</v>
      </c>
      <c r="AJ141" s="197">
        <f t="shared" si="383"/>
        <v>7802.9054799999994</v>
      </c>
      <c r="AK141" s="196">
        <f t="shared" si="384"/>
        <v>11585.400546199362</v>
      </c>
      <c r="AL141" s="197">
        <f t="shared" si="385"/>
        <v>419.28624260355025</v>
      </c>
      <c r="AM141" s="197">
        <f t="shared" si="386"/>
        <v>5067.9322300295853</v>
      </c>
      <c r="AN141" s="197">
        <f t="shared" si="387"/>
        <v>6517.4683161697767</v>
      </c>
      <c r="AO141" s="197">
        <f t="shared" si="388"/>
        <v>6936.7545587733266</v>
      </c>
      <c r="AP141" s="196">
        <f t="shared" si="389"/>
        <v>49196.986345015932</v>
      </c>
      <c r="AQ141" s="197">
        <f t="shared" si="390"/>
        <v>1780.4839349112426</v>
      </c>
      <c r="AR141" s="197">
        <f t="shared" si="391"/>
        <v>21520.791769260355</v>
      </c>
      <c r="AS141" s="197">
        <f t="shared" si="392"/>
        <v>27676.194575755573</v>
      </c>
      <c r="AT141" s="199">
        <f t="shared" si="393"/>
        <v>29456.678510666814</v>
      </c>
      <c r="AX141" s="895">
        <v>4</v>
      </c>
      <c r="AY141" s="906">
        <f>'Arable Inputs'!$H$18</f>
        <v>12</v>
      </c>
      <c r="AZ141" s="757">
        <f>'Arable Inputs'!$H$25*$BA$134</f>
        <v>362</v>
      </c>
      <c r="BA141" s="759">
        <f t="shared" si="394"/>
        <v>4344</v>
      </c>
      <c r="BB141" s="197">
        <f>'Arable NPV'!$D120</f>
        <v>471.64</v>
      </c>
      <c r="BC141" s="197">
        <f t="shared" si="437"/>
        <v>4815.6400000000003</v>
      </c>
      <c r="BD141" s="197">
        <f>'Arable NPV'!$F120</f>
        <v>2474.37212</v>
      </c>
      <c r="BE141" s="197">
        <f>'Arable NPV'!$G120</f>
        <v>3226.3624</v>
      </c>
      <c r="BF141" s="197">
        <f t="shared" si="438"/>
        <v>5700.73452</v>
      </c>
      <c r="BG141" s="197">
        <f t="shared" si="395"/>
        <v>-1356.73452</v>
      </c>
      <c r="BH141" s="197">
        <f t="shared" si="396"/>
        <v>-885.09451999999965</v>
      </c>
      <c r="BI141" s="196">
        <f t="shared" si="397"/>
        <v>3861.800182066454</v>
      </c>
      <c r="BJ141" s="197">
        <f t="shared" si="398"/>
        <v>419.28624260355025</v>
      </c>
      <c r="BK141" s="197">
        <f t="shared" si="399"/>
        <v>5067.9322300295853</v>
      </c>
      <c r="BL141" s="197">
        <f t="shared" si="400"/>
        <v>-1206.1320479631315</v>
      </c>
      <c r="BM141" s="197">
        <f t="shared" si="401"/>
        <v>-786.84580535958082</v>
      </c>
      <c r="BN141" s="196">
        <f t="shared" si="402"/>
        <v>16398.995448338646</v>
      </c>
      <c r="BO141" s="197">
        <f t="shared" si="403"/>
        <v>1780.4839349112426</v>
      </c>
      <c r="BP141" s="197">
        <f t="shared" si="404"/>
        <v>21520.791769260355</v>
      </c>
      <c r="BQ141" s="197">
        <f t="shared" si="405"/>
        <v>-5121.7963209217114</v>
      </c>
      <c r="BR141" s="199">
        <f t="shared" si="406"/>
        <v>-3341.3123860104674</v>
      </c>
      <c r="BV141" s="895">
        <v>4</v>
      </c>
      <c r="BW141" s="906">
        <f>'Arable Inputs'!$H$18</f>
        <v>12</v>
      </c>
      <c r="BX141" s="757">
        <f>'Arable Inputs'!$H$25*$BY$134</f>
        <v>1448</v>
      </c>
      <c r="BY141" s="759">
        <f t="shared" si="407"/>
        <v>17376</v>
      </c>
      <c r="BZ141" s="197">
        <f>'Arable NPV'!$D120</f>
        <v>471.64</v>
      </c>
      <c r="CA141" s="197">
        <f t="shared" si="439"/>
        <v>17847.64</v>
      </c>
      <c r="CB141" s="197">
        <f>'Arable NPV'!$F120</f>
        <v>2474.37212</v>
      </c>
      <c r="CC141" s="197">
        <f>'Arable NPV'!$G120</f>
        <v>3226.3624</v>
      </c>
      <c r="CD141" s="197">
        <f t="shared" si="440"/>
        <v>5700.73452</v>
      </c>
      <c r="CE141" s="197">
        <f t="shared" si="408"/>
        <v>11675.26548</v>
      </c>
      <c r="CF141" s="197">
        <f t="shared" si="409"/>
        <v>12146.905479999999</v>
      </c>
      <c r="CG141" s="196">
        <f t="shared" si="410"/>
        <v>15447.200728265816</v>
      </c>
      <c r="CH141" s="197">
        <f t="shared" si="411"/>
        <v>419.28624260355025</v>
      </c>
      <c r="CI141" s="197">
        <f t="shared" si="412"/>
        <v>5067.9322300295853</v>
      </c>
      <c r="CJ141" s="197">
        <f t="shared" si="413"/>
        <v>10379.26849823623</v>
      </c>
      <c r="CK141" s="197">
        <f t="shared" si="414"/>
        <v>10798.55474083978</v>
      </c>
      <c r="CL141" s="196">
        <f t="shared" si="415"/>
        <v>65595.981793354586</v>
      </c>
      <c r="CM141" s="197">
        <f t="shared" si="416"/>
        <v>1780.4839349112426</v>
      </c>
      <c r="CN141" s="197">
        <f t="shared" si="417"/>
        <v>21520.791769260355</v>
      </c>
      <c r="CO141" s="197">
        <f t="shared" si="418"/>
        <v>44075.19002409422</v>
      </c>
      <c r="CP141" s="199">
        <f t="shared" si="419"/>
        <v>45855.673959005464</v>
      </c>
      <c r="CT141" s="895">
        <v>4</v>
      </c>
      <c r="CU141" s="906">
        <f>'Arable Inputs'!$H$18</f>
        <v>12</v>
      </c>
      <c r="CV141" s="757">
        <f>'Arable Inputs'!$H$25*$CW$134</f>
        <v>0</v>
      </c>
      <c r="CW141" s="759">
        <f t="shared" si="420"/>
        <v>0</v>
      </c>
      <c r="CX141" s="197">
        <f>'Arable NPV'!$D120</f>
        <v>471.64</v>
      </c>
      <c r="CY141" s="197">
        <f t="shared" si="441"/>
        <v>471.64</v>
      </c>
      <c r="CZ141" s="197">
        <f>'Arable NPV'!$F120</f>
        <v>2474.37212</v>
      </c>
      <c r="DA141" s="197">
        <f>'Arable NPV'!$G120</f>
        <v>3226.3624</v>
      </c>
      <c r="DB141" s="197">
        <f t="shared" si="442"/>
        <v>5700.73452</v>
      </c>
      <c r="DC141" s="197">
        <f t="shared" si="421"/>
        <v>-5700.73452</v>
      </c>
      <c r="DD141" s="197">
        <f t="shared" si="422"/>
        <v>-5229.0945199999996</v>
      </c>
      <c r="DE141" s="196">
        <f t="shared" si="423"/>
        <v>0</v>
      </c>
      <c r="DF141" s="197">
        <f t="shared" si="424"/>
        <v>419.28624260355025</v>
      </c>
      <c r="DG141" s="197">
        <f t="shared" si="425"/>
        <v>5067.9322300295853</v>
      </c>
      <c r="DH141" s="197">
        <f t="shared" si="426"/>
        <v>-5067.9322300295853</v>
      </c>
      <c r="DI141" s="197">
        <f t="shared" si="427"/>
        <v>-4648.6459874260345</v>
      </c>
      <c r="DJ141" s="196">
        <f t="shared" si="428"/>
        <v>0</v>
      </c>
      <c r="DK141" s="197">
        <f t="shared" si="429"/>
        <v>1780.4839349112426</v>
      </c>
      <c r="DL141" s="197">
        <f t="shared" si="430"/>
        <v>21520.791769260355</v>
      </c>
      <c r="DM141" s="197">
        <f t="shared" si="431"/>
        <v>-21520.791769260355</v>
      </c>
      <c r="DN141" s="199">
        <f t="shared" si="432"/>
        <v>-19740.307834349107</v>
      </c>
    </row>
    <row r="142" spans="2:118" x14ac:dyDescent="0.3">
      <c r="B142" s="895">
        <v>5</v>
      </c>
      <c r="C142" s="906">
        <f>'Arable Inputs'!$H$18</f>
        <v>12</v>
      </c>
      <c r="D142" s="757">
        <f>'Arable Inputs'!$H$25*$E$134</f>
        <v>724</v>
      </c>
      <c r="E142" s="759">
        <f t="shared" si="368"/>
        <v>8688</v>
      </c>
      <c r="F142" s="197">
        <f>'Arable NPV'!$D121</f>
        <v>471.64</v>
      </c>
      <c r="G142" s="197">
        <f t="shared" si="433"/>
        <v>9159.64</v>
      </c>
      <c r="H142" s="197">
        <f>'Arable NPV'!$F121</f>
        <v>2474.37212</v>
      </c>
      <c r="I142" s="197">
        <f>'Arable NPV'!$G121</f>
        <v>3226.3624</v>
      </c>
      <c r="J142" s="197">
        <f t="shared" si="434"/>
        <v>5700.73452</v>
      </c>
      <c r="K142" s="197">
        <f t="shared" si="369"/>
        <v>2987.26548</v>
      </c>
      <c r="L142" s="197">
        <f t="shared" si="370"/>
        <v>3458.9054799999994</v>
      </c>
      <c r="M142" s="196">
        <f t="shared" si="371"/>
        <v>7426.5388116662571</v>
      </c>
      <c r="N142" s="197">
        <f t="shared" si="372"/>
        <v>403.15984865725983</v>
      </c>
      <c r="O142" s="197">
        <f t="shared" si="373"/>
        <v>4873.0117596438313</v>
      </c>
      <c r="P142" s="197">
        <f t="shared" si="374"/>
        <v>2553.5270520224253</v>
      </c>
      <c r="Q142" s="197">
        <f t="shared" si="375"/>
        <v>2956.6869006796846</v>
      </c>
      <c r="R142" s="196">
        <f t="shared" si="376"/>
        <v>40224.529708343551</v>
      </c>
      <c r="S142" s="197">
        <f t="shared" si="377"/>
        <v>2183.6437835685024</v>
      </c>
      <c r="T142" s="197">
        <f t="shared" si="378"/>
        <v>26393.803528904187</v>
      </c>
      <c r="U142" s="197">
        <f t="shared" si="379"/>
        <v>13830.726179439356</v>
      </c>
      <c r="V142" s="199">
        <f t="shared" si="380"/>
        <v>16014.369963007855</v>
      </c>
      <c r="Z142" s="895">
        <v>5</v>
      </c>
      <c r="AA142" s="906">
        <f>'Arable Inputs'!$H$18</f>
        <v>12</v>
      </c>
      <c r="AB142" s="757">
        <f>'Arable Inputs'!$H$25*$AC$134</f>
        <v>1086</v>
      </c>
      <c r="AC142" s="759">
        <f t="shared" si="381"/>
        <v>13032</v>
      </c>
      <c r="AD142" s="197">
        <f>'Arable NPV'!$D121</f>
        <v>471.64</v>
      </c>
      <c r="AE142" s="197">
        <f t="shared" si="435"/>
        <v>13503.64</v>
      </c>
      <c r="AF142" s="197">
        <f>'Arable NPV'!$F121</f>
        <v>2474.37212</v>
      </c>
      <c r="AG142" s="197">
        <f>'Arable NPV'!$G121</f>
        <v>3226.3624</v>
      </c>
      <c r="AH142" s="197">
        <f t="shared" si="436"/>
        <v>5700.73452</v>
      </c>
      <c r="AI142" s="197">
        <f t="shared" si="382"/>
        <v>7331.26548</v>
      </c>
      <c r="AJ142" s="197">
        <f t="shared" si="383"/>
        <v>7802.9054799999994</v>
      </c>
      <c r="AK142" s="196">
        <f t="shared" si="384"/>
        <v>11139.808217499385</v>
      </c>
      <c r="AL142" s="197">
        <f t="shared" si="385"/>
        <v>403.15984865725983</v>
      </c>
      <c r="AM142" s="197">
        <f t="shared" si="386"/>
        <v>4873.0117596438313</v>
      </c>
      <c r="AN142" s="197">
        <f t="shared" si="387"/>
        <v>6266.7964578555539</v>
      </c>
      <c r="AO142" s="197">
        <f t="shared" si="388"/>
        <v>6669.9563065128132</v>
      </c>
      <c r="AP142" s="196">
        <f t="shared" si="389"/>
        <v>60336.794562515315</v>
      </c>
      <c r="AQ142" s="197">
        <f t="shared" si="390"/>
        <v>2183.6437835685024</v>
      </c>
      <c r="AR142" s="197">
        <f t="shared" si="391"/>
        <v>26393.803528904187</v>
      </c>
      <c r="AS142" s="197">
        <f t="shared" si="392"/>
        <v>33942.991033611128</v>
      </c>
      <c r="AT142" s="199">
        <f t="shared" si="393"/>
        <v>36126.634817179627</v>
      </c>
      <c r="AX142" s="895">
        <v>5</v>
      </c>
      <c r="AY142" s="906">
        <f>'Arable Inputs'!$H$18</f>
        <v>12</v>
      </c>
      <c r="AZ142" s="757">
        <f>'Arable Inputs'!$H$25*$BA$134</f>
        <v>362</v>
      </c>
      <c r="BA142" s="759">
        <f t="shared" si="394"/>
        <v>4344</v>
      </c>
      <c r="BB142" s="197">
        <f>'Arable NPV'!$D121</f>
        <v>471.64</v>
      </c>
      <c r="BC142" s="197">
        <f t="shared" si="437"/>
        <v>4815.6400000000003</v>
      </c>
      <c r="BD142" s="197">
        <f>'Arable NPV'!$F121</f>
        <v>2474.37212</v>
      </c>
      <c r="BE142" s="197">
        <f>'Arable NPV'!$G121</f>
        <v>3226.3624</v>
      </c>
      <c r="BF142" s="197">
        <f t="shared" si="438"/>
        <v>5700.73452</v>
      </c>
      <c r="BG142" s="197">
        <f t="shared" si="395"/>
        <v>-1356.73452</v>
      </c>
      <c r="BH142" s="197">
        <f t="shared" si="396"/>
        <v>-885.09451999999965</v>
      </c>
      <c r="BI142" s="196">
        <f t="shared" si="397"/>
        <v>3713.2694058331285</v>
      </c>
      <c r="BJ142" s="197">
        <f t="shared" si="398"/>
        <v>403.15984865725983</v>
      </c>
      <c r="BK142" s="197">
        <f t="shared" si="399"/>
        <v>4873.0117596438313</v>
      </c>
      <c r="BL142" s="197">
        <f t="shared" si="400"/>
        <v>-1159.7423538107032</v>
      </c>
      <c r="BM142" s="197">
        <f t="shared" si="401"/>
        <v>-756.58250515344309</v>
      </c>
      <c r="BN142" s="196">
        <f t="shared" si="402"/>
        <v>20112.264854171775</v>
      </c>
      <c r="BO142" s="197">
        <f t="shared" si="403"/>
        <v>2183.6437835685024</v>
      </c>
      <c r="BP142" s="197">
        <f t="shared" si="404"/>
        <v>26393.803528904187</v>
      </c>
      <c r="BQ142" s="197">
        <f t="shared" si="405"/>
        <v>-6281.5386747324146</v>
      </c>
      <c r="BR142" s="199">
        <f t="shared" si="406"/>
        <v>-4097.8948911639109</v>
      </c>
      <c r="BV142" s="895">
        <v>5</v>
      </c>
      <c r="BW142" s="906">
        <f>'Arable Inputs'!$H$18</f>
        <v>12</v>
      </c>
      <c r="BX142" s="757">
        <f>'Arable Inputs'!$H$25*$BY$134</f>
        <v>1448</v>
      </c>
      <c r="BY142" s="759">
        <f t="shared" si="407"/>
        <v>17376</v>
      </c>
      <c r="BZ142" s="197">
        <f>'Arable NPV'!$D121</f>
        <v>471.64</v>
      </c>
      <c r="CA142" s="197">
        <f t="shared" si="439"/>
        <v>17847.64</v>
      </c>
      <c r="CB142" s="197">
        <f>'Arable NPV'!$F121</f>
        <v>2474.37212</v>
      </c>
      <c r="CC142" s="197">
        <f>'Arable NPV'!$G121</f>
        <v>3226.3624</v>
      </c>
      <c r="CD142" s="197">
        <f t="shared" si="440"/>
        <v>5700.73452</v>
      </c>
      <c r="CE142" s="197">
        <f t="shared" si="408"/>
        <v>11675.26548</v>
      </c>
      <c r="CF142" s="197">
        <f t="shared" si="409"/>
        <v>12146.905479999999</v>
      </c>
      <c r="CG142" s="196">
        <f t="shared" si="410"/>
        <v>14853.077623332514</v>
      </c>
      <c r="CH142" s="197">
        <f t="shared" si="411"/>
        <v>403.15984865725983</v>
      </c>
      <c r="CI142" s="197">
        <f t="shared" si="412"/>
        <v>4873.0117596438313</v>
      </c>
      <c r="CJ142" s="197">
        <f t="shared" si="413"/>
        <v>9980.0658636886819</v>
      </c>
      <c r="CK142" s="197">
        <f t="shared" si="414"/>
        <v>10383.225712345942</v>
      </c>
      <c r="CL142" s="196">
        <f t="shared" si="415"/>
        <v>80449.059416687101</v>
      </c>
      <c r="CM142" s="197">
        <f t="shared" si="416"/>
        <v>2183.6437835685024</v>
      </c>
      <c r="CN142" s="197">
        <f t="shared" si="417"/>
        <v>26393.803528904187</v>
      </c>
      <c r="CO142" s="197">
        <f t="shared" si="418"/>
        <v>54055.2558877829</v>
      </c>
      <c r="CP142" s="199">
        <f t="shared" si="419"/>
        <v>56238.899671351406</v>
      </c>
      <c r="CT142" s="895">
        <v>5</v>
      </c>
      <c r="CU142" s="906">
        <f>'Arable Inputs'!$H$18</f>
        <v>12</v>
      </c>
      <c r="CV142" s="757">
        <f>'Arable Inputs'!$H$25*$CW$134</f>
        <v>0</v>
      </c>
      <c r="CW142" s="759">
        <f t="shared" si="420"/>
        <v>0</v>
      </c>
      <c r="CX142" s="197">
        <f>'Arable NPV'!$D121</f>
        <v>471.64</v>
      </c>
      <c r="CY142" s="197">
        <f t="shared" si="441"/>
        <v>471.64</v>
      </c>
      <c r="CZ142" s="197">
        <f>'Arable NPV'!$F121</f>
        <v>2474.37212</v>
      </c>
      <c r="DA142" s="197">
        <f>'Arable NPV'!$G121</f>
        <v>3226.3624</v>
      </c>
      <c r="DB142" s="197">
        <f t="shared" si="442"/>
        <v>5700.73452</v>
      </c>
      <c r="DC142" s="197">
        <f t="shared" si="421"/>
        <v>-5700.73452</v>
      </c>
      <c r="DD142" s="197">
        <f t="shared" si="422"/>
        <v>-5229.0945199999996</v>
      </c>
      <c r="DE142" s="196">
        <f t="shared" si="423"/>
        <v>0</v>
      </c>
      <c r="DF142" s="197">
        <f t="shared" si="424"/>
        <v>403.15984865725983</v>
      </c>
      <c r="DG142" s="197">
        <f t="shared" si="425"/>
        <v>4873.0117596438313</v>
      </c>
      <c r="DH142" s="197">
        <f t="shared" si="426"/>
        <v>-4873.0117596438313</v>
      </c>
      <c r="DI142" s="197">
        <f t="shared" si="427"/>
        <v>-4469.8519109865711</v>
      </c>
      <c r="DJ142" s="196">
        <f t="shared" si="428"/>
        <v>0</v>
      </c>
      <c r="DK142" s="197">
        <f t="shared" si="429"/>
        <v>2183.6437835685024</v>
      </c>
      <c r="DL142" s="197">
        <f t="shared" si="430"/>
        <v>26393.803528904187</v>
      </c>
      <c r="DM142" s="197">
        <f t="shared" si="431"/>
        <v>-26393.803528904187</v>
      </c>
      <c r="DN142" s="199">
        <f t="shared" si="432"/>
        <v>-24210.159745335677</v>
      </c>
    </row>
    <row r="143" spans="2:118" x14ac:dyDescent="0.3">
      <c r="B143" s="895">
        <v>6</v>
      </c>
      <c r="C143" s="906">
        <f>'Arable Inputs'!$H$18</f>
        <v>12</v>
      </c>
      <c r="D143" s="757">
        <f>'Arable Inputs'!$H$25*$E$134</f>
        <v>724</v>
      </c>
      <c r="E143" s="759">
        <f t="shared" si="368"/>
        <v>8688</v>
      </c>
      <c r="F143" s="197">
        <f>'Arable NPV'!$D122</f>
        <v>471.64</v>
      </c>
      <c r="G143" s="197">
        <f t="shared" si="433"/>
        <v>9159.64</v>
      </c>
      <c r="H143" s="197">
        <f>'Arable NPV'!$F122</f>
        <v>2474.37212</v>
      </c>
      <c r="I143" s="197">
        <f>'Arable NPV'!$G122</f>
        <v>3226.3624</v>
      </c>
      <c r="J143" s="197">
        <f t="shared" si="434"/>
        <v>5700.73452</v>
      </c>
      <c r="K143" s="197">
        <f t="shared" si="369"/>
        <v>2987.26548</v>
      </c>
      <c r="L143" s="197">
        <f t="shared" si="370"/>
        <v>3458.9054799999994</v>
      </c>
      <c r="M143" s="196">
        <f t="shared" si="371"/>
        <v>7140.9027035252466</v>
      </c>
      <c r="N143" s="197">
        <f t="shared" si="372"/>
        <v>387.65370063198054</v>
      </c>
      <c r="O143" s="197">
        <f t="shared" si="373"/>
        <v>4685.5882304267607</v>
      </c>
      <c r="P143" s="197">
        <f t="shared" si="374"/>
        <v>2455.3144730984855</v>
      </c>
      <c r="Q143" s="197">
        <f t="shared" si="375"/>
        <v>2842.9681737304654</v>
      </c>
      <c r="R143" s="196">
        <f t="shared" si="376"/>
        <v>47365.432411868795</v>
      </c>
      <c r="S143" s="197">
        <f t="shared" si="377"/>
        <v>2571.2974842004828</v>
      </c>
      <c r="T143" s="197">
        <f t="shared" si="378"/>
        <v>31079.391759330949</v>
      </c>
      <c r="U143" s="197">
        <f t="shared" si="379"/>
        <v>16286.040652537842</v>
      </c>
      <c r="V143" s="199">
        <f t="shared" si="380"/>
        <v>18857.338136738319</v>
      </c>
      <c r="Z143" s="895">
        <v>6</v>
      </c>
      <c r="AA143" s="906">
        <f>'Arable Inputs'!$H$18</f>
        <v>12</v>
      </c>
      <c r="AB143" s="757">
        <f>'Arable Inputs'!$H$25*$AC$134</f>
        <v>1086</v>
      </c>
      <c r="AC143" s="759">
        <f t="shared" si="381"/>
        <v>13032</v>
      </c>
      <c r="AD143" s="197">
        <f>'Arable NPV'!$D122</f>
        <v>471.64</v>
      </c>
      <c r="AE143" s="197">
        <f t="shared" si="435"/>
        <v>13503.64</v>
      </c>
      <c r="AF143" s="197">
        <f>'Arable NPV'!$F122</f>
        <v>2474.37212</v>
      </c>
      <c r="AG143" s="197">
        <f>'Arable NPV'!$G122</f>
        <v>3226.3624</v>
      </c>
      <c r="AH143" s="197">
        <f t="shared" si="436"/>
        <v>5700.73452</v>
      </c>
      <c r="AI143" s="197">
        <f t="shared" si="382"/>
        <v>7331.26548</v>
      </c>
      <c r="AJ143" s="197">
        <f t="shared" si="383"/>
        <v>7802.9054799999994</v>
      </c>
      <c r="AK143" s="196">
        <f t="shared" si="384"/>
        <v>10711.354055287869</v>
      </c>
      <c r="AL143" s="197">
        <f t="shared" si="385"/>
        <v>387.65370063198054</v>
      </c>
      <c r="AM143" s="197">
        <f t="shared" si="386"/>
        <v>4685.5882304267607</v>
      </c>
      <c r="AN143" s="197">
        <f t="shared" si="387"/>
        <v>6025.7658248611087</v>
      </c>
      <c r="AO143" s="197">
        <f t="shared" si="388"/>
        <v>6413.4195254930892</v>
      </c>
      <c r="AP143" s="196">
        <f t="shared" si="389"/>
        <v>71048.148617803177</v>
      </c>
      <c r="AQ143" s="197">
        <f t="shared" si="390"/>
        <v>2571.2974842004828</v>
      </c>
      <c r="AR143" s="197">
        <f t="shared" si="391"/>
        <v>31079.391759330949</v>
      </c>
      <c r="AS143" s="197">
        <f t="shared" si="392"/>
        <v>39968.756858472239</v>
      </c>
      <c r="AT143" s="199">
        <f t="shared" si="393"/>
        <v>42540.054342672716</v>
      </c>
      <c r="AX143" s="895">
        <v>6</v>
      </c>
      <c r="AY143" s="906">
        <f>'Arable Inputs'!$H$18</f>
        <v>12</v>
      </c>
      <c r="AZ143" s="757">
        <f>'Arable Inputs'!$H$25*$BA$134</f>
        <v>362</v>
      </c>
      <c r="BA143" s="759">
        <f t="shared" si="394"/>
        <v>4344</v>
      </c>
      <c r="BB143" s="197">
        <f>'Arable NPV'!$D122</f>
        <v>471.64</v>
      </c>
      <c r="BC143" s="197">
        <f t="shared" si="437"/>
        <v>4815.6400000000003</v>
      </c>
      <c r="BD143" s="197">
        <f>'Arable NPV'!$F122</f>
        <v>2474.37212</v>
      </c>
      <c r="BE143" s="197">
        <f>'Arable NPV'!$G122</f>
        <v>3226.3624</v>
      </c>
      <c r="BF143" s="197">
        <f t="shared" si="438"/>
        <v>5700.73452</v>
      </c>
      <c r="BG143" s="197">
        <f t="shared" si="395"/>
        <v>-1356.73452</v>
      </c>
      <c r="BH143" s="197">
        <f t="shared" si="396"/>
        <v>-885.09451999999965</v>
      </c>
      <c r="BI143" s="196">
        <f t="shared" si="397"/>
        <v>3570.4513517626233</v>
      </c>
      <c r="BJ143" s="197">
        <f t="shared" si="398"/>
        <v>387.65370063198054</v>
      </c>
      <c r="BK143" s="197">
        <f t="shared" si="399"/>
        <v>4685.5882304267607</v>
      </c>
      <c r="BL143" s="197">
        <f t="shared" si="400"/>
        <v>-1115.1368786641376</v>
      </c>
      <c r="BM143" s="197">
        <f t="shared" si="401"/>
        <v>-727.48317803215673</v>
      </c>
      <c r="BN143" s="196">
        <f t="shared" si="402"/>
        <v>23682.716205934397</v>
      </c>
      <c r="BO143" s="197">
        <f t="shared" si="403"/>
        <v>2571.2974842004828</v>
      </c>
      <c r="BP143" s="197">
        <f t="shared" si="404"/>
        <v>31079.391759330949</v>
      </c>
      <c r="BQ143" s="197">
        <f t="shared" si="405"/>
        <v>-7396.6755533965525</v>
      </c>
      <c r="BR143" s="199">
        <f t="shared" si="406"/>
        <v>-4825.3780691960674</v>
      </c>
      <c r="BV143" s="895">
        <v>6</v>
      </c>
      <c r="BW143" s="906">
        <f>'Arable Inputs'!$H$18</f>
        <v>12</v>
      </c>
      <c r="BX143" s="757">
        <f>'Arable Inputs'!$H$25*$BY$134</f>
        <v>1448</v>
      </c>
      <c r="BY143" s="759">
        <f t="shared" si="407"/>
        <v>17376</v>
      </c>
      <c r="BZ143" s="197">
        <f>'Arable NPV'!$D122</f>
        <v>471.64</v>
      </c>
      <c r="CA143" s="197">
        <f t="shared" si="439"/>
        <v>17847.64</v>
      </c>
      <c r="CB143" s="197">
        <f>'Arable NPV'!$F122</f>
        <v>2474.37212</v>
      </c>
      <c r="CC143" s="197">
        <f>'Arable NPV'!$G122</f>
        <v>3226.3624</v>
      </c>
      <c r="CD143" s="197">
        <f t="shared" si="440"/>
        <v>5700.73452</v>
      </c>
      <c r="CE143" s="197">
        <f t="shared" si="408"/>
        <v>11675.26548</v>
      </c>
      <c r="CF143" s="197">
        <f t="shared" si="409"/>
        <v>12146.905479999999</v>
      </c>
      <c r="CG143" s="196">
        <f t="shared" si="410"/>
        <v>14281.805407050493</v>
      </c>
      <c r="CH143" s="197">
        <f t="shared" si="411"/>
        <v>387.65370063198054</v>
      </c>
      <c r="CI143" s="197">
        <f t="shared" si="412"/>
        <v>4685.5882304267607</v>
      </c>
      <c r="CJ143" s="197">
        <f t="shared" si="413"/>
        <v>9596.2171766237316</v>
      </c>
      <c r="CK143" s="197">
        <f t="shared" si="414"/>
        <v>9983.8708772557111</v>
      </c>
      <c r="CL143" s="196">
        <f t="shared" si="415"/>
        <v>94730.864823737589</v>
      </c>
      <c r="CM143" s="197">
        <f t="shared" si="416"/>
        <v>2571.2974842004828</v>
      </c>
      <c r="CN143" s="197">
        <f t="shared" si="417"/>
        <v>31079.391759330949</v>
      </c>
      <c r="CO143" s="197">
        <f t="shared" si="418"/>
        <v>63651.473064406629</v>
      </c>
      <c r="CP143" s="199">
        <f t="shared" si="419"/>
        <v>66222.770548607121</v>
      </c>
      <c r="CT143" s="895">
        <v>6</v>
      </c>
      <c r="CU143" s="906">
        <f>'Arable Inputs'!$H$18</f>
        <v>12</v>
      </c>
      <c r="CV143" s="757">
        <f>'Arable Inputs'!$H$25*$CW$134</f>
        <v>0</v>
      </c>
      <c r="CW143" s="759">
        <f t="shared" si="420"/>
        <v>0</v>
      </c>
      <c r="CX143" s="197">
        <f>'Arable NPV'!$D122</f>
        <v>471.64</v>
      </c>
      <c r="CY143" s="197">
        <f t="shared" si="441"/>
        <v>471.64</v>
      </c>
      <c r="CZ143" s="197">
        <f>'Arable NPV'!$F122</f>
        <v>2474.37212</v>
      </c>
      <c r="DA143" s="197">
        <f>'Arable NPV'!$G122</f>
        <v>3226.3624</v>
      </c>
      <c r="DB143" s="197">
        <f t="shared" si="442"/>
        <v>5700.73452</v>
      </c>
      <c r="DC143" s="197">
        <f t="shared" si="421"/>
        <v>-5700.73452</v>
      </c>
      <c r="DD143" s="197">
        <f t="shared" si="422"/>
        <v>-5229.0945199999996</v>
      </c>
      <c r="DE143" s="196">
        <f t="shared" si="423"/>
        <v>0</v>
      </c>
      <c r="DF143" s="197">
        <f t="shared" si="424"/>
        <v>387.65370063198054</v>
      </c>
      <c r="DG143" s="197">
        <f t="shared" si="425"/>
        <v>4685.5882304267607</v>
      </c>
      <c r="DH143" s="197">
        <f t="shared" si="426"/>
        <v>-4685.5882304267607</v>
      </c>
      <c r="DI143" s="197">
        <f t="shared" si="427"/>
        <v>-4297.9345297947802</v>
      </c>
      <c r="DJ143" s="196">
        <f t="shared" si="428"/>
        <v>0</v>
      </c>
      <c r="DK143" s="197">
        <f t="shared" si="429"/>
        <v>2571.2974842004828</v>
      </c>
      <c r="DL143" s="197">
        <f t="shared" si="430"/>
        <v>31079.391759330949</v>
      </c>
      <c r="DM143" s="197">
        <f t="shared" si="431"/>
        <v>-31079.391759330949</v>
      </c>
      <c r="DN143" s="199">
        <f t="shared" si="432"/>
        <v>-28508.094275130457</v>
      </c>
    </row>
    <row r="144" spans="2:118" x14ac:dyDescent="0.3">
      <c r="B144" s="895">
        <v>7</v>
      </c>
      <c r="C144" s="906">
        <f>'Arable Inputs'!$H$18</f>
        <v>12</v>
      </c>
      <c r="D144" s="757">
        <f>'Arable Inputs'!$H$25*$E$134</f>
        <v>724</v>
      </c>
      <c r="E144" s="759">
        <f t="shared" si="368"/>
        <v>8688</v>
      </c>
      <c r="F144" s="197">
        <f>'Arable NPV'!$D123</f>
        <v>471.64</v>
      </c>
      <c r="G144" s="197">
        <f t="shared" si="433"/>
        <v>9159.64</v>
      </c>
      <c r="H144" s="197">
        <f>'Arable NPV'!$F123</f>
        <v>2474.37212</v>
      </c>
      <c r="I144" s="197">
        <f>'Arable NPV'!$G123</f>
        <v>3226.3624</v>
      </c>
      <c r="J144" s="197">
        <f t="shared" si="434"/>
        <v>5700.73452</v>
      </c>
      <c r="K144" s="197">
        <f t="shared" si="369"/>
        <v>2987.26548</v>
      </c>
      <c r="L144" s="197">
        <f t="shared" si="370"/>
        <v>3458.9054799999994</v>
      </c>
      <c r="M144" s="196">
        <f t="shared" si="371"/>
        <v>6866.2525995435062</v>
      </c>
      <c r="N144" s="197">
        <f t="shared" si="372"/>
        <v>372.74394291536589</v>
      </c>
      <c r="O144" s="197">
        <f t="shared" si="373"/>
        <v>4505.3732984872695</v>
      </c>
      <c r="P144" s="197">
        <f t="shared" si="374"/>
        <v>2360.8793010562363</v>
      </c>
      <c r="Q144" s="197">
        <f t="shared" si="375"/>
        <v>2733.6232439716014</v>
      </c>
      <c r="R144" s="196">
        <f t="shared" si="376"/>
        <v>54231.685011412301</v>
      </c>
      <c r="S144" s="197">
        <f t="shared" si="377"/>
        <v>2944.0414271158488</v>
      </c>
      <c r="T144" s="197">
        <f t="shared" si="378"/>
        <v>35584.765057818222</v>
      </c>
      <c r="U144" s="197">
        <f t="shared" si="379"/>
        <v>18646.919953594079</v>
      </c>
      <c r="V144" s="199">
        <f t="shared" si="380"/>
        <v>21590.961380709919</v>
      </c>
      <c r="Z144" s="895">
        <v>7</v>
      </c>
      <c r="AA144" s="906">
        <f>'Arable Inputs'!$H$18</f>
        <v>12</v>
      </c>
      <c r="AB144" s="757">
        <f>'Arable Inputs'!$H$25*$AC$134</f>
        <v>1086</v>
      </c>
      <c r="AC144" s="759">
        <f t="shared" si="381"/>
        <v>13032</v>
      </c>
      <c r="AD144" s="197">
        <f>'Arable NPV'!$D123</f>
        <v>471.64</v>
      </c>
      <c r="AE144" s="197">
        <f t="shared" si="435"/>
        <v>13503.64</v>
      </c>
      <c r="AF144" s="197">
        <f>'Arable NPV'!$F123</f>
        <v>2474.37212</v>
      </c>
      <c r="AG144" s="197">
        <f>'Arable NPV'!$G123</f>
        <v>3226.3624</v>
      </c>
      <c r="AH144" s="197">
        <f t="shared" si="436"/>
        <v>5700.73452</v>
      </c>
      <c r="AI144" s="197">
        <f t="shared" si="382"/>
        <v>7331.26548</v>
      </c>
      <c r="AJ144" s="197">
        <f t="shared" si="383"/>
        <v>7802.9054799999994</v>
      </c>
      <c r="AK144" s="196">
        <f t="shared" si="384"/>
        <v>10299.378899315259</v>
      </c>
      <c r="AL144" s="197">
        <f t="shared" si="385"/>
        <v>372.74394291536589</v>
      </c>
      <c r="AM144" s="197">
        <f t="shared" si="386"/>
        <v>4505.3732984872695</v>
      </c>
      <c r="AN144" s="197">
        <f t="shared" si="387"/>
        <v>5794.0056008279889</v>
      </c>
      <c r="AO144" s="197">
        <f t="shared" si="388"/>
        <v>6166.7495437433545</v>
      </c>
      <c r="AP144" s="196">
        <f t="shared" si="389"/>
        <v>81347.527517118433</v>
      </c>
      <c r="AQ144" s="197">
        <f t="shared" si="390"/>
        <v>2944.0414271158488</v>
      </c>
      <c r="AR144" s="197">
        <f t="shared" si="391"/>
        <v>35584.765057818222</v>
      </c>
      <c r="AS144" s="197">
        <f t="shared" si="392"/>
        <v>45762.762459300226</v>
      </c>
      <c r="AT144" s="199">
        <f t="shared" si="393"/>
        <v>48706.80388641607</v>
      </c>
      <c r="AX144" s="895">
        <v>7</v>
      </c>
      <c r="AY144" s="906">
        <f>'Arable Inputs'!$H$18</f>
        <v>12</v>
      </c>
      <c r="AZ144" s="757">
        <f>'Arable Inputs'!$H$25*$BA$134</f>
        <v>362</v>
      </c>
      <c r="BA144" s="759">
        <f t="shared" si="394"/>
        <v>4344</v>
      </c>
      <c r="BB144" s="197">
        <f>'Arable NPV'!$D123</f>
        <v>471.64</v>
      </c>
      <c r="BC144" s="197">
        <f t="shared" si="437"/>
        <v>4815.6400000000003</v>
      </c>
      <c r="BD144" s="197">
        <f>'Arable NPV'!$F123</f>
        <v>2474.37212</v>
      </c>
      <c r="BE144" s="197">
        <f>'Arable NPV'!$G123</f>
        <v>3226.3624</v>
      </c>
      <c r="BF144" s="197">
        <f t="shared" si="438"/>
        <v>5700.73452</v>
      </c>
      <c r="BG144" s="197">
        <f t="shared" si="395"/>
        <v>-1356.73452</v>
      </c>
      <c r="BH144" s="197">
        <f t="shared" si="396"/>
        <v>-885.09451999999965</v>
      </c>
      <c r="BI144" s="196">
        <f t="shared" si="397"/>
        <v>3433.1262997717531</v>
      </c>
      <c r="BJ144" s="197">
        <f t="shared" si="398"/>
        <v>372.74394291536589</v>
      </c>
      <c r="BK144" s="197">
        <f t="shared" si="399"/>
        <v>4505.3732984872695</v>
      </c>
      <c r="BL144" s="197">
        <f t="shared" si="400"/>
        <v>-1072.2469987155168</v>
      </c>
      <c r="BM144" s="197">
        <f t="shared" si="401"/>
        <v>-699.50305580015072</v>
      </c>
      <c r="BN144" s="196">
        <f t="shared" si="402"/>
        <v>27115.84250570615</v>
      </c>
      <c r="BO144" s="197">
        <f t="shared" si="403"/>
        <v>2944.0414271158488</v>
      </c>
      <c r="BP144" s="197">
        <f t="shared" si="404"/>
        <v>35584.765057818222</v>
      </c>
      <c r="BQ144" s="197">
        <f t="shared" si="405"/>
        <v>-8468.9225521120698</v>
      </c>
      <c r="BR144" s="199">
        <f t="shared" si="406"/>
        <v>-5524.8811249962182</v>
      </c>
      <c r="BV144" s="895">
        <v>7</v>
      </c>
      <c r="BW144" s="906">
        <f>'Arable Inputs'!$H$18</f>
        <v>12</v>
      </c>
      <c r="BX144" s="757">
        <f>'Arable Inputs'!$H$25*$BY$134</f>
        <v>1448</v>
      </c>
      <c r="BY144" s="759">
        <f t="shared" si="407"/>
        <v>17376</v>
      </c>
      <c r="BZ144" s="197">
        <f>'Arable NPV'!$D123</f>
        <v>471.64</v>
      </c>
      <c r="CA144" s="197">
        <f t="shared" si="439"/>
        <v>17847.64</v>
      </c>
      <c r="CB144" s="197">
        <f>'Arable NPV'!$F123</f>
        <v>2474.37212</v>
      </c>
      <c r="CC144" s="197">
        <f>'Arable NPV'!$G123</f>
        <v>3226.3624</v>
      </c>
      <c r="CD144" s="197">
        <f t="shared" si="440"/>
        <v>5700.73452</v>
      </c>
      <c r="CE144" s="197">
        <f t="shared" si="408"/>
        <v>11675.26548</v>
      </c>
      <c r="CF144" s="197">
        <f t="shared" si="409"/>
        <v>12146.905479999999</v>
      </c>
      <c r="CG144" s="196">
        <f t="shared" si="410"/>
        <v>13732.505199087012</v>
      </c>
      <c r="CH144" s="197">
        <f t="shared" si="411"/>
        <v>372.74394291536589</v>
      </c>
      <c r="CI144" s="197">
        <f t="shared" si="412"/>
        <v>4505.3732984872695</v>
      </c>
      <c r="CJ144" s="197">
        <f t="shared" si="413"/>
        <v>9227.1319005997411</v>
      </c>
      <c r="CK144" s="197">
        <f t="shared" si="414"/>
        <v>9599.8758435151067</v>
      </c>
      <c r="CL144" s="196">
        <f t="shared" si="415"/>
        <v>108463.3700228246</v>
      </c>
      <c r="CM144" s="197">
        <f t="shared" si="416"/>
        <v>2944.0414271158488</v>
      </c>
      <c r="CN144" s="197">
        <f t="shared" si="417"/>
        <v>35584.765057818222</v>
      </c>
      <c r="CO144" s="197">
        <f t="shared" si="418"/>
        <v>72878.604965006365</v>
      </c>
      <c r="CP144" s="199">
        <f t="shared" si="419"/>
        <v>75822.646392122231</v>
      </c>
      <c r="CT144" s="895">
        <v>7</v>
      </c>
      <c r="CU144" s="906">
        <f>'Arable Inputs'!$H$18</f>
        <v>12</v>
      </c>
      <c r="CV144" s="757">
        <f>'Arable Inputs'!$H$25*$CW$134</f>
        <v>0</v>
      </c>
      <c r="CW144" s="759">
        <f t="shared" si="420"/>
        <v>0</v>
      </c>
      <c r="CX144" s="197">
        <f>'Arable NPV'!$D123</f>
        <v>471.64</v>
      </c>
      <c r="CY144" s="197">
        <f t="shared" si="441"/>
        <v>471.64</v>
      </c>
      <c r="CZ144" s="197">
        <f>'Arable NPV'!$F123</f>
        <v>2474.37212</v>
      </c>
      <c r="DA144" s="197">
        <f>'Arable NPV'!$G123</f>
        <v>3226.3624</v>
      </c>
      <c r="DB144" s="197">
        <f t="shared" si="442"/>
        <v>5700.73452</v>
      </c>
      <c r="DC144" s="197">
        <f t="shared" si="421"/>
        <v>-5700.73452</v>
      </c>
      <c r="DD144" s="197">
        <f t="shared" si="422"/>
        <v>-5229.0945199999996</v>
      </c>
      <c r="DE144" s="196">
        <f t="shared" si="423"/>
        <v>0</v>
      </c>
      <c r="DF144" s="197">
        <f t="shared" si="424"/>
        <v>372.74394291536589</v>
      </c>
      <c r="DG144" s="197">
        <f t="shared" si="425"/>
        <v>4505.3732984872695</v>
      </c>
      <c r="DH144" s="197">
        <f t="shared" si="426"/>
        <v>-4505.3732984872695</v>
      </c>
      <c r="DI144" s="197">
        <f t="shared" si="427"/>
        <v>-4132.6293555719039</v>
      </c>
      <c r="DJ144" s="196">
        <f t="shared" si="428"/>
        <v>0</v>
      </c>
      <c r="DK144" s="197">
        <f t="shared" si="429"/>
        <v>2944.0414271158488</v>
      </c>
      <c r="DL144" s="197">
        <f t="shared" si="430"/>
        <v>35584.765057818222</v>
      </c>
      <c r="DM144" s="197">
        <f t="shared" si="431"/>
        <v>-35584.765057818222</v>
      </c>
      <c r="DN144" s="199">
        <f t="shared" si="432"/>
        <v>-32640.723630702363</v>
      </c>
    </row>
    <row r="145" spans="2:118" x14ac:dyDescent="0.3">
      <c r="B145" s="895">
        <v>8</v>
      </c>
      <c r="C145" s="906">
        <f>'Arable Inputs'!$H$18</f>
        <v>12</v>
      </c>
      <c r="D145" s="757">
        <f>'Arable Inputs'!$H$25*$E$134</f>
        <v>724</v>
      </c>
      <c r="E145" s="759">
        <f t="shared" si="368"/>
        <v>8688</v>
      </c>
      <c r="F145" s="197">
        <f>'Arable NPV'!$D124</f>
        <v>471.64</v>
      </c>
      <c r="G145" s="197">
        <f t="shared" si="433"/>
        <v>9159.64</v>
      </c>
      <c r="H145" s="197">
        <f>'Arable NPV'!$F124</f>
        <v>2474.37212</v>
      </c>
      <c r="I145" s="197">
        <f>'Arable NPV'!$G124</f>
        <v>3226.3624</v>
      </c>
      <c r="J145" s="197">
        <f t="shared" si="434"/>
        <v>5700.73452</v>
      </c>
      <c r="K145" s="197">
        <f t="shared" si="369"/>
        <v>2987.26548</v>
      </c>
      <c r="L145" s="197">
        <f t="shared" si="370"/>
        <v>3458.9054799999994</v>
      </c>
      <c r="M145" s="196">
        <f t="shared" si="371"/>
        <v>6602.1659610995257</v>
      </c>
      <c r="N145" s="197">
        <f t="shared" si="372"/>
        <v>358.40763741862111</v>
      </c>
      <c r="O145" s="197">
        <f t="shared" si="373"/>
        <v>4332.0897100839138</v>
      </c>
      <c r="P145" s="197">
        <f t="shared" si="374"/>
        <v>2270.0762510156119</v>
      </c>
      <c r="Q145" s="197">
        <f t="shared" si="375"/>
        <v>2628.4838884342325</v>
      </c>
      <c r="R145" s="196">
        <f t="shared" si="376"/>
        <v>60833.850972511827</v>
      </c>
      <c r="S145" s="197">
        <f t="shared" si="377"/>
        <v>3302.4490645344699</v>
      </c>
      <c r="T145" s="197">
        <f t="shared" si="378"/>
        <v>39916.854767902136</v>
      </c>
      <c r="U145" s="197">
        <f t="shared" si="379"/>
        <v>20916.996204609692</v>
      </c>
      <c r="V145" s="199">
        <f t="shared" si="380"/>
        <v>24219.445269144151</v>
      </c>
      <c r="Z145" s="895">
        <v>8</v>
      </c>
      <c r="AA145" s="906">
        <f>'Arable Inputs'!$H$18</f>
        <v>12</v>
      </c>
      <c r="AB145" s="757">
        <f>'Arable Inputs'!$H$25*$AC$134</f>
        <v>1086</v>
      </c>
      <c r="AC145" s="759">
        <f t="shared" si="381"/>
        <v>13032</v>
      </c>
      <c r="AD145" s="197">
        <f>'Arable NPV'!$D124</f>
        <v>471.64</v>
      </c>
      <c r="AE145" s="197">
        <f t="shared" si="435"/>
        <v>13503.64</v>
      </c>
      <c r="AF145" s="197">
        <f>'Arable NPV'!$F124</f>
        <v>2474.37212</v>
      </c>
      <c r="AG145" s="197">
        <f>'Arable NPV'!$G124</f>
        <v>3226.3624</v>
      </c>
      <c r="AH145" s="197">
        <f t="shared" si="436"/>
        <v>5700.73452</v>
      </c>
      <c r="AI145" s="197">
        <f t="shared" si="382"/>
        <v>7331.26548</v>
      </c>
      <c r="AJ145" s="197">
        <f t="shared" si="383"/>
        <v>7802.9054799999994</v>
      </c>
      <c r="AK145" s="196">
        <f t="shared" si="384"/>
        <v>9903.2489416492881</v>
      </c>
      <c r="AL145" s="197">
        <f t="shared" si="385"/>
        <v>358.40763741862111</v>
      </c>
      <c r="AM145" s="197">
        <f t="shared" si="386"/>
        <v>4332.0897100839138</v>
      </c>
      <c r="AN145" s="197">
        <f t="shared" si="387"/>
        <v>5571.1592315653743</v>
      </c>
      <c r="AO145" s="197">
        <f t="shared" si="388"/>
        <v>5929.5668689839949</v>
      </c>
      <c r="AP145" s="196">
        <f t="shared" si="389"/>
        <v>91250.776458767723</v>
      </c>
      <c r="AQ145" s="197">
        <f t="shared" si="390"/>
        <v>3302.4490645344699</v>
      </c>
      <c r="AR145" s="197">
        <f t="shared" si="391"/>
        <v>39916.854767902136</v>
      </c>
      <c r="AS145" s="197">
        <f t="shared" si="392"/>
        <v>51333.921690865602</v>
      </c>
      <c r="AT145" s="199">
        <f t="shared" si="393"/>
        <v>54636.370755400065</v>
      </c>
      <c r="AX145" s="895">
        <v>8</v>
      </c>
      <c r="AY145" s="906">
        <f>'Arable Inputs'!$H$18</f>
        <v>12</v>
      </c>
      <c r="AZ145" s="757">
        <f>'Arable Inputs'!$H$25*$BA$134</f>
        <v>362</v>
      </c>
      <c r="BA145" s="759">
        <f t="shared" si="394"/>
        <v>4344</v>
      </c>
      <c r="BB145" s="197">
        <f>'Arable NPV'!$D124</f>
        <v>471.64</v>
      </c>
      <c r="BC145" s="197">
        <f t="shared" si="437"/>
        <v>4815.6400000000003</v>
      </c>
      <c r="BD145" s="197">
        <f>'Arable NPV'!$F124</f>
        <v>2474.37212</v>
      </c>
      <c r="BE145" s="197">
        <f>'Arable NPV'!$G124</f>
        <v>3226.3624</v>
      </c>
      <c r="BF145" s="197">
        <f t="shared" si="438"/>
        <v>5700.73452</v>
      </c>
      <c r="BG145" s="197">
        <f t="shared" si="395"/>
        <v>-1356.73452</v>
      </c>
      <c r="BH145" s="197">
        <f t="shared" si="396"/>
        <v>-885.09451999999965</v>
      </c>
      <c r="BI145" s="196">
        <f t="shared" si="397"/>
        <v>3301.0829805497629</v>
      </c>
      <c r="BJ145" s="197">
        <f t="shared" si="398"/>
        <v>358.40763741862111</v>
      </c>
      <c r="BK145" s="197">
        <f t="shared" si="399"/>
        <v>4332.0897100839138</v>
      </c>
      <c r="BL145" s="197">
        <f t="shared" si="400"/>
        <v>-1031.006729534151</v>
      </c>
      <c r="BM145" s="197">
        <f t="shared" si="401"/>
        <v>-672.59909211552952</v>
      </c>
      <c r="BN145" s="196">
        <f t="shared" si="402"/>
        <v>30416.925486255914</v>
      </c>
      <c r="BO145" s="197">
        <f t="shared" si="403"/>
        <v>3302.4490645344699</v>
      </c>
      <c r="BP145" s="197">
        <f t="shared" si="404"/>
        <v>39916.854767902136</v>
      </c>
      <c r="BQ145" s="197">
        <f t="shared" si="405"/>
        <v>-9499.9292816462203</v>
      </c>
      <c r="BR145" s="199">
        <f t="shared" si="406"/>
        <v>-6197.4802171117481</v>
      </c>
      <c r="BV145" s="895">
        <v>8</v>
      </c>
      <c r="BW145" s="906">
        <f>'Arable Inputs'!$H$18</f>
        <v>12</v>
      </c>
      <c r="BX145" s="757">
        <f>'Arable Inputs'!$H$25*$BY$134</f>
        <v>1448</v>
      </c>
      <c r="BY145" s="759">
        <f t="shared" si="407"/>
        <v>17376</v>
      </c>
      <c r="BZ145" s="197">
        <f>'Arable NPV'!$D124</f>
        <v>471.64</v>
      </c>
      <c r="CA145" s="197">
        <f t="shared" si="439"/>
        <v>17847.64</v>
      </c>
      <c r="CB145" s="197">
        <f>'Arable NPV'!$F124</f>
        <v>2474.37212</v>
      </c>
      <c r="CC145" s="197">
        <f>'Arable NPV'!$G124</f>
        <v>3226.3624</v>
      </c>
      <c r="CD145" s="197">
        <f t="shared" si="440"/>
        <v>5700.73452</v>
      </c>
      <c r="CE145" s="197">
        <f t="shared" si="408"/>
        <v>11675.26548</v>
      </c>
      <c r="CF145" s="197">
        <f t="shared" si="409"/>
        <v>12146.905479999999</v>
      </c>
      <c r="CG145" s="196">
        <f t="shared" si="410"/>
        <v>13204.331922199051</v>
      </c>
      <c r="CH145" s="197">
        <f t="shared" si="411"/>
        <v>358.40763741862111</v>
      </c>
      <c r="CI145" s="197">
        <f t="shared" si="412"/>
        <v>4332.0897100839138</v>
      </c>
      <c r="CJ145" s="197">
        <f t="shared" si="413"/>
        <v>8872.2422121151376</v>
      </c>
      <c r="CK145" s="197">
        <f t="shared" si="414"/>
        <v>9230.6498495337582</v>
      </c>
      <c r="CL145" s="196">
        <f t="shared" si="415"/>
        <v>121667.70194502365</v>
      </c>
      <c r="CM145" s="197">
        <f t="shared" si="416"/>
        <v>3302.4490645344699</v>
      </c>
      <c r="CN145" s="197">
        <f t="shared" si="417"/>
        <v>39916.854767902136</v>
      </c>
      <c r="CO145" s="197">
        <f t="shared" si="418"/>
        <v>81750.847177121497</v>
      </c>
      <c r="CP145" s="199">
        <f t="shared" si="419"/>
        <v>85053.296241655989</v>
      </c>
      <c r="CT145" s="895">
        <v>8</v>
      </c>
      <c r="CU145" s="906">
        <f>'Arable Inputs'!$H$18</f>
        <v>12</v>
      </c>
      <c r="CV145" s="757">
        <f>'Arable Inputs'!$H$25*$CW$134</f>
        <v>0</v>
      </c>
      <c r="CW145" s="759">
        <f t="shared" si="420"/>
        <v>0</v>
      </c>
      <c r="CX145" s="197">
        <f>'Arable NPV'!$D124</f>
        <v>471.64</v>
      </c>
      <c r="CY145" s="197">
        <f t="shared" si="441"/>
        <v>471.64</v>
      </c>
      <c r="CZ145" s="197">
        <f>'Arable NPV'!$F124</f>
        <v>2474.37212</v>
      </c>
      <c r="DA145" s="197">
        <f>'Arable NPV'!$G124</f>
        <v>3226.3624</v>
      </c>
      <c r="DB145" s="197">
        <f t="shared" si="442"/>
        <v>5700.73452</v>
      </c>
      <c r="DC145" s="197">
        <f t="shared" si="421"/>
        <v>-5700.73452</v>
      </c>
      <c r="DD145" s="197">
        <f t="shared" si="422"/>
        <v>-5229.0945199999996</v>
      </c>
      <c r="DE145" s="196">
        <f t="shared" si="423"/>
        <v>0</v>
      </c>
      <c r="DF145" s="197">
        <f t="shared" si="424"/>
        <v>358.40763741862111</v>
      </c>
      <c r="DG145" s="197">
        <f t="shared" si="425"/>
        <v>4332.0897100839138</v>
      </c>
      <c r="DH145" s="197">
        <f t="shared" si="426"/>
        <v>-4332.0897100839138</v>
      </c>
      <c r="DI145" s="197">
        <f t="shared" si="427"/>
        <v>-3973.6820726652923</v>
      </c>
      <c r="DJ145" s="196">
        <f t="shared" si="428"/>
        <v>0</v>
      </c>
      <c r="DK145" s="197">
        <f t="shared" si="429"/>
        <v>3302.4490645344699</v>
      </c>
      <c r="DL145" s="197">
        <f t="shared" si="430"/>
        <v>39916.854767902136</v>
      </c>
      <c r="DM145" s="197">
        <f t="shared" si="431"/>
        <v>-39916.854767902136</v>
      </c>
      <c r="DN145" s="199">
        <f t="shared" si="432"/>
        <v>-36614.405703367658</v>
      </c>
    </row>
    <row r="146" spans="2:118" x14ac:dyDescent="0.3">
      <c r="B146" s="895">
        <v>9</v>
      </c>
      <c r="C146" s="906">
        <f>'Arable Inputs'!$H$18</f>
        <v>12</v>
      </c>
      <c r="D146" s="757">
        <f>'Arable Inputs'!$H$25*$E$134</f>
        <v>724</v>
      </c>
      <c r="E146" s="759">
        <f t="shared" si="368"/>
        <v>8688</v>
      </c>
      <c r="F146" s="197">
        <f>'Arable NPV'!$D125</f>
        <v>471.64</v>
      </c>
      <c r="G146" s="197">
        <f t="shared" si="433"/>
        <v>9159.64</v>
      </c>
      <c r="H146" s="197">
        <f>'Arable NPV'!$F125</f>
        <v>2474.37212</v>
      </c>
      <c r="I146" s="197">
        <f>'Arable NPV'!$G125</f>
        <v>3226.3624</v>
      </c>
      <c r="J146" s="197">
        <f t="shared" si="434"/>
        <v>5700.73452</v>
      </c>
      <c r="K146" s="197">
        <f t="shared" si="369"/>
        <v>2987.26548</v>
      </c>
      <c r="L146" s="197">
        <f t="shared" si="370"/>
        <v>3458.9054799999994</v>
      </c>
      <c r="M146" s="196">
        <f t="shared" si="371"/>
        <v>6348.2365010572348</v>
      </c>
      <c r="N146" s="197">
        <f t="shared" si="372"/>
        <v>344.6227282871356</v>
      </c>
      <c r="O146" s="197">
        <f t="shared" si="373"/>
        <v>4165.4708750806858</v>
      </c>
      <c r="P146" s="197">
        <f t="shared" si="374"/>
        <v>2182.7656259765495</v>
      </c>
      <c r="Q146" s="197">
        <f t="shared" si="375"/>
        <v>2527.3883542636845</v>
      </c>
      <c r="R146" s="196">
        <f t="shared" si="376"/>
        <v>67182.08747356906</v>
      </c>
      <c r="S146" s="197">
        <f t="shared" si="377"/>
        <v>3647.0717928216054</v>
      </c>
      <c r="T146" s="197">
        <f t="shared" si="378"/>
        <v>44082.325642982818</v>
      </c>
      <c r="U146" s="197">
        <f t="shared" si="379"/>
        <v>23099.761830586242</v>
      </c>
      <c r="V146" s="199">
        <f t="shared" si="380"/>
        <v>26746.833623407834</v>
      </c>
      <c r="Z146" s="895">
        <v>9</v>
      </c>
      <c r="AA146" s="906">
        <f>'Arable Inputs'!$H$18</f>
        <v>12</v>
      </c>
      <c r="AB146" s="757">
        <f>'Arable Inputs'!$H$25*$AC$134</f>
        <v>1086</v>
      </c>
      <c r="AC146" s="759">
        <f t="shared" si="381"/>
        <v>13032</v>
      </c>
      <c r="AD146" s="197">
        <f>'Arable NPV'!$D125</f>
        <v>471.64</v>
      </c>
      <c r="AE146" s="197">
        <f t="shared" si="435"/>
        <v>13503.64</v>
      </c>
      <c r="AF146" s="197">
        <f>'Arable NPV'!$F125</f>
        <v>2474.37212</v>
      </c>
      <c r="AG146" s="197">
        <f>'Arable NPV'!$G125</f>
        <v>3226.3624</v>
      </c>
      <c r="AH146" s="197">
        <f t="shared" si="436"/>
        <v>5700.73452</v>
      </c>
      <c r="AI146" s="197">
        <f t="shared" si="382"/>
        <v>7331.26548</v>
      </c>
      <c r="AJ146" s="197">
        <f t="shared" si="383"/>
        <v>7802.9054799999994</v>
      </c>
      <c r="AK146" s="196">
        <f t="shared" si="384"/>
        <v>9522.3547515858518</v>
      </c>
      <c r="AL146" s="197">
        <f t="shared" si="385"/>
        <v>344.6227282871356</v>
      </c>
      <c r="AM146" s="197">
        <f t="shared" si="386"/>
        <v>4165.4708750806858</v>
      </c>
      <c r="AN146" s="197">
        <f t="shared" si="387"/>
        <v>5356.8838765051669</v>
      </c>
      <c r="AO146" s="197">
        <f t="shared" si="388"/>
        <v>5701.5066047923019</v>
      </c>
      <c r="AP146" s="196">
        <f t="shared" si="389"/>
        <v>100773.13121035357</v>
      </c>
      <c r="AQ146" s="197">
        <f t="shared" si="390"/>
        <v>3647.0717928216054</v>
      </c>
      <c r="AR146" s="197">
        <f t="shared" si="391"/>
        <v>44082.325642982818</v>
      </c>
      <c r="AS146" s="197">
        <f t="shared" si="392"/>
        <v>56690.805567370771</v>
      </c>
      <c r="AT146" s="199">
        <f t="shared" si="393"/>
        <v>60337.877360192368</v>
      </c>
      <c r="AX146" s="895">
        <v>9</v>
      </c>
      <c r="AY146" s="906">
        <f>'Arable Inputs'!$H$18</f>
        <v>12</v>
      </c>
      <c r="AZ146" s="757">
        <f>'Arable Inputs'!$H$25*$BA$134</f>
        <v>362</v>
      </c>
      <c r="BA146" s="759">
        <f t="shared" si="394"/>
        <v>4344</v>
      </c>
      <c r="BB146" s="197">
        <f>'Arable NPV'!$D125</f>
        <v>471.64</v>
      </c>
      <c r="BC146" s="197">
        <f t="shared" si="437"/>
        <v>4815.6400000000003</v>
      </c>
      <c r="BD146" s="197">
        <f>'Arable NPV'!$F125</f>
        <v>2474.37212</v>
      </c>
      <c r="BE146" s="197">
        <f>'Arable NPV'!$G125</f>
        <v>3226.3624</v>
      </c>
      <c r="BF146" s="197">
        <f t="shared" si="438"/>
        <v>5700.73452</v>
      </c>
      <c r="BG146" s="197">
        <f t="shared" si="395"/>
        <v>-1356.73452</v>
      </c>
      <c r="BH146" s="197">
        <f t="shared" si="396"/>
        <v>-885.09451999999965</v>
      </c>
      <c r="BI146" s="196">
        <f t="shared" si="397"/>
        <v>3174.1182505286174</v>
      </c>
      <c r="BJ146" s="197">
        <f t="shared" si="398"/>
        <v>344.6227282871356</v>
      </c>
      <c r="BK146" s="197">
        <f t="shared" si="399"/>
        <v>4165.4708750806858</v>
      </c>
      <c r="BL146" s="197">
        <f t="shared" si="400"/>
        <v>-991.35262455206805</v>
      </c>
      <c r="BM146" s="197">
        <f t="shared" si="401"/>
        <v>-646.72989626493222</v>
      </c>
      <c r="BN146" s="196">
        <f t="shared" si="402"/>
        <v>33591.04373678453</v>
      </c>
      <c r="BO146" s="197">
        <f t="shared" si="403"/>
        <v>3647.0717928216054</v>
      </c>
      <c r="BP146" s="197">
        <f t="shared" si="404"/>
        <v>44082.325642982818</v>
      </c>
      <c r="BQ146" s="197">
        <f t="shared" si="405"/>
        <v>-10491.281906198288</v>
      </c>
      <c r="BR146" s="199">
        <f t="shared" si="406"/>
        <v>-6844.2101133766801</v>
      </c>
      <c r="BV146" s="895">
        <v>9</v>
      </c>
      <c r="BW146" s="906">
        <f>'Arable Inputs'!$H$18</f>
        <v>12</v>
      </c>
      <c r="BX146" s="757">
        <f>'Arable Inputs'!$H$25*$BY$134</f>
        <v>1448</v>
      </c>
      <c r="BY146" s="759">
        <f t="shared" si="407"/>
        <v>17376</v>
      </c>
      <c r="BZ146" s="197">
        <f>'Arable NPV'!$D125</f>
        <v>471.64</v>
      </c>
      <c r="CA146" s="197">
        <f t="shared" si="439"/>
        <v>17847.64</v>
      </c>
      <c r="CB146" s="197">
        <f>'Arable NPV'!$F125</f>
        <v>2474.37212</v>
      </c>
      <c r="CC146" s="197">
        <f>'Arable NPV'!$G125</f>
        <v>3226.3624</v>
      </c>
      <c r="CD146" s="197">
        <f t="shared" si="440"/>
        <v>5700.73452</v>
      </c>
      <c r="CE146" s="197">
        <f t="shared" si="408"/>
        <v>11675.26548</v>
      </c>
      <c r="CF146" s="197">
        <f t="shared" si="409"/>
        <v>12146.905479999999</v>
      </c>
      <c r="CG146" s="196">
        <f t="shared" si="410"/>
        <v>12696.47300211447</v>
      </c>
      <c r="CH146" s="197">
        <f t="shared" si="411"/>
        <v>344.6227282871356</v>
      </c>
      <c r="CI146" s="197">
        <f t="shared" si="412"/>
        <v>4165.4708750806858</v>
      </c>
      <c r="CJ146" s="197">
        <f t="shared" si="413"/>
        <v>8531.0021270337838</v>
      </c>
      <c r="CK146" s="197">
        <f t="shared" si="414"/>
        <v>8875.6248553209189</v>
      </c>
      <c r="CL146" s="196">
        <f t="shared" si="415"/>
        <v>134364.17494713812</v>
      </c>
      <c r="CM146" s="197">
        <f t="shared" si="416"/>
        <v>3647.0717928216054</v>
      </c>
      <c r="CN146" s="197">
        <f t="shared" si="417"/>
        <v>44082.325642982818</v>
      </c>
      <c r="CO146" s="197">
        <f t="shared" si="418"/>
        <v>90281.849304155287</v>
      </c>
      <c r="CP146" s="199">
        <f t="shared" si="419"/>
        <v>93928.921096976905</v>
      </c>
      <c r="CT146" s="895">
        <v>9</v>
      </c>
      <c r="CU146" s="906">
        <f>'Arable Inputs'!$H$18</f>
        <v>12</v>
      </c>
      <c r="CV146" s="757">
        <f>'Arable Inputs'!$H$25*$CW$134</f>
        <v>0</v>
      </c>
      <c r="CW146" s="759">
        <f t="shared" si="420"/>
        <v>0</v>
      </c>
      <c r="CX146" s="197">
        <f>'Arable NPV'!$D125</f>
        <v>471.64</v>
      </c>
      <c r="CY146" s="197">
        <f t="shared" si="441"/>
        <v>471.64</v>
      </c>
      <c r="CZ146" s="197">
        <f>'Arable NPV'!$F125</f>
        <v>2474.37212</v>
      </c>
      <c r="DA146" s="197">
        <f>'Arable NPV'!$G125</f>
        <v>3226.3624</v>
      </c>
      <c r="DB146" s="197">
        <f t="shared" si="442"/>
        <v>5700.73452</v>
      </c>
      <c r="DC146" s="197">
        <f t="shared" si="421"/>
        <v>-5700.73452</v>
      </c>
      <c r="DD146" s="197">
        <f t="shared" si="422"/>
        <v>-5229.0945199999996</v>
      </c>
      <c r="DE146" s="196">
        <f t="shared" si="423"/>
        <v>0</v>
      </c>
      <c r="DF146" s="197">
        <f t="shared" si="424"/>
        <v>344.6227282871356</v>
      </c>
      <c r="DG146" s="197">
        <f t="shared" si="425"/>
        <v>4165.4708750806858</v>
      </c>
      <c r="DH146" s="197">
        <f t="shared" si="426"/>
        <v>-4165.4708750806858</v>
      </c>
      <c r="DI146" s="197">
        <f t="shared" si="427"/>
        <v>-3820.8481467935499</v>
      </c>
      <c r="DJ146" s="196">
        <f t="shared" si="428"/>
        <v>0</v>
      </c>
      <c r="DK146" s="197">
        <f t="shared" si="429"/>
        <v>3647.0717928216054</v>
      </c>
      <c r="DL146" s="197">
        <f t="shared" si="430"/>
        <v>44082.325642982818</v>
      </c>
      <c r="DM146" s="197">
        <f t="shared" si="431"/>
        <v>-44082.325642982818</v>
      </c>
      <c r="DN146" s="199">
        <f t="shared" si="432"/>
        <v>-40435.253850161207</v>
      </c>
    </row>
    <row r="147" spans="2:118" x14ac:dyDescent="0.3">
      <c r="B147" s="895">
        <v>10</v>
      </c>
      <c r="C147" s="906">
        <f>'Arable Inputs'!$H$18</f>
        <v>12</v>
      </c>
      <c r="D147" s="757">
        <f>'Arable Inputs'!$H$25*$E$134</f>
        <v>724</v>
      </c>
      <c r="E147" s="759">
        <f t="shared" si="368"/>
        <v>8688</v>
      </c>
      <c r="F147" s="197">
        <f>'Arable NPV'!$D126</f>
        <v>471.64</v>
      </c>
      <c r="G147" s="197">
        <f t="shared" si="433"/>
        <v>9159.64</v>
      </c>
      <c r="H147" s="197">
        <f>'Arable NPV'!$F126</f>
        <v>2474.37212</v>
      </c>
      <c r="I147" s="197">
        <f>'Arable NPV'!$G126</f>
        <v>3226.3624</v>
      </c>
      <c r="J147" s="197">
        <f t="shared" si="434"/>
        <v>5700.73452</v>
      </c>
      <c r="K147" s="197">
        <f t="shared" si="369"/>
        <v>2987.26548</v>
      </c>
      <c r="L147" s="197">
        <f t="shared" si="370"/>
        <v>3458.9054799999994</v>
      </c>
      <c r="M147" s="196">
        <f t="shared" si="371"/>
        <v>6104.0735587088793</v>
      </c>
      <c r="N147" s="197">
        <f t="shared" si="372"/>
        <v>331.36800796839958</v>
      </c>
      <c r="O147" s="197">
        <f t="shared" si="373"/>
        <v>4005.2604568083511</v>
      </c>
      <c r="P147" s="197">
        <f t="shared" si="374"/>
        <v>2098.8131019005282</v>
      </c>
      <c r="Q147" s="197">
        <f t="shared" si="375"/>
        <v>2430.1811098689273</v>
      </c>
      <c r="R147" s="196">
        <f t="shared" si="376"/>
        <v>73286.161032277945</v>
      </c>
      <c r="S147" s="197">
        <f t="shared" si="377"/>
        <v>3978.4398007900049</v>
      </c>
      <c r="T147" s="197">
        <f t="shared" si="378"/>
        <v>48087.586099791166</v>
      </c>
      <c r="U147" s="197">
        <f t="shared" si="379"/>
        <v>25198.574932486768</v>
      </c>
      <c r="V147" s="199">
        <f t="shared" si="380"/>
        <v>29177.014733276763</v>
      </c>
      <c r="Z147" s="895">
        <v>10</v>
      </c>
      <c r="AA147" s="906">
        <f>'Arable Inputs'!$H$18</f>
        <v>12</v>
      </c>
      <c r="AB147" s="757">
        <f>'Arable Inputs'!$H$25*$AC$134</f>
        <v>1086</v>
      </c>
      <c r="AC147" s="759">
        <f t="shared" si="381"/>
        <v>13032</v>
      </c>
      <c r="AD147" s="197">
        <f>'Arable NPV'!$D126</f>
        <v>471.64</v>
      </c>
      <c r="AE147" s="197">
        <f t="shared" si="435"/>
        <v>13503.64</v>
      </c>
      <c r="AF147" s="197">
        <f>'Arable NPV'!$F126</f>
        <v>2474.37212</v>
      </c>
      <c r="AG147" s="197">
        <f>'Arable NPV'!$G126</f>
        <v>3226.3624</v>
      </c>
      <c r="AH147" s="197">
        <f t="shared" si="436"/>
        <v>5700.73452</v>
      </c>
      <c r="AI147" s="197">
        <f t="shared" si="382"/>
        <v>7331.26548</v>
      </c>
      <c r="AJ147" s="197">
        <f t="shared" si="383"/>
        <v>7802.9054799999994</v>
      </c>
      <c r="AK147" s="196">
        <f t="shared" si="384"/>
        <v>9156.1103380633194</v>
      </c>
      <c r="AL147" s="197">
        <f t="shared" si="385"/>
        <v>331.36800796839958</v>
      </c>
      <c r="AM147" s="197">
        <f t="shared" si="386"/>
        <v>4005.2604568083511</v>
      </c>
      <c r="AN147" s="197">
        <f t="shared" si="387"/>
        <v>5150.8498812549678</v>
      </c>
      <c r="AO147" s="197">
        <f t="shared" si="388"/>
        <v>5482.2178892233669</v>
      </c>
      <c r="AP147" s="196">
        <f t="shared" si="389"/>
        <v>109929.24154841689</v>
      </c>
      <c r="AQ147" s="197">
        <f t="shared" si="390"/>
        <v>3978.4398007900049</v>
      </c>
      <c r="AR147" s="197">
        <f t="shared" si="391"/>
        <v>48087.586099791166</v>
      </c>
      <c r="AS147" s="197">
        <f t="shared" si="392"/>
        <v>61841.655448625737</v>
      </c>
      <c r="AT147" s="199">
        <f t="shared" si="393"/>
        <v>65820.095249415739</v>
      </c>
      <c r="AX147" s="895">
        <v>10</v>
      </c>
      <c r="AY147" s="906">
        <f>'Arable Inputs'!$H$18</f>
        <v>12</v>
      </c>
      <c r="AZ147" s="757">
        <f>'Arable Inputs'!$H$25*$BA$134</f>
        <v>362</v>
      </c>
      <c r="BA147" s="759">
        <f t="shared" si="394"/>
        <v>4344</v>
      </c>
      <c r="BB147" s="197">
        <f>'Arable NPV'!$D126</f>
        <v>471.64</v>
      </c>
      <c r="BC147" s="197">
        <f t="shared" si="437"/>
        <v>4815.6400000000003</v>
      </c>
      <c r="BD147" s="197">
        <f>'Arable NPV'!$F126</f>
        <v>2474.37212</v>
      </c>
      <c r="BE147" s="197">
        <f>'Arable NPV'!$G126</f>
        <v>3226.3624</v>
      </c>
      <c r="BF147" s="197">
        <f t="shared" si="438"/>
        <v>5700.73452</v>
      </c>
      <c r="BG147" s="197">
        <f t="shared" si="395"/>
        <v>-1356.73452</v>
      </c>
      <c r="BH147" s="197">
        <f t="shared" si="396"/>
        <v>-885.09451999999965</v>
      </c>
      <c r="BI147" s="196">
        <f t="shared" si="397"/>
        <v>3052.0367793544397</v>
      </c>
      <c r="BJ147" s="197">
        <f t="shared" si="398"/>
        <v>331.36800796839958</v>
      </c>
      <c r="BK147" s="197">
        <f t="shared" si="399"/>
        <v>4005.2604568083511</v>
      </c>
      <c r="BL147" s="197">
        <f t="shared" si="400"/>
        <v>-953.22367745391148</v>
      </c>
      <c r="BM147" s="197">
        <f t="shared" si="401"/>
        <v>-621.85566948551161</v>
      </c>
      <c r="BN147" s="196">
        <f t="shared" si="402"/>
        <v>36643.080516138973</v>
      </c>
      <c r="BO147" s="197">
        <f t="shared" si="403"/>
        <v>3978.4398007900049</v>
      </c>
      <c r="BP147" s="197">
        <f t="shared" si="404"/>
        <v>48087.586099791166</v>
      </c>
      <c r="BQ147" s="197">
        <f t="shared" si="405"/>
        <v>-11444.505583652201</v>
      </c>
      <c r="BR147" s="199">
        <f t="shared" si="406"/>
        <v>-7466.0657828621916</v>
      </c>
      <c r="BV147" s="895">
        <v>10</v>
      </c>
      <c r="BW147" s="906">
        <f>'Arable Inputs'!$H$18</f>
        <v>12</v>
      </c>
      <c r="BX147" s="757">
        <f>'Arable Inputs'!$H$25*$BY$134</f>
        <v>1448</v>
      </c>
      <c r="BY147" s="759">
        <f t="shared" si="407"/>
        <v>17376</v>
      </c>
      <c r="BZ147" s="197">
        <f>'Arable NPV'!$D126</f>
        <v>471.64</v>
      </c>
      <c r="CA147" s="197">
        <f t="shared" si="439"/>
        <v>17847.64</v>
      </c>
      <c r="CB147" s="197">
        <f>'Arable NPV'!$F126</f>
        <v>2474.37212</v>
      </c>
      <c r="CC147" s="197">
        <f>'Arable NPV'!$G126</f>
        <v>3226.3624</v>
      </c>
      <c r="CD147" s="197">
        <f t="shared" si="440"/>
        <v>5700.73452</v>
      </c>
      <c r="CE147" s="197">
        <f t="shared" si="408"/>
        <v>11675.26548</v>
      </c>
      <c r="CF147" s="197">
        <f t="shared" si="409"/>
        <v>12146.905479999999</v>
      </c>
      <c r="CG147" s="196">
        <f t="shared" si="410"/>
        <v>12208.147117417759</v>
      </c>
      <c r="CH147" s="197">
        <f t="shared" si="411"/>
        <v>331.36800796839958</v>
      </c>
      <c r="CI147" s="197">
        <f t="shared" si="412"/>
        <v>4005.2604568083511</v>
      </c>
      <c r="CJ147" s="197">
        <f t="shared" si="413"/>
        <v>8202.886660609407</v>
      </c>
      <c r="CK147" s="197">
        <f t="shared" si="414"/>
        <v>8534.254668577807</v>
      </c>
      <c r="CL147" s="196">
        <f t="shared" si="415"/>
        <v>146572.32206455589</v>
      </c>
      <c r="CM147" s="197">
        <f t="shared" si="416"/>
        <v>3978.4398007900049</v>
      </c>
      <c r="CN147" s="197">
        <f t="shared" si="417"/>
        <v>48087.586099791166</v>
      </c>
      <c r="CO147" s="197">
        <f t="shared" si="418"/>
        <v>98484.735964764695</v>
      </c>
      <c r="CP147" s="199">
        <f t="shared" si="419"/>
        <v>102463.17576555471</v>
      </c>
      <c r="CT147" s="895">
        <v>10</v>
      </c>
      <c r="CU147" s="906">
        <f>'Arable Inputs'!$H$18</f>
        <v>12</v>
      </c>
      <c r="CV147" s="757">
        <f>'Arable Inputs'!$H$25*$CW$134</f>
        <v>0</v>
      </c>
      <c r="CW147" s="759">
        <f t="shared" si="420"/>
        <v>0</v>
      </c>
      <c r="CX147" s="197">
        <f>'Arable NPV'!$D126</f>
        <v>471.64</v>
      </c>
      <c r="CY147" s="197">
        <f t="shared" si="441"/>
        <v>471.64</v>
      </c>
      <c r="CZ147" s="197">
        <f>'Arable NPV'!$F126</f>
        <v>2474.37212</v>
      </c>
      <c r="DA147" s="197">
        <f>'Arable NPV'!$G126</f>
        <v>3226.3624</v>
      </c>
      <c r="DB147" s="197">
        <f t="shared" si="442"/>
        <v>5700.73452</v>
      </c>
      <c r="DC147" s="197">
        <f t="shared" si="421"/>
        <v>-5700.73452</v>
      </c>
      <c r="DD147" s="197">
        <f t="shared" si="422"/>
        <v>-5229.0945199999996</v>
      </c>
      <c r="DE147" s="196">
        <f t="shared" si="423"/>
        <v>0</v>
      </c>
      <c r="DF147" s="197">
        <f t="shared" si="424"/>
        <v>331.36800796839958</v>
      </c>
      <c r="DG147" s="197">
        <f t="shared" si="425"/>
        <v>4005.2604568083511</v>
      </c>
      <c r="DH147" s="197">
        <f t="shared" si="426"/>
        <v>-4005.2604568083511</v>
      </c>
      <c r="DI147" s="197">
        <f t="shared" si="427"/>
        <v>-3673.8924488399512</v>
      </c>
      <c r="DJ147" s="196">
        <f t="shared" si="428"/>
        <v>0</v>
      </c>
      <c r="DK147" s="197">
        <f t="shared" si="429"/>
        <v>3978.4398007900049</v>
      </c>
      <c r="DL147" s="197">
        <f t="shared" si="430"/>
        <v>48087.586099791166</v>
      </c>
      <c r="DM147" s="197">
        <f t="shared" si="431"/>
        <v>-48087.586099791166</v>
      </c>
      <c r="DN147" s="199">
        <f t="shared" si="432"/>
        <v>-44109.146299001157</v>
      </c>
    </row>
    <row r="148" spans="2:118" x14ac:dyDescent="0.3">
      <c r="B148" s="895">
        <v>11</v>
      </c>
      <c r="C148" s="906">
        <f>'Arable Inputs'!$H$18</f>
        <v>12</v>
      </c>
      <c r="D148" s="757">
        <f>'Arable Inputs'!$H$25*$E$134</f>
        <v>724</v>
      </c>
      <c r="E148" s="759">
        <f t="shared" si="368"/>
        <v>8688</v>
      </c>
      <c r="F148" s="197">
        <f>'Arable NPV'!$D127</f>
        <v>471.64</v>
      </c>
      <c r="G148" s="197">
        <f t="shared" si="433"/>
        <v>9159.64</v>
      </c>
      <c r="H148" s="197">
        <f>'Arable NPV'!$F127</f>
        <v>2474.37212</v>
      </c>
      <c r="I148" s="197">
        <f>'Arable NPV'!$G127</f>
        <v>3226.3624</v>
      </c>
      <c r="J148" s="197">
        <f t="shared" si="434"/>
        <v>5700.73452</v>
      </c>
      <c r="K148" s="197">
        <f t="shared" si="369"/>
        <v>2987.26548</v>
      </c>
      <c r="L148" s="197">
        <f t="shared" si="370"/>
        <v>3458.9054799999994</v>
      </c>
      <c r="M148" s="196">
        <f t="shared" si="371"/>
        <v>5869.3014987585375</v>
      </c>
      <c r="N148" s="197">
        <f t="shared" si="372"/>
        <v>318.62308458499962</v>
      </c>
      <c r="O148" s="197">
        <f t="shared" si="373"/>
        <v>3851.2119777003377</v>
      </c>
      <c r="P148" s="197">
        <f t="shared" si="374"/>
        <v>2018.0895210582003</v>
      </c>
      <c r="Q148" s="197">
        <f t="shared" si="375"/>
        <v>2336.7126056431994</v>
      </c>
      <c r="R148" s="196">
        <f t="shared" si="376"/>
        <v>79155.462531036479</v>
      </c>
      <c r="S148" s="197">
        <f t="shared" si="377"/>
        <v>4297.062885375005</v>
      </c>
      <c r="T148" s="197">
        <f t="shared" si="378"/>
        <v>51938.798077491505</v>
      </c>
      <c r="U148" s="197">
        <f t="shared" si="379"/>
        <v>27216.664453544967</v>
      </c>
      <c r="V148" s="199">
        <f t="shared" si="380"/>
        <v>31513.727338919962</v>
      </c>
      <c r="Z148" s="895">
        <v>11</v>
      </c>
      <c r="AA148" s="906">
        <f>'Arable Inputs'!$H$18</f>
        <v>12</v>
      </c>
      <c r="AB148" s="757">
        <f>'Arable Inputs'!$H$25*$AC$134</f>
        <v>1086</v>
      </c>
      <c r="AC148" s="759">
        <f t="shared" si="381"/>
        <v>13032</v>
      </c>
      <c r="AD148" s="197">
        <f>'Arable NPV'!$D127</f>
        <v>471.64</v>
      </c>
      <c r="AE148" s="197">
        <f t="shared" si="435"/>
        <v>13503.64</v>
      </c>
      <c r="AF148" s="197">
        <f>'Arable NPV'!$F127</f>
        <v>2474.37212</v>
      </c>
      <c r="AG148" s="197">
        <f>'Arable NPV'!$G127</f>
        <v>3226.3624</v>
      </c>
      <c r="AH148" s="197">
        <f t="shared" si="436"/>
        <v>5700.73452</v>
      </c>
      <c r="AI148" s="197">
        <f t="shared" si="382"/>
        <v>7331.26548</v>
      </c>
      <c r="AJ148" s="197">
        <f t="shared" si="383"/>
        <v>7802.9054799999994</v>
      </c>
      <c r="AK148" s="196">
        <f t="shared" si="384"/>
        <v>8803.9522481378062</v>
      </c>
      <c r="AL148" s="197">
        <f t="shared" si="385"/>
        <v>318.62308458499962</v>
      </c>
      <c r="AM148" s="197">
        <f t="shared" si="386"/>
        <v>3851.2119777003377</v>
      </c>
      <c r="AN148" s="197">
        <f t="shared" si="387"/>
        <v>4952.740270437469</v>
      </c>
      <c r="AO148" s="197">
        <f t="shared" si="388"/>
        <v>5271.3633550224686</v>
      </c>
      <c r="AP148" s="196">
        <f t="shared" si="389"/>
        <v>118733.1937965547</v>
      </c>
      <c r="AQ148" s="197">
        <f t="shared" si="390"/>
        <v>4297.062885375005</v>
      </c>
      <c r="AR148" s="197">
        <f t="shared" si="391"/>
        <v>51938.798077491505</v>
      </c>
      <c r="AS148" s="197">
        <f t="shared" si="392"/>
        <v>66794.395719063206</v>
      </c>
      <c r="AT148" s="199">
        <f t="shared" si="393"/>
        <v>71091.458604438201</v>
      </c>
      <c r="AX148" s="895">
        <v>11</v>
      </c>
      <c r="AY148" s="906">
        <f>'Arable Inputs'!$H$18</f>
        <v>12</v>
      </c>
      <c r="AZ148" s="757">
        <f>'Arable Inputs'!$H$25*$BA$134</f>
        <v>362</v>
      </c>
      <c r="BA148" s="759">
        <f t="shared" si="394"/>
        <v>4344</v>
      </c>
      <c r="BB148" s="197">
        <f>'Arable NPV'!$D127</f>
        <v>471.64</v>
      </c>
      <c r="BC148" s="197">
        <f t="shared" si="437"/>
        <v>4815.6400000000003</v>
      </c>
      <c r="BD148" s="197">
        <f>'Arable NPV'!$F127</f>
        <v>2474.37212</v>
      </c>
      <c r="BE148" s="197">
        <f>'Arable NPV'!$G127</f>
        <v>3226.3624</v>
      </c>
      <c r="BF148" s="197">
        <f t="shared" si="438"/>
        <v>5700.73452</v>
      </c>
      <c r="BG148" s="197">
        <f t="shared" si="395"/>
        <v>-1356.73452</v>
      </c>
      <c r="BH148" s="197">
        <f t="shared" si="396"/>
        <v>-885.09451999999965</v>
      </c>
      <c r="BI148" s="196">
        <f t="shared" si="397"/>
        <v>2934.6507493792687</v>
      </c>
      <c r="BJ148" s="197">
        <f t="shared" si="398"/>
        <v>318.62308458499962</v>
      </c>
      <c r="BK148" s="197">
        <f t="shared" si="399"/>
        <v>3851.2119777003377</v>
      </c>
      <c r="BL148" s="197">
        <f t="shared" si="400"/>
        <v>-916.56122832106871</v>
      </c>
      <c r="BM148" s="197">
        <f t="shared" si="401"/>
        <v>-597.93814373606892</v>
      </c>
      <c r="BN148" s="196">
        <f t="shared" si="402"/>
        <v>39577.73126551824</v>
      </c>
      <c r="BO148" s="197">
        <f t="shared" si="403"/>
        <v>4297.062885375005</v>
      </c>
      <c r="BP148" s="197">
        <f t="shared" si="404"/>
        <v>51938.798077491505</v>
      </c>
      <c r="BQ148" s="197">
        <f t="shared" si="405"/>
        <v>-12361.066811973269</v>
      </c>
      <c r="BR148" s="199">
        <f t="shared" si="406"/>
        <v>-8064.0039265982605</v>
      </c>
      <c r="BV148" s="895">
        <v>11</v>
      </c>
      <c r="BW148" s="906">
        <f>'Arable Inputs'!$H$18</f>
        <v>12</v>
      </c>
      <c r="BX148" s="757">
        <f>'Arable Inputs'!$H$25*$BY$134</f>
        <v>1448</v>
      </c>
      <c r="BY148" s="759">
        <f t="shared" si="407"/>
        <v>17376</v>
      </c>
      <c r="BZ148" s="197">
        <f>'Arable NPV'!$D127</f>
        <v>471.64</v>
      </c>
      <c r="CA148" s="197">
        <f t="shared" si="439"/>
        <v>17847.64</v>
      </c>
      <c r="CB148" s="197">
        <f>'Arable NPV'!$F127</f>
        <v>2474.37212</v>
      </c>
      <c r="CC148" s="197">
        <f>'Arable NPV'!$G127</f>
        <v>3226.3624</v>
      </c>
      <c r="CD148" s="197">
        <f t="shared" si="440"/>
        <v>5700.73452</v>
      </c>
      <c r="CE148" s="197">
        <f t="shared" si="408"/>
        <v>11675.26548</v>
      </c>
      <c r="CF148" s="197">
        <f t="shared" si="409"/>
        <v>12146.905479999999</v>
      </c>
      <c r="CG148" s="196">
        <f t="shared" si="410"/>
        <v>11738.602997517075</v>
      </c>
      <c r="CH148" s="197">
        <f t="shared" si="411"/>
        <v>318.62308458499962</v>
      </c>
      <c r="CI148" s="197">
        <f t="shared" si="412"/>
        <v>3851.2119777003377</v>
      </c>
      <c r="CJ148" s="197">
        <f t="shared" si="413"/>
        <v>7887.3910198167378</v>
      </c>
      <c r="CK148" s="197">
        <f t="shared" si="414"/>
        <v>8206.0141044017364</v>
      </c>
      <c r="CL148" s="196">
        <f t="shared" si="415"/>
        <v>158310.92506207296</v>
      </c>
      <c r="CM148" s="197">
        <f t="shared" si="416"/>
        <v>4297.062885375005</v>
      </c>
      <c r="CN148" s="197">
        <f t="shared" si="417"/>
        <v>51938.798077491505</v>
      </c>
      <c r="CO148" s="197">
        <f t="shared" si="418"/>
        <v>106372.12698458144</v>
      </c>
      <c r="CP148" s="199">
        <f t="shared" si="419"/>
        <v>110669.18986995645</v>
      </c>
      <c r="CT148" s="895">
        <v>11</v>
      </c>
      <c r="CU148" s="906">
        <f>'Arable Inputs'!$H$18</f>
        <v>12</v>
      </c>
      <c r="CV148" s="757">
        <f>'Arable Inputs'!$H$25*$CW$134</f>
        <v>0</v>
      </c>
      <c r="CW148" s="759">
        <f t="shared" si="420"/>
        <v>0</v>
      </c>
      <c r="CX148" s="197">
        <f>'Arable NPV'!$D127</f>
        <v>471.64</v>
      </c>
      <c r="CY148" s="197">
        <f t="shared" si="441"/>
        <v>471.64</v>
      </c>
      <c r="CZ148" s="197">
        <f>'Arable NPV'!$F127</f>
        <v>2474.37212</v>
      </c>
      <c r="DA148" s="197">
        <f>'Arable NPV'!$G127</f>
        <v>3226.3624</v>
      </c>
      <c r="DB148" s="197">
        <f t="shared" si="442"/>
        <v>5700.73452</v>
      </c>
      <c r="DC148" s="197">
        <f t="shared" si="421"/>
        <v>-5700.73452</v>
      </c>
      <c r="DD148" s="197">
        <f t="shared" si="422"/>
        <v>-5229.0945199999996</v>
      </c>
      <c r="DE148" s="196">
        <f t="shared" si="423"/>
        <v>0</v>
      </c>
      <c r="DF148" s="197">
        <f t="shared" si="424"/>
        <v>318.62308458499962</v>
      </c>
      <c r="DG148" s="197">
        <f t="shared" si="425"/>
        <v>3851.2119777003377</v>
      </c>
      <c r="DH148" s="197">
        <f t="shared" si="426"/>
        <v>-3851.2119777003377</v>
      </c>
      <c r="DI148" s="197">
        <f t="shared" si="427"/>
        <v>-3532.5888931153377</v>
      </c>
      <c r="DJ148" s="196">
        <f t="shared" si="428"/>
        <v>0</v>
      </c>
      <c r="DK148" s="197">
        <f t="shared" si="429"/>
        <v>4297.062885375005</v>
      </c>
      <c r="DL148" s="197">
        <f t="shared" si="430"/>
        <v>51938.798077491505</v>
      </c>
      <c r="DM148" s="197">
        <f t="shared" si="431"/>
        <v>-51938.798077491505</v>
      </c>
      <c r="DN148" s="199">
        <f t="shared" si="432"/>
        <v>-47641.735192116495</v>
      </c>
    </row>
    <row r="149" spans="2:118" x14ac:dyDescent="0.3">
      <c r="B149" s="895">
        <v>12</v>
      </c>
      <c r="C149" s="906">
        <f>'Arable Inputs'!$H$18</f>
        <v>12</v>
      </c>
      <c r="D149" s="757">
        <f>'Arable Inputs'!$H$25*$E$134</f>
        <v>724</v>
      </c>
      <c r="E149" s="759">
        <f t="shared" si="368"/>
        <v>8688</v>
      </c>
      <c r="F149" s="197">
        <f>'Arable NPV'!$D128</f>
        <v>471.64</v>
      </c>
      <c r="G149" s="197">
        <f t="shared" si="433"/>
        <v>9159.64</v>
      </c>
      <c r="H149" s="197">
        <f>'Arable NPV'!$F128</f>
        <v>2474.37212</v>
      </c>
      <c r="I149" s="197">
        <f>'Arable NPV'!$G128</f>
        <v>3226.3624</v>
      </c>
      <c r="J149" s="197">
        <f t="shared" si="434"/>
        <v>5700.73452</v>
      </c>
      <c r="K149" s="197">
        <f t="shared" si="369"/>
        <v>2987.26548</v>
      </c>
      <c r="L149" s="197">
        <f t="shared" si="370"/>
        <v>3458.9054799999994</v>
      </c>
      <c r="M149" s="196">
        <f t="shared" si="371"/>
        <v>5643.5591334216715</v>
      </c>
      <c r="N149" s="197">
        <f t="shared" si="372"/>
        <v>306.36835056249964</v>
      </c>
      <c r="O149" s="197">
        <f t="shared" si="373"/>
        <v>3703.0884400964787</v>
      </c>
      <c r="P149" s="197">
        <f t="shared" si="374"/>
        <v>1940.4706933251925</v>
      </c>
      <c r="Q149" s="197">
        <f t="shared" si="375"/>
        <v>2246.8390438876918</v>
      </c>
      <c r="R149" s="196">
        <f t="shared" si="376"/>
        <v>84799.021664458152</v>
      </c>
      <c r="S149" s="197">
        <f t="shared" si="377"/>
        <v>4603.4312359375044</v>
      </c>
      <c r="T149" s="197">
        <f t="shared" si="378"/>
        <v>55641.886517587984</v>
      </c>
      <c r="U149" s="197">
        <f t="shared" si="379"/>
        <v>29157.135146870158</v>
      </c>
      <c r="V149" s="199">
        <f t="shared" si="380"/>
        <v>33760.56638280765</v>
      </c>
      <c r="Z149" s="895">
        <v>12</v>
      </c>
      <c r="AA149" s="906">
        <f>'Arable Inputs'!$H$18</f>
        <v>12</v>
      </c>
      <c r="AB149" s="757">
        <f>'Arable Inputs'!$H$25*$AC$134</f>
        <v>1086</v>
      </c>
      <c r="AC149" s="759">
        <f t="shared" si="381"/>
        <v>13032</v>
      </c>
      <c r="AD149" s="197">
        <f>'Arable NPV'!$D128</f>
        <v>471.64</v>
      </c>
      <c r="AE149" s="197">
        <f t="shared" si="435"/>
        <v>13503.64</v>
      </c>
      <c r="AF149" s="197">
        <f>'Arable NPV'!$F128</f>
        <v>2474.37212</v>
      </c>
      <c r="AG149" s="197">
        <f>'Arable NPV'!$G128</f>
        <v>3226.3624</v>
      </c>
      <c r="AH149" s="197">
        <f t="shared" si="436"/>
        <v>5700.73452</v>
      </c>
      <c r="AI149" s="197">
        <f t="shared" si="382"/>
        <v>7331.26548</v>
      </c>
      <c r="AJ149" s="197">
        <f t="shared" si="383"/>
        <v>7802.9054799999994</v>
      </c>
      <c r="AK149" s="196">
        <f t="shared" si="384"/>
        <v>8465.3387001325063</v>
      </c>
      <c r="AL149" s="197">
        <f t="shared" si="385"/>
        <v>306.36835056249964</v>
      </c>
      <c r="AM149" s="197">
        <f t="shared" si="386"/>
        <v>3703.0884400964787</v>
      </c>
      <c r="AN149" s="197">
        <f t="shared" si="387"/>
        <v>4762.2502600360285</v>
      </c>
      <c r="AO149" s="197">
        <f t="shared" si="388"/>
        <v>5068.618610598528</v>
      </c>
      <c r="AP149" s="196">
        <f t="shared" si="389"/>
        <v>127198.5324966872</v>
      </c>
      <c r="AQ149" s="197">
        <f t="shared" si="390"/>
        <v>4603.4312359375044</v>
      </c>
      <c r="AR149" s="197">
        <f t="shared" si="391"/>
        <v>55641.886517587984</v>
      </c>
      <c r="AS149" s="197">
        <f t="shared" si="392"/>
        <v>71556.645979099238</v>
      </c>
      <c r="AT149" s="199">
        <f t="shared" si="393"/>
        <v>76160.077215036727</v>
      </c>
      <c r="AX149" s="895">
        <v>12</v>
      </c>
      <c r="AY149" s="906">
        <f>'Arable Inputs'!$H$18</f>
        <v>12</v>
      </c>
      <c r="AZ149" s="757">
        <f>'Arable Inputs'!$H$25*$BA$134</f>
        <v>362</v>
      </c>
      <c r="BA149" s="759">
        <f t="shared" si="394"/>
        <v>4344</v>
      </c>
      <c r="BB149" s="197">
        <f>'Arable NPV'!$D128</f>
        <v>471.64</v>
      </c>
      <c r="BC149" s="197">
        <f t="shared" si="437"/>
        <v>4815.6400000000003</v>
      </c>
      <c r="BD149" s="197">
        <f>'Arable NPV'!$F128</f>
        <v>2474.37212</v>
      </c>
      <c r="BE149" s="197">
        <f>'Arable NPV'!$G128</f>
        <v>3226.3624</v>
      </c>
      <c r="BF149" s="197">
        <f t="shared" si="438"/>
        <v>5700.73452</v>
      </c>
      <c r="BG149" s="197">
        <f t="shared" si="395"/>
        <v>-1356.73452</v>
      </c>
      <c r="BH149" s="197">
        <f t="shared" si="396"/>
        <v>-885.09451999999965</v>
      </c>
      <c r="BI149" s="196">
        <f t="shared" si="397"/>
        <v>2821.7795667108358</v>
      </c>
      <c r="BJ149" s="197">
        <f t="shared" si="398"/>
        <v>306.36835056249964</v>
      </c>
      <c r="BK149" s="197">
        <f t="shared" si="399"/>
        <v>3703.0884400964787</v>
      </c>
      <c r="BL149" s="197">
        <f t="shared" si="400"/>
        <v>-881.3088733856431</v>
      </c>
      <c r="BM149" s="197">
        <f t="shared" si="401"/>
        <v>-574.94052282314317</v>
      </c>
      <c r="BN149" s="196">
        <f t="shared" si="402"/>
        <v>42399.510832229076</v>
      </c>
      <c r="BO149" s="197">
        <f t="shared" si="403"/>
        <v>4603.4312359375044</v>
      </c>
      <c r="BP149" s="197">
        <f t="shared" si="404"/>
        <v>55641.886517587984</v>
      </c>
      <c r="BQ149" s="197">
        <f t="shared" si="405"/>
        <v>-13242.375685358913</v>
      </c>
      <c r="BR149" s="199">
        <f t="shared" si="406"/>
        <v>-8638.944449421404</v>
      </c>
      <c r="BV149" s="895">
        <v>12</v>
      </c>
      <c r="BW149" s="906">
        <f>'Arable Inputs'!$H$18</f>
        <v>12</v>
      </c>
      <c r="BX149" s="757">
        <f>'Arable Inputs'!$H$25*$BY$134</f>
        <v>1448</v>
      </c>
      <c r="BY149" s="759">
        <f t="shared" si="407"/>
        <v>17376</v>
      </c>
      <c r="BZ149" s="197">
        <f>'Arable NPV'!$D128</f>
        <v>471.64</v>
      </c>
      <c r="CA149" s="197">
        <f t="shared" si="439"/>
        <v>17847.64</v>
      </c>
      <c r="CB149" s="197">
        <f>'Arable NPV'!$F128</f>
        <v>2474.37212</v>
      </c>
      <c r="CC149" s="197">
        <f>'Arable NPV'!$G128</f>
        <v>3226.3624</v>
      </c>
      <c r="CD149" s="197">
        <f t="shared" si="440"/>
        <v>5700.73452</v>
      </c>
      <c r="CE149" s="197">
        <f t="shared" si="408"/>
        <v>11675.26548</v>
      </c>
      <c r="CF149" s="197">
        <f t="shared" si="409"/>
        <v>12146.905479999999</v>
      </c>
      <c r="CG149" s="196">
        <f t="shared" si="410"/>
        <v>11287.118266843343</v>
      </c>
      <c r="CH149" s="197">
        <f t="shared" si="411"/>
        <v>306.36835056249964</v>
      </c>
      <c r="CI149" s="197">
        <f t="shared" si="412"/>
        <v>3703.0884400964787</v>
      </c>
      <c r="CJ149" s="197">
        <f t="shared" si="413"/>
        <v>7584.0298267468643</v>
      </c>
      <c r="CK149" s="197">
        <f t="shared" si="414"/>
        <v>7890.3981773093637</v>
      </c>
      <c r="CL149" s="196">
        <f t="shared" si="415"/>
        <v>169598.0433289163</v>
      </c>
      <c r="CM149" s="197">
        <f t="shared" si="416"/>
        <v>4603.4312359375044</v>
      </c>
      <c r="CN149" s="197">
        <f t="shared" si="417"/>
        <v>55641.886517587984</v>
      </c>
      <c r="CO149" s="197">
        <f t="shared" si="418"/>
        <v>113956.1568113283</v>
      </c>
      <c r="CP149" s="199">
        <f t="shared" si="419"/>
        <v>118559.58804726582</v>
      </c>
      <c r="CT149" s="895">
        <v>12</v>
      </c>
      <c r="CU149" s="906">
        <f>'Arable Inputs'!$H$18</f>
        <v>12</v>
      </c>
      <c r="CV149" s="757">
        <f>'Arable Inputs'!$H$25*$CW$134</f>
        <v>0</v>
      </c>
      <c r="CW149" s="759">
        <f t="shared" si="420"/>
        <v>0</v>
      </c>
      <c r="CX149" s="197">
        <f>'Arable NPV'!$D128</f>
        <v>471.64</v>
      </c>
      <c r="CY149" s="197">
        <f t="shared" si="441"/>
        <v>471.64</v>
      </c>
      <c r="CZ149" s="197">
        <f>'Arable NPV'!$F128</f>
        <v>2474.37212</v>
      </c>
      <c r="DA149" s="197">
        <f>'Arable NPV'!$G128</f>
        <v>3226.3624</v>
      </c>
      <c r="DB149" s="197">
        <f t="shared" si="442"/>
        <v>5700.73452</v>
      </c>
      <c r="DC149" s="197">
        <f t="shared" si="421"/>
        <v>-5700.73452</v>
      </c>
      <c r="DD149" s="197">
        <f t="shared" si="422"/>
        <v>-5229.0945199999996</v>
      </c>
      <c r="DE149" s="196">
        <f t="shared" si="423"/>
        <v>0</v>
      </c>
      <c r="DF149" s="197">
        <f t="shared" si="424"/>
        <v>306.36835056249964</v>
      </c>
      <c r="DG149" s="197">
        <f t="shared" si="425"/>
        <v>3703.0884400964787</v>
      </c>
      <c r="DH149" s="197">
        <f t="shared" si="426"/>
        <v>-3703.0884400964787</v>
      </c>
      <c r="DI149" s="197">
        <f t="shared" si="427"/>
        <v>-3396.7200895339788</v>
      </c>
      <c r="DJ149" s="196">
        <f t="shared" si="428"/>
        <v>0</v>
      </c>
      <c r="DK149" s="197">
        <f t="shared" si="429"/>
        <v>4603.4312359375044</v>
      </c>
      <c r="DL149" s="197">
        <f t="shared" si="430"/>
        <v>55641.886517587984</v>
      </c>
      <c r="DM149" s="197">
        <f t="shared" si="431"/>
        <v>-55641.886517587984</v>
      </c>
      <c r="DN149" s="199">
        <f t="shared" si="432"/>
        <v>-51038.455281650473</v>
      </c>
    </row>
    <row r="150" spans="2:118" x14ac:dyDescent="0.3">
      <c r="B150" s="895">
        <v>13</v>
      </c>
      <c r="C150" s="906">
        <f>'Arable Inputs'!$H$18</f>
        <v>12</v>
      </c>
      <c r="D150" s="757">
        <f>'Arable Inputs'!$H$25*$E$134</f>
        <v>724</v>
      </c>
      <c r="E150" s="759">
        <f t="shared" si="368"/>
        <v>8688</v>
      </c>
      <c r="F150" s="197">
        <f>'Arable NPV'!$D129</f>
        <v>471.64</v>
      </c>
      <c r="G150" s="197">
        <f t="shared" si="433"/>
        <v>9159.64</v>
      </c>
      <c r="H150" s="197">
        <f>'Arable NPV'!$F129</f>
        <v>2474.37212</v>
      </c>
      <c r="I150" s="197">
        <f>'Arable NPV'!$G129</f>
        <v>3226.3624</v>
      </c>
      <c r="J150" s="197">
        <f t="shared" si="434"/>
        <v>5700.73452</v>
      </c>
      <c r="K150" s="197">
        <f t="shared" si="369"/>
        <v>2987.26548</v>
      </c>
      <c r="L150" s="197">
        <f t="shared" si="370"/>
        <v>3458.9054799999994</v>
      </c>
      <c r="M150" s="196">
        <f t="shared" si="371"/>
        <v>5426.499166751606</v>
      </c>
      <c r="N150" s="197">
        <f t="shared" si="372"/>
        <v>294.58495246394193</v>
      </c>
      <c r="O150" s="197">
        <f t="shared" si="373"/>
        <v>3560.6619616312287</v>
      </c>
      <c r="P150" s="197">
        <f t="shared" si="374"/>
        <v>1865.8372051203771</v>
      </c>
      <c r="Q150" s="197">
        <f t="shared" si="375"/>
        <v>2160.4221575843185</v>
      </c>
      <c r="R150" s="196">
        <f t="shared" si="376"/>
        <v>90225.520831209753</v>
      </c>
      <c r="S150" s="197">
        <f t="shared" si="377"/>
        <v>4898.016188401446</v>
      </c>
      <c r="T150" s="197">
        <f t="shared" si="378"/>
        <v>59202.548479219215</v>
      </c>
      <c r="U150" s="197">
        <f t="shared" si="379"/>
        <v>31022.972351990535</v>
      </c>
      <c r="V150" s="199">
        <f t="shared" si="380"/>
        <v>35920.988540391969</v>
      </c>
      <c r="Z150" s="895">
        <v>13</v>
      </c>
      <c r="AA150" s="906">
        <f>'Arable Inputs'!$H$18</f>
        <v>12</v>
      </c>
      <c r="AB150" s="757">
        <f>'Arable Inputs'!$H$25*$AC$134</f>
        <v>1086</v>
      </c>
      <c r="AC150" s="759">
        <f t="shared" si="381"/>
        <v>13032</v>
      </c>
      <c r="AD150" s="197">
        <f>'Arable NPV'!$D129</f>
        <v>471.64</v>
      </c>
      <c r="AE150" s="197">
        <f t="shared" si="435"/>
        <v>13503.64</v>
      </c>
      <c r="AF150" s="197">
        <f>'Arable NPV'!$F129</f>
        <v>2474.37212</v>
      </c>
      <c r="AG150" s="197">
        <f>'Arable NPV'!$G129</f>
        <v>3226.3624</v>
      </c>
      <c r="AH150" s="197">
        <f t="shared" si="436"/>
        <v>5700.73452</v>
      </c>
      <c r="AI150" s="197">
        <f t="shared" si="382"/>
        <v>7331.26548</v>
      </c>
      <c r="AJ150" s="197">
        <f t="shared" si="383"/>
        <v>7802.9054799999994</v>
      </c>
      <c r="AK150" s="196">
        <f t="shared" si="384"/>
        <v>8139.748750127409</v>
      </c>
      <c r="AL150" s="197">
        <f t="shared" si="385"/>
        <v>294.58495246394193</v>
      </c>
      <c r="AM150" s="197">
        <f t="shared" si="386"/>
        <v>3560.6619616312287</v>
      </c>
      <c r="AN150" s="197">
        <f t="shared" si="387"/>
        <v>4579.0867884961799</v>
      </c>
      <c r="AO150" s="197">
        <f t="shared" si="388"/>
        <v>4873.6717409601215</v>
      </c>
      <c r="AP150" s="196">
        <f t="shared" si="389"/>
        <v>135338.28124681461</v>
      </c>
      <c r="AQ150" s="197">
        <f t="shared" si="390"/>
        <v>4898.016188401446</v>
      </c>
      <c r="AR150" s="197">
        <f t="shared" si="391"/>
        <v>59202.548479219215</v>
      </c>
      <c r="AS150" s="197">
        <f t="shared" si="392"/>
        <v>76135.732767595415</v>
      </c>
      <c r="AT150" s="199">
        <f t="shared" si="393"/>
        <v>81033.748955996853</v>
      </c>
      <c r="AX150" s="895">
        <v>13</v>
      </c>
      <c r="AY150" s="906">
        <f>'Arable Inputs'!$H$18</f>
        <v>12</v>
      </c>
      <c r="AZ150" s="757">
        <f>'Arable Inputs'!$H$25*$BA$134</f>
        <v>362</v>
      </c>
      <c r="BA150" s="759">
        <f t="shared" si="394"/>
        <v>4344</v>
      </c>
      <c r="BB150" s="197">
        <f>'Arable NPV'!$D129</f>
        <v>471.64</v>
      </c>
      <c r="BC150" s="197">
        <f t="shared" si="437"/>
        <v>4815.6400000000003</v>
      </c>
      <c r="BD150" s="197">
        <f>'Arable NPV'!$F129</f>
        <v>2474.37212</v>
      </c>
      <c r="BE150" s="197">
        <f>'Arable NPV'!$G129</f>
        <v>3226.3624</v>
      </c>
      <c r="BF150" s="197">
        <f t="shared" si="438"/>
        <v>5700.73452</v>
      </c>
      <c r="BG150" s="197">
        <f t="shared" si="395"/>
        <v>-1356.73452</v>
      </c>
      <c r="BH150" s="197">
        <f t="shared" si="396"/>
        <v>-885.09451999999965</v>
      </c>
      <c r="BI150" s="196">
        <f t="shared" si="397"/>
        <v>2713.249583375803</v>
      </c>
      <c r="BJ150" s="197">
        <f t="shared" si="398"/>
        <v>294.58495246394193</v>
      </c>
      <c r="BK150" s="197">
        <f t="shared" si="399"/>
        <v>3560.6619616312287</v>
      </c>
      <c r="BL150" s="197">
        <f t="shared" si="400"/>
        <v>-847.41237825542589</v>
      </c>
      <c r="BM150" s="197">
        <f t="shared" si="401"/>
        <v>-552.82742579148373</v>
      </c>
      <c r="BN150" s="196">
        <f t="shared" si="402"/>
        <v>45112.760415604876</v>
      </c>
      <c r="BO150" s="197">
        <f t="shared" si="403"/>
        <v>4898.016188401446</v>
      </c>
      <c r="BP150" s="197">
        <f t="shared" si="404"/>
        <v>59202.548479219215</v>
      </c>
      <c r="BQ150" s="197">
        <f t="shared" si="405"/>
        <v>-14089.788063614338</v>
      </c>
      <c r="BR150" s="199">
        <f t="shared" si="406"/>
        <v>-9191.7718752128876</v>
      </c>
      <c r="BV150" s="895">
        <v>13</v>
      </c>
      <c r="BW150" s="906">
        <f>'Arable Inputs'!$H$18</f>
        <v>12</v>
      </c>
      <c r="BX150" s="757">
        <f>'Arable Inputs'!$H$25*$BY$134</f>
        <v>1448</v>
      </c>
      <c r="BY150" s="759">
        <f t="shared" si="407"/>
        <v>17376</v>
      </c>
      <c r="BZ150" s="197">
        <f>'Arable NPV'!$D129</f>
        <v>471.64</v>
      </c>
      <c r="CA150" s="197">
        <f t="shared" si="439"/>
        <v>17847.64</v>
      </c>
      <c r="CB150" s="197">
        <f>'Arable NPV'!$F129</f>
        <v>2474.37212</v>
      </c>
      <c r="CC150" s="197">
        <f>'Arable NPV'!$G129</f>
        <v>3226.3624</v>
      </c>
      <c r="CD150" s="197">
        <f t="shared" si="440"/>
        <v>5700.73452</v>
      </c>
      <c r="CE150" s="197">
        <f t="shared" si="408"/>
        <v>11675.26548</v>
      </c>
      <c r="CF150" s="197">
        <f t="shared" si="409"/>
        <v>12146.905479999999</v>
      </c>
      <c r="CG150" s="196">
        <f t="shared" si="410"/>
        <v>10852.998333503212</v>
      </c>
      <c r="CH150" s="197">
        <f t="shared" si="411"/>
        <v>294.58495246394193</v>
      </c>
      <c r="CI150" s="197">
        <f t="shared" si="412"/>
        <v>3560.6619616312287</v>
      </c>
      <c r="CJ150" s="197">
        <f t="shared" si="413"/>
        <v>7292.3363718719829</v>
      </c>
      <c r="CK150" s="197">
        <f t="shared" si="414"/>
        <v>7586.9213243359245</v>
      </c>
      <c r="CL150" s="196">
        <f t="shared" si="415"/>
        <v>180451.04166241951</v>
      </c>
      <c r="CM150" s="197">
        <f t="shared" si="416"/>
        <v>4898.016188401446</v>
      </c>
      <c r="CN150" s="197">
        <f t="shared" si="417"/>
        <v>59202.548479219215</v>
      </c>
      <c r="CO150" s="197">
        <f t="shared" si="418"/>
        <v>121248.49318320028</v>
      </c>
      <c r="CP150" s="199">
        <f t="shared" si="419"/>
        <v>126146.50937160174</v>
      </c>
      <c r="CT150" s="895">
        <v>13</v>
      </c>
      <c r="CU150" s="906">
        <f>'Arable Inputs'!$H$18</f>
        <v>12</v>
      </c>
      <c r="CV150" s="757">
        <f>'Arable Inputs'!$H$25*$CW$134</f>
        <v>0</v>
      </c>
      <c r="CW150" s="759">
        <f t="shared" si="420"/>
        <v>0</v>
      </c>
      <c r="CX150" s="197">
        <f>'Arable NPV'!$D129</f>
        <v>471.64</v>
      </c>
      <c r="CY150" s="197">
        <f t="shared" si="441"/>
        <v>471.64</v>
      </c>
      <c r="CZ150" s="197">
        <f>'Arable NPV'!$F129</f>
        <v>2474.37212</v>
      </c>
      <c r="DA150" s="197">
        <f>'Arable NPV'!$G129</f>
        <v>3226.3624</v>
      </c>
      <c r="DB150" s="197">
        <f t="shared" si="442"/>
        <v>5700.73452</v>
      </c>
      <c r="DC150" s="197">
        <f t="shared" si="421"/>
        <v>-5700.73452</v>
      </c>
      <c r="DD150" s="197">
        <f t="shared" si="422"/>
        <v>-5229.0945199999996</v>
      </c>
      <c r="DE150" s="196">
        <f t="shared" si="423"/>
        <v>0</v>
      </c>
      <c r="DF150" s="197">
        <f t="shared" si="424"/>
        <v>294.58495246394193</v>
      </c>
      <c r="DG150" s="197">
        <f t="shared" si="425"/>
        <v>3560.6619616312287</v>
      </c>
      <c r="DH150" s="197">
        <f t="shared" si="426"/>
        <v>-3560.6619616312287</v>
      </c>
      <c r="DI150" s="197">
        <f t="shared" si="427"/>
        <v>-3266.0770091672866</v>
      </c>
      <c r="DJ150" s="196">
        <f t="shared" si="428"/>
        <v>0</v>
      </c>
      <c r="DK150" s="197">
        <f t="shared" si="429"/>
        <v>4898.016188401446</v>
      </c>
      <c r="DL150" s="197">
        <f t="shared" si="430"/>
        <v>59202.548479219215</v>
      </c>
      <c r="DM150" s="197">
        <f t="shared" si="431"/>
        <v>-59202.548479219215</v>
      </c>
      <c r="DN150" s="199">
        <f t="shared" si="432"/>
        <v>-54304.532290817762</v>
      </c>
    </row>
    <row r="151" spans="2:118" x14ac:dyDescent="0.3">
      <c r="B151" s="895">
        <v>14</v>
      </c>
      <c r="C151" s="906">
        <f>'Arable Inputs'!$H$18</f>
        <v>12</v>
      </c>
      <c r="D151" s="757">
        <f>'Arable Inputs'!$H$25*$E$134</f>
        <v>724</v>
      </c>
      <c r="E151" s="759">
        <f t="shared" si="368"/>
        <v>8688</v>
      </c>
      <c r="F151" s="197">
        <f>'Arable NPV'!$D130</f>
        <v>471.64</v>
      </c>
      <c r="G151" s="197">
        <f t="shared" si="433"/>
        <v>9159.64</v>
      </c>
      <c r="H151" s="197">
        <f>'Arable NPV'!$F130</f>
        <v>2474.37212</v>
      </c>
      <c r="I151" s="197">
        <f>'Arable NPV'!$G130</f>
        <v>3226.3624</v>
      </c>
      <c r="J151" s="197">
        <f t="shared" si="434"/>
        <v>5700.73452</v>
      </c>
      <c r="K151" s="197">
        <f t="shared" si="369"/>
        <v>2987.26548</v>
      </c>
      <c r="L151" s="197">
        <f t="shared" si="370"/>
        <v>3458.9054799999994</v>
      </c>
      <c r="M151" s="196">
        <f t="shared" si="371"/>
        <v>5217.7876603380828</v>
      </c>
      <c r="N151" s="197">
        <f t="shared" si="372"/>
        <v>283.25476198455954</v>
      </c>
      <c r="O151" s="197">
        <f t="shared" si="373"/>
        <v>3423.713424645412</v>
      </c>
      <c r="P151" s="197">
        <f t="shared" si="374"/>
        <v>1794.0742356926703</v>
      </c>
      <c r="Q151" s="197">
        <f t="shared" si="375"/>
        <v>2077.3289976772294</v>
      </c>
      <c r="R151" s="196">
        <f t="shared" si="376"/>
        <v>95443.308491547839</v>
      </c>
      <c r="S151" s="197">
        <f t="shared" si="377"/>
        <v>5181.270950386006</v>
      </c>
      <c r="T151" s="197">
        <f t="shared" si="378"/>
        <v>62626.26190386463</v>
      </c>
      <c r="U151" s="197">
        <f t="shared" si="379"/>
        <v>32817.046587683202</v>
      </c>
      <c r="V151" s="199">
        <f t="shared" si="380"/>
        <v>37998.317538069197</v>
      </c>
      <c r="Z151" s="895">
        <v>14</v>
      </c>
      <c r="AA151" s="906">
        <f>'Arable Inputs'!$H$18</f>
        <v>12</v>
      </c>
      <c r="AB151" s="757">
        <f>'Arable Inputs'!$H$25*$AC$134</f>
        <v>1086</v>
      </c>
      <c r="AC151" s="759">
        <f t="shared" si="381"/>
        <v>13032</v>
      </c>
      <c r="AD151" s="197">
        <f>'Arable NPV'!$D130</f>
        <v>471.64</v>
      </c>
      <c r="AE151" s="197">
        <f t="shared" si="435"/>
        <v>13503.64</v>
      </c>
      <c r="AF151" s="197">
        <f>'Arable NPV'!$F130</f>
        <v>2474.37212</v>
      </c>
      <c r="AG151" s="197">
        <f>'Arable NPV'!$G130</f>
        <v>3226.3624</v>
      </c>
      <c r="AH151" s="197">
        <f t="shared" si="436"/>
        <v>5700.73452</v>
      </c>
      <c r="AI151" s="197">
        <f t="shared" si="382"/>
        <v>7331.26548</v>
      </c>
      <c r="AJ151" s="197">
        <f t="shared" si="383"/>
        <v>7802.9054799999994</v>
      </c>
      <c r="AK151" s="196">
        <f t="shared" si="384"/>
        <v>7826.6814905071242</v>
      </c>
      <c r="AL151" s="197">
        <f t="shared" si="385"/>
        <v>283.25476198455954</v>
      </c>
      <c r="AM151" s="197">
        <f t="shared" si="386"/>
        <v>3423.713424645412</v>
      </c>
      <c r="AN151" s="197">
        <f t="shared" si="387"/>
        <v>4402.9680658617117</v>
      </c>
      <c r="AO151" s="197">
        <f t="shared" si="388"/>
        <v>4686.2228278462708</v>
      </c>
      <c r="AP151" s="196">
        <f t="shared" si="389"/>
        <v>143164.96273732174</v>
      </c>
      <c r="AQ151" s="197">
        <f t="shared" si="390"/>
        <v>5181.270950386006</v>
      </c>
      <c r="AR151" s="197">
        <f t="shared" si="391"/>
        <v>62626.26190386463</v>
      </c>
      <c r="AS151" s="197">
        <f t="shared" si="392"/>
        <v>80538.700833457129</v>
      </c>
      <c r="AT151" s="199">
        <f t="shared" si="393"/>
        <v>85719.971783843124</v>
      </c>
      <c r="AX151" s="895">
        <v>14</v>
      </c>
      <c r="AY151" s="906">
        <f>'Arable Inputs'!$H$18</f>
        <v>12</v>
      </c>
      <c r="AZ151" s="757">
        <f>'Arable Inputs'!$H$25*$BA$134</f>
        <v>362</v>
      </c>
      <c r="BA151" s="759">
        <f t="shared" si="394"/>
        <v>4344</v>
      </c>
      <c r="BB151" s="197">
        <f>'Arable NPV'!$D130</f>
        <v>471.64</v>
      </c>
      <c r="BC151" s="197">
        <f t="shared" si="437"/>
        <v>4815.6400000000003</v>
      </c>
      <c r="BD151" s="197">
        <f>'Arable NPV'!$F130</f>
        <v>2474.37212</v>
      </c>
      <c r="BE151" s="197">
        <f>'Arable NPV'!$G130</f>
        <v>3226.3624</v>
      </c>
      <c r="BF151" s="197">
        <f t="shared" si="438"/>
        <v>5700.73452</v>
      </c>
      <c r="BG151" s="197">
        <f t="shared" si="395"/>
        <v>-1356.73452</v>
      </c>
      <c r="BH151" s="197">
        <f t="shared" si="396"/>
        <v>-885.09451999999965</v>
      </c>
      <c r="BI151" s="196">
        <f t="shared" si="397"/>
        <v>2608.8938301690414</v>
      </c>
      <c r="BJ151" s="197">
        <f t="shared" si="398"/>
        <v>283.25476198455954</v>
      </c>
      <c r="BK151" s="197">
        <f t="shared" si="399"/>
        <v>3423.713424645412</v>
      </c>
      <c r="BL151" s="197">
        <f t="shared" si="400"/>
        <v>-814.81959447637098</v>
      </c>
      <c r="BM151" s="197">
        <f t="shared" si="401"/>
        <v>-531.56483249181122</v>
      </c>
      <c r="BN151" s="196">
        <f t="shared" si="402"/>
        <v>47721.65424577392</v>
      </c>
      <c r="BO151" s="197">
        <f t="shared" si="403"/>
        <v>5181.270950386006</v>
      </c>
      <c r="BP151" s="197">
        <f t="shared" si="404"/>
        <v>62626.26190386463</v>
      </c>
      <c r="BQ151" s="197">
        <f t="shared" si="405"/>
        <v>-14904.607658090708</v>
      </c>
      <c r="BR151" s="199">
        <f t="shared" si="406"/>
        <v>-9723.3367077046987</v>
      </c>
      <c r="BV151" s="895">
        <v>14</v>
      </c>
      <c r="BW151" s="906">
        <f>'Arable Inputs'!$H$18</f>
        <v>12</v>
      </c>
      <c r="BX151" s="757">
        <f>'Arable Inputs'!$H$25*$BY$134</f>
        <v>1448</v>
      </c>
      <c r="BY151" s="759">
        <f t="shared" si="407"/>
        <v>17376</v>
      </c>
      <c r="BZ151" s="197">
        <f>'Arable NPV'!$D130</f>
        <v>471.64</v>
      </c>
      <c r="CA151" s="197">
        <f t="shared" si="439"/>
        <v>17847.64</v>
      </c>
      <c r="CB151" s="197">
        <f>'Arable NPV'!$F130</f>
        <v>2474.37212</v>
      </c>
      <c r="CC151" s="197">
        <f>'Arable NPV'!$G130</f>
        <v>3226.3624</v>
      </c>
      <c r="CD151" s="197">
        <f t="shared" si="440"/>
        <v>5700.73452</v>
      </c>
      <c r="CE151" s="197">
        <f t="shared" si="408"/>
        <v>11675.26548</v>
      </c>
      <c r="CF151" s="197">
        <f t="shared" si="409"/>
        <v>12146.905479999999</v>
      </c>
      <c r="CG151" s="196">
        <f t="shared" si="410"/>
        <v>10435.575320676166</v>
      </c>
      <c r="CH151" s="197">
        <f t="shared" si="411"/>
        <v>283.25476198455954</v>
      </c>
      <c r="CI151" s="197">
        <f t="shared" si="412"/>
        <v>3423.713424645412</v>
      </c>
      <c r="CJ151" s="197">
        <f t="shared" si="413"/>
        <v>7011.8618960307531</v>
      </c>
      <c r="CK151" s="197">
        <f t="shared" si="414"/>
        <v>7295.1166580153122</v>
      </c>
      <c r="CL151" s="196">
        <f t="shared" si="415"/>
        <v>190886.61698309568</v>
      </c>
      <c r="CM151" s="197">
        <f t="shared" si="416"/>
        <v>5181.270950386006</v>
      </c>
      <c r="CN151" s="197">
        <f t="shared" si="417"/>
        <v>62626.26190386463</v>
      </c>
      <c r="CO151" s="197">
        <f t="shared" si="418"/>
        <v>128260.35507923103</v>
      </c>
      <c r="CP151" s="199">
        <f t="shared" si="419"/>
        <v>133441.62602961707</v>
      </c>
      <c r="CT151" s="895">
        <v>14</v>
      </c>
      <c r="CU151" s="906">
        <f>'Arable Inputs'!$H$18</f>
        <v>12</v>
      </c>
      <c r="CV151" s="757">
        <f>'Arable Inputs'!$H$25*$CW$134</f>
        <v>0</v>
      </c>
      <c r="CW151" s="759">
        <f t="shared" si="420"/>
        <v>0</v>
      </c>
      <c r="CX151" s="197">
        <f>'Arable NPV'!$D130</f>
        <v>471.64</v>
      </c>
      <c r="CY151" s="197">
        <f t="shared" si="441"/>
        <v>471.64</v>
      </c>
      <c r="CZ151" s="197">
        <f>'Arable NPV'!$F130</f>
        <v>2474.37212</v>
      </c>
      <c r="DA151" s="197">
        <f>'Arable NPV'!$G130</f>
        <v>3226.3624</v>
      </c>
      <c r="DB151" s="197">
        <f t="shared" si="442"/>
        <v>5700.73452</v>
      </c>
      <c r="DC151" s="197">
        <f t="shared" si="421"/>
        <v>-5700.73452</v>
      </c>
      <c r="DD151" s="197">
        <f t="shared" si="422"/>
        <v>-5229.0945199999996</v>
      </c>
      <c r="DE151" s="196">
        <f t="shared" si="423"/>
        <v>0</v>
      </c>
      <c r="DF151" s="197">
        <f t="shared" si="424"/>
        <v>283.25476198455954</v>
      </c>
      <c r="DG151" s="197">
        <f t="shared" si="425"/>
        <v>3423.713424645412</v>
      </c>
      <c r="DH151" s="197">
        <f t="shared" si="426"/>
        <v>-3423.713424645412</v>
      </c>
      <c r="DI151" s="197">
        <f t="shared" si="427"/>
        <v>-3140.4586626608525</v>
      </c>
      <c r="DJ151" s="196">
        <f t="shared" si="428"/>
        <v>0</v>
      </c>
      <c r="DK151" s="197">
        <f t="shared" si="429"/>
        <v>5181.270950386006</v>
      </c>
      <c r="DL151" s="197">
        <f t="shared" si="430"/>
        <v>62626.26190386463</v>
      </c>
      <c r="DM151" s="197">
        <f t="shared" si="431"/>
        <v>-62626.26190386463</v>
      </c>
      <c r="DN151" s="199">
        <f t="shared" si="432"/>
        <v>-57444.990953478613</v>
      </c>
    </row>
    <row r="152" spans="2:118" x14ac:dyDescent="0.3">
      <c r="B152" s="895">
        <v>15</v>
      </c>
      <c r="C152" s="906">
        <f>'Arable Inputs'!$H$18</f>
        <v>12</v>
      </c>
      <c r="D152" s="757">
        <f>'Arable Inputs'!$H$25*$E$134</f>
        <v>724</v>
      </c>
      <c r="E152" s="759">
        <f t="shared" si="368"/>
        <v>8688</v>
      </c>
      <c r="F152" s="197">
        <f>'Arable NPV'!$D131</f>
        <v>471.64</v>
      </c>
      <c r="G152" s="197">
        <f t="shared" si="433"/>
        <v>9159.64</v>
      </c>
      <c r="H152" s="197">
        <f>'Arable NPV'!$F131</f>
        <v>2474.37212</v>
      </c>
      <c r="I152" s="197">
        <f>'Arable NPV'!$G131</f>
        <v>3226.3624</v>
      </c>
      <c r="J152" s="197">
        <f t="shared" si="434"/>
        <v>5700.73452</v>
      </c>
      <c r="K152" s="197">
        <f t="shared" si="369"/>
        <v>2987.26548</v>
      </c>
      <c r="L152" s="197">
        <f t="shared" si="370"/>
        <v>3458.9054799999994</v>
      </c>
      <c r="M152" s="196">
        <f t="shared" si="371"/>
        <v>5017.1035195558488</v>
      </c>
      <c r="N152" s="197">
        <f t="shared" si="372"/>
        <v>272.36034806207647</v>
      </c>
      <c r="O152" s="197">
        <f t="shared" si="373"/>
        <v>3292.0321390821273</v>
      </c>
      <c r="P152" s="197">
        <f t="shared" si="374"/>
        <v>1725.0713804737213</v>
      </c>
      <c r="Q152" s="197">
        <f t="shared" si="375"/>
        <v>1997.4317285357974</v>
      </c>
      <c r="R152" s="196">
        <f t="shared" si="376"/>
        <v>100460.41201110369</v>
      </c>
      <c r="S152" s="197">
        <f t="shared" si="377"/>
        <v>5453.6312984480828</v>
      </c>
      <c r="T152" s="197">
        <f t="shared" si="378"/>
        <v>65918.294042946756</v>
      </c>
      <c r="U152" s="197">
        <f t="shared" si="379"/>
        <v>34542.117968156927</v>
      </c>
      <c r="V152" s="199">
        <f t="shared" si="380"/>
        <v>39995.749266604995</v>
      </c>
      <c r="Z152" s="895">
        <v>15</v>
      </c>
      <c r="AA152" s="906">
        <f>'Arable Inputs'!$H$18</f>
        <v>12</v>
      </c>
      <c r="AB152" s="757">
        <f>'Arable Inputs'!$H$25*$AC$134</f>
        <v>1086</v>
      </c>
      <c r="AC152" s="759">
        <f t="shared" si="381"/>
        <v>13032</v>
      </c>
      <c r="AD152" s="197">
        <f>'Arable NPV'!$D131</f>
        <v>471.64</v>
      </c>
      <c r="AE152" s="197">
        <f t="shared" si="435"/>
        <v>13503.64</v>
      </c>
      <c r="AF152" s="197">
        <f>'Arable NPV'!$F131</f>
        <v>2474.37212</v>
      </c>
      <c r="AG152" s="197">
        <f>'Arable NPV'!$G131</f>
        <v>3226.3624</v>
      </c>
      <c r="AH152" s="197">
        <f t="shared" si="436"/>
        <v>5700.73452</v>
      </c>
      <c r="AI152" s="197">
        <f t="shared" si="382"/>
        <v>7331.26548</v>
      </c>
      <c r="AJ152" s="197">
        <f t="shared" si="383"/>
        <v>7802.9054799999994</v>
      </c>
      <c r="AK152" s="196">
        <f t="shared" si="384"/>
        <v>7525.6552793337733</v>
      </c>
      <c r="AL152" s="197">
        <f t="shared" si="385"/>
        <v>272.36034806207647</v>
      </c>
      <c r="AM152" s="197">
        <f t="shared" si="386"/>
        <v>3292.0321390821273</v>
      </c>
      <c r="AN152" s="197">
        <f t="shared" si="387"/>
        <v>4233.623140251646</v>
      </c>
      <c r="AO152" s="197">
        <f t="shared" si="388"/>
        <v>4505.9834883137219</v>
      </c>
      <c r="AP152" s="196">
        <f t="shared" si="389"/>
        <v>150690.6180166555</v>
      </c>
      <c r="AQ152" s="197">
        <f t="shared" si="390"/>
        <v>5453.6312984480828</v>
      </c>
      <c r="AR152" s="197">
        <f t="shared" si="391"/>
        <v>65918.294042946756</v>
      </c>
      <c r="AS152" s="197">
        <f t="shared" si="392"/>
        <v>84772.323973708772</v>
      </c>
      <c r="AT152" s="199">
        <f t="shared" si="393"/>
        <v>90225.955272156847</v>
      </c>
      <c r="AX152" s="895">
        <v>15</v>
      </c>
      <c r="AY152" s="906">
        <f>'Arable Inputs'!$H$18</f>
        <v>12</v>
      </c>
      <c r="AZ152" s="757">
        <f>'Arable Inputs'!$H$25*$BA$134</f>
        <v>362</v>
      </c>
      <c r="BA152" s="759">
        <f t="shared" si="394"/>
        <v>4344</v>
      </c>
      <c r="BB152" s="197">
        <f>'Arable NPV'!$D131</f>
        <v>471.64</v>
      </c>
      <c r="BC152" s="197">
        <f t="shared" si="437"/>
        <v>4815.6400000000003</v>
      </c>
      <c r="BD152" s="197">
        <f>'Arable NPV'!$F131</f>
        <v>2474.37212</v>
      </c>
      <c r="BE152" s="197">
        <f>'Arable NPV'!$G131</f>
        <v>3226.3624</v>
      </c>
      <c r="BF152" s="197">
        <f t="shared" si="438"/>
        <v>5700.73452</v>
      </c>
      <c r="BG152" s="197">
        <f t="shared" si="395"/>
        <v>-1356.73452</v>
      </c>
      <c r="BH152" s="197">
        <f t="shared" si="396"/>
        <v>-885.09451999999965</v>
      </c>
      <c r="BI152" s="196">
        <f t="shared" si="397"/>
        <v>2508.5517597779244</v>
      </c>
      <c r="BJ152" s="197">
        <f t="shared" si="398"/>
        <v>272.36034806207647</v>
      </c>
      <c r="BK152" s="197">
        <f t="shared" si="399"/>
        <v>3292.0321390821273</v>
      </c>
      <c r="BL152" s="197">
        <f t="shared" si="400"/>
        <v>-783.48037930420287</v>
      </c>
      <c r="BM152" s="197">
        <f t="shared" si="401"/>
        <v>-511.12003124212623</v>
      </c>
      <c r="BN152" s="196">
        <f t="shared" si="402"/>
        <v>50230.206005551845</v>
      </c>
      <c r="BO152" s="197">
        <f t="shared" si="403"/>
        <v>5453.6312984480828</v>
      </c>
      <c r="BP152" s="197">
        <f t="shared" si="404"/>
        <v>65918.294042946756</v>
      </c>
      <c r="BQ152" s="197">
        <f t="shared" si="405"/>
        <v>-15688.088037394911</v>
      </c>
      <c r="BR152" s="199">
        <f t="shared" si="406"/>
        <v>-10234.456738946825</v>
      </c>
      <c r="BV152" s="895">
        <v>15</v>
      </c>
      <c r="BW152" s="906">
        <f>'Arable Inputs'!$H$18</f>
        <v>12</v>
      </c>
      <c r="BX152" s="757">
        <f>'Arable Inputs'!$H$25*$BY$134</f>
        <v>1448</v>
      </c>
      <c r="BY152" s="759">
        <f t="shared" si="407"/>
        <v>17376</v>
      </c>
      <c r="BZ152" s="197">
        <f>'Arable NPV'!$D131</f>
        <v>471.64</v>
      </c>
      <c r="CA152" s="197">
        <f t="shared" si="439"/>
        <v>17847.64</v>
      </c>
      <c r="CB152" s="197">
        <f>'Arable NPV'!$F131</f>
        <v>2474.37212</v>
      </c>
      <c r="CC152" s="197">
        <f>'Arable NPV'!$G131</f>
        <v>3226.3624</v>
      </c>
      <c r="CD152" s="197">
        <f t="shared" si="440"/>
        <v>5700.73452</v>
      </c>
      <c r="CE152" s="197">
        <f t="shared" si="408"/>
        <v>11675.26548</v>
      </c>
      <c r="CF152" s="197">
        <f t="shared" si="409"/>
        <v>12146.905479999999</v>
      </c>
      <c r="CG152" s="196">
        <f t="shared" si="410"/>
        <v>10034.207039111698</v>
      </c>
      <c r="CH152" s="197">
        <f t="shared" si="411"/>
        <v>272.36034806207647</v>
      </c>
      <c r="CI152" s="197">
        <f t="shared" si="412"/>
        <v>3292.0321390821273</v>
      </c>
      <c r="CJ152" s="197">
        <f t="shared" si="413"/>
        <v>6742.1749000295704</v>
      </c>
      <c r="CK152" s="197">
        <f t="shared" si="414"/>
        <v>7014.5352480916463</v>
      </c>
      <c r="CL152" s="196">
        <f t="shared" si="415"/>
        <v>200920.82402220738</v>
      </c>
      <c r="CM152" s="197">
        <f t="shared" si="416"/>
        <v>5453.6312984480828</v>
      </c>
      <c r="CN152" s="197">
        <f t="shared" si="417"/>
        <v>65918.294042946756</v>
      </c>
      <c r="CO152" s="197">
        <f t="shared" si="418"/>
        <v>135002.52997926061</v>
      </c>
      <c r="CP152" s="199">
        <f t="shared" si="419"/>
        <v>140456.16127770871</v>
      </c>
      <c r="CT152" s="895">
        <v>15</v>
      </c>
      <c r="CU152" s="906">
        <f>'Arable Inputs'!$H$18</f>
        <v>12</v>
      </c>
      <c r="CV152" s="757">
        <f>'Arable Inputs'!$H$25*$CW$134</f>
        <v>0</v>
      </c>
      <c r="CW152" s="759">
        <f t="shared" si="420"/>
        <v>0</v>
      </c>
      <c r="CX152" s="197">
        <f>'Arable NPV'!$D131</f>
        <v>471.64</v>
      </c>
      <c r="CY152" s="197">
        <f t="shared" si="441"/>
        <v>471.64</v>
      </c>
      <c r="CZ152" s="197">
        <f>'Arable NPV'!$F131</f>
        <v>2474.37212</v>
      </c>
      <c r="DA152" s="197">
        <f>'Arable NPV'!$G131</f>
        <v>3226.3624</v>
      </c>
      <c r="DB152" s="197">
        <f t="shared" si="442"/>
        <v>5700.73452</v>
      </c>
      <c r="DC152" s="197">
        <f t="shared" si="421"/>
        <v>-5700.73452</v>
      </c>
      <c r="DD152" s="197">
        <f t="shared" si="422"/>
        <v>-5229.0945199999996</v>
      </c>
      <c r="DE152" s="196">
        <f t="shared" si="423"/>
        <v>0</v>
      </c>
      <c r="DF152" s="197">
        <f t="shared" si="424"/>
        <v>272.36034806207647</v>
      </c>
      <c r="DG152" s="197">
        <f t="shared" si="425"/>
        <v>3292.0321390821273</v>
      </c>
      <c r="DH152" s="197">
        <f t="shared" si="426"/>
        <v>-3292.0321390821273</v>
      </c>
      <c r="DI152" s="197">
        <f t="shared" si="427"/>
        <v>-3019.6717910200505</v>
      </c>
      <c r="DJ152" s="196">
        <f t="shared" si="428"/>
        <v>0</v>
      </c>
      <c r="DK152" s="197">
        <f t="shared" si="429"/>
        <v>5453.6312984480828</v>
      </c>
      <c r="DL152" s="197">
        <f t="shared" si="430"/>
        <v>65918.294042946756</v>
      </c>
      <c r="DM152" s="197">
        <f t="shared" si="431"/>
        <v>-65918.294042946756</v>
      </c>
      <c r="DN152" s="199">
        <f t="shared" si="432"/>
        <v>-60464.662744498666</v>
      </c>
    </row>
    <row r="153" spans="2:118" x14ac:dyDescent="0.3">
      <c r="B153" s="896">
        <v>16</v>
      </c>
      <c r="C153" s="907">
        <f>'Arable Inputs'!$H$18</f>
        <v>12</v>
      </c>
      <c r="D153" s="758">
        <f>'Arable Inputs'!$H$25*$E$134</f>
        <v>724</v>
      </c>
      <c r="E153" s="207">
        <f t="shared" si="368"/>
        <v>8688</v>
      </c>
      <c r="F153" s="207">
        <f>'Arable NPV'!$D132</f>
        <v>471.64</v>
      </c>
      <c r="G153" s="207">
        <f>E153+F153</f>
        <v>9159.64</v>
      </c>
      <c r="H153" s="207">
        <f>'Arable NPV'!$F132</f>
        <v>2474.37212</v>
      </c>
      <c r="I153" s="207">
        <f>'Arable NPV'!$G132</f>
        <v>3226.3624</v>
      </c>
      <c r="J153" s="207">
        <f t="shared" si="434"/>
        <v>5700.73452</v>
      </c>
      <c r="K153" s="207">
        <f t="shared" si="369"/>
        <v>2987.26548</v>
      </c>
      <c r="L153" s="207">
        <f t="shared" si="370"/>
        <v>3458.9054799999994</v>
      </c>
      <c r="M153" s="208">
        <f t="shared" si="371"/>
        <v>4824.1379995729312</v>
      </c>
      <c r="N153" s="207">
        <f t="shared" si="372"/>
        <v>261.88495005968895</v>
      </c>
      <c r="O153" s="207">
        <f t="shared" si="373"/>
        <v>3165.4155183481994</v>
      </c>
      <c r="P153" s="207">
        <f t="shared" si="374"/>
        <v>1658.7224812247321</v>
      </c>
      <c r="Q153" s="209">
        <f>L153/(1+$B$4)^(B153-1)</f>
        <v>1920.6074312844207</v>
      </c>
      <c r="R153" s="208">
        <f t="shared" si="376"/>
        <v>105284.55001067663</v>
      </c>
      <c r="S153" s="207">
        <f t="shared" si="377"/>
        <v>5715.5162485077717</v>
      </c>
      <c r="T153" s="207">
        <f t="shared" si="378"/>
        <v>69083.709561294949</v>
      </c>
      <c r="U153" s="207">
        <f t="shared" si="379"/>
        <v>36200.840449381656</v>
      </c>
      <c r="V153" s="209">
        <f t="shared" si="380"/>
        <v>41916.356697889416</v>
      </c>
      <c r="Z153" s="896">
        <v>16</v>
      </c>
      <c r="AA153" s="907">
        <f>'Arable Inputs'!$H$18</f>
        <v>12</v>
      </c>
      <c r="AB153" s="758">
        <f>'Arable Inputs'!$H$25*$AC$134</f>
        <v>1086</v>
      </c>
      <c r="AC153" s="207">
        <f t="shared" si="381"/>
        <v>13032</v>
      </c>
      <c r="AD153" s="207">
        <f>'Arable NPV'!$D132</f>
        <v>471.64</v>
      </c>
      <c r="AE153" s="207">
        <f>AC153+AD153</f>
        <v>13503.64</v>
      </c>
      <c r="AF153" s="207">
        <f>'Arable NPV'!$F132</f>
        <v>2474.37212</v>
      </c>
      <c r="AG153" s="207">
        <f>'Arable NPV'!$G132</f>
        <v>3226.3624</v>
      </c>
      <c r="AH153" s="207">
        <f t="shared" si="436"/>
        <v>5700.73452</v>
      </c>
      <c r="AI153" s="207">
        <f t="shared" si="382"/>
        <v>7331.26548</v>
      </c>
      <c r="AJ153" s="207">
        <f t="shared" si="383"/>
        <v>7802.9054799999994</v>
      </c>
      <c r="AK153" s="208">
        <f t="shared" si="384"/>
        <v>7236.2069993593968</v>
      </c>
      <c r="AL153" s="207">
        <f t="shared" si="385"/>
        <v>261.88495005968895</v>
      </c>
      <c r="AM153" s="207">
        <f t="shared" si="386"/>
        <v>3165.4155183481994</v>
      </c>
      <c r="AN153" s="207">
        <f t="shared" si="387"/>
        <v>4070.7914810111979</v>
      </c>
      <c r="AO153" s="209">
        <f>AJ153/(1+$B$4)^(Z153-1)</f>
        <v>4332.6764310708868</v>
      </c>
      <c r="AP153" s="208">
        <f t="shared" si="389"/>
        <v>157926.82501601489</v>
      </c>
      <c r="AQ153" s="207">
        <f t="shared" si="390"/>
        <v>5715.5162485077717</v>
      </c>
      <c r="AR153" s="207">
        <f t="shared" si="391"/>
        <v>69083.709561294949</v>
      </c>
      <c r="AS153" s="207">
        <f t="shared" si="392"/>
        <v>88843.115454719969</v>
      </c>
      <c r="AT153" s="209">
        <f t="shared" si="393"/>
        <v>94558.631703227729</v>
      </c>
      <c r="AX153" s="896">
        <v>16</v>
      </c>
      <c r="AY153" s="907">
        <f>'Arable Inputs'!$H$18</f>
        <v>12</v>
      </c>
      <c r="AZ153" s="758">
        <f>'Arable Inputs'!$H$25*$BA$134</f>
        <v>362</v>
      </c>
      <c r="BA153" s="207">
        <f t="shared" si="394"/>
        <v>4344</v>
      </c>
      <c r="BB153" s="207">
        <f>'Arable NPV'!$D132</f>
        <v>471.64</v>
      </c>
      <c r="BC153" s="207">
        <f>BA153+BB153</f>
        <v>4815.6400000000003</v>
      </c>
      <c r="BD153" s="207">
        <f>'Arable NPV'!$F132</f>
        <v>2474.37212</v>
      </c>
      <c r="BE153" s="207">
        <f>'Arable NPV'!$G132</f>
        <v>3226.3624</v>
      </c>
      <c r="BF153" s="207">
        <f t="shared" si="438"/>
        <v>5700.73452</v>
      </c>
      <c r="BG153" s="207">
        <f t="shared" si="395"/>
        <v>-1356.73452</v>
      </c>
      <c r="BH153" s="207">
        <f t="shared" si="396"/>
        <v>-885.09451999999965</v>
      </c>
      <c r="BI153" s="208">
        <f t="shared" si="397"/>
        <v>2412.0689997864656</v>
      </c>
      <c r="BJ153" s="207">
        <f t="shared" si="398"/>
        <v>261.88495005968895</v>
      </c>
      <c r="BK153" s="207">
        <f t="shared" si="399"/>
        <v>3165.4155183481994</v>
      </c>
      <c r="BL153" s="207">
        <f t="shared" si="400"/>
        <v>-753.34651856173355</v>
      </c>
      <c r="BM153" s="209">
        <f>BH153/(1+$B$4)^(AX153-1)</f>
        <v>-491.46156850204449</v>
      </c>
      <c r="BN153" s="208">
        <f t="shared" si="402"/>
        <v>52642.275005338313</v>
      </c>
      <c r="BO153" s="207">
        <f t="shared" si="403"/>
        <v>5715.5162485077717</v>
      </c>
      <c r="BP153" s="207">
        <f t="shared" si="404"/>
        <v>69083.709561294949</v>
      </c>
      <c r="BQ153" s="207">
        <f t="shared" si="405"/>
        <v>-16441.434555956646</v>
      </c>
      <c r="BR153" s="209">
        <f t="shared" si="406"/>
        <v>-10725.91830744887</v>
      </c>
      <c r="BV153" s="896">
        <v>16</v>
      </c>
      <c r="BW153" s="907">
        <f>'Arable Inputs'!$H$18</f>
        <v>12</v>
      </c>
      <c r="BX153" s="758">
        <f>'Arable Inputs'!$H$25*$BY$134</f>
        <v>1448</v>
      </c>
      <c r="BY153" s="207">
        <f t="shared" si="407"/>
        <v>17376</v>
      </c>
      <c r="BZ153" s="207">
        <f>'Arable NPV'!$D132</f>
        <v>471.64</v>
      </c>
      <c r="CA153" s="207">
        <f>BY153+BZ153</f>
        <v>17847.64</v>
      </c>
      <c r="CB153" s="207">
        <f>'Arable NPV'!$F132</f>
        <v>2474.37212</v>
      </c>
      <c r="CC153" s="207">
        <f>'Arable NPV'!$G132</f>
        <v>3226.3624</v>
      </c>
      <c r="CD153" s="207">
        <f t="shared" si="440"/>
        <v>5700.73452</v>
      </c>
      <c r="CE153" s="207">
        <f t="shared" si="408"/>
        <v>11675.26548</v>
      </c>
      <c r="CF153" s="207">
        <f t="shared" si="409"/>
        <v>12146.905479999999</v>
      </c>
      <c r="CG153" s="208">
        <f t="shared" si="410"/>
        <v>9648.2759991458624</v>
      </c>
      <c r="CH153" s="207">
        <f t="shared" si="411"/>
        <v>261.88495005968895</v>
      </c>
      <c r="CI153" s="207">
        <f t="shared" si="412"/>
        <v>3165.4155183481994</v>
      </c>
      <c r="CJ153" s="207">
        <f t="shared" si="413"/>
        <v>6482.8604807976635</v>
      </c>
      <c r="CK153" s="209">
        <f>CF153/(1+$B$4)^(BV153-1)</f>
        <v>6744.7454308573524</v>
      </c>
      <c r="CL153" s="208">
        <f t="shared" si="415"/>
        <v>210569.10002135325</v>
      </c>
      <c r="CM153" s="207">
        <f t="shared" si="416"/>
        <v>5715.5162485077717</v>
      </c>
      <c r="CN153" s="207">
        <f t="shared" si="417"/>
        <v>69083.709561294949</v>
      </c>
      <c r="CO153" s="207">
        <f t="shared" si="418"/>
        <v>141485.39046005826</v>
      </c>
      <c r="CP153" s="209">
        <f t="shared" si="419"/>
        <v>147200.90670856606</v>
      </c>
      <c r="CT153" s="896">
        <v>16</v>
      </c>
      <c r="CU153" s="907">
        <f>'Arable Inputs'!$H$18</f>
        <v>12</v>
      </c>
      <c r="CV153" s="758">
        <f>'Arable Inputs'!$H$25*$CW$134</f>
        <v>0</v>
      </c>
      <c r="CW153" s="207">
        <f t="shared" si="420"/>
        <v>0</v>
      </c>
      <c r="CX153" s="207">
        <f>'Arable NPV'!$D132</f>
        <v>471.64</v>
      </c>
      <c r="CY153" s="207">
        <f>CW153+CX153</f>
        <v>471.64</v>
      </c>
      <c r="CZ153" s="207">
        <f>'Arable NPV'!$F132</f>
        <v>2474.37212</v>
      </c>
      <c r="DA153" s="207">
        <f>'Arable NPV'!$G132</f>
        <v>3226.3624</v>
      </c>
      <c r="DB153" s="207">
        <f t="shared" si="442"/>
        <v>5700.73452</v>
      </c>
      <c r="DC153" s="207">
        <f t="shared" si="421"/>
        <v>-5700.73452</v>
      </c>
      <c r="DD153" s="207">
        <f t="shared" si="422"/>
        <v>-5229.0945199999996</v>
      </c>
      <c r="DE153" s="208">
        <f t="shared" si="423"/>
        <v>0</v>
      </c>
      <c r="DF153" s="207">
        <f t="shared" si="424"/>
        <v>261.88495005968895</v>
      </c>
      <c r="DG153" s="207">
        <f t="shared" si="425"/>
        <v>3165.4155183481994</v>
      </c>
      <c r="DH153" s="207">
        <f t="shared" si="426"/>
        <v>-3165.4155183481994</v>
      </c>
      <c r="DI153" s="209">
        <f>DD153/(1+$B$4)^(CT153-1)</f>
        <v>-2903.53056828851</v>
      </c>
      <c r="DJ153" s="208">
        <f t="shared" si="428"/>
        <v>0</v>
      </c>
      <c r="DK153" s="207">
        <f t="shared" si="429"/>
        <v>5715.5162485077717</v>
      </c>
      <c r="DL153" s="207">
        <f t="shared" si="430"/>
        <v>69083.709561294949</v>
      </c>
      <c r="DM153" s="207">
        <f t="shared" si="431"/>
        <v>-69083.709561294949</v>
      </c>
      <c r="DN153" s="209">
        <f t="shared" si="432"/>
        <v>-63368.193312787174</v>
      </c>
    </row>
    <row r="159" spans="2:118" x14ac:dyDescent="0.3">
      <c r="B159" s="273" t="s">
        <v>330</v>
      </c>
      <c r="C159" s="274"/>
      <c r="D159" s="88"/>
      <c r="E159" s="88"/>
      <c r="F159" s="88"/>
      <c r="G159" s="275"/>
      <c r="H159" s="276" t="s">
        <v>309</v>
      </c>
      <c r="I159" s="277" t="s">
        <v>310</v>
      </c>
      <c r="J159" s="277" t="s">
        <v>311</v>
      </c>
      <c r="K159" s="277" t="s">
        <v>312</v>
      </c>
      <c r="L159" s="277" t="s">
        <v>313</v>
      </c>
      <c r="M159" s="276" t="s">
        <v>662</v>
      </c>
      <c r="N159" s="277" t="s">
        <v>663</v>
      </c>
      <c r="O159" s="277" t="s">
        <v>664</v>
      </c>
      <c r="P159" s="277" t="s">
        <v>665</v>
      </c>
      <c r="Q159" s="277" t="s">
        <v>666</v>
      </c>
      <c r="R159" s="276" t="s">
        <v>391</v>
      </c>
      <c r="S159" s="277" t="s">
        <v>392</v>
      </c>
      <c r="T159" s="277" t="s">
        <v>393</v>
      </c>
      <c r="U159" s="277" t="s">
        <v>394</v>
      </c>
      <c r="V159" s="277" t="s">
        <v>395</v>
      </c>
      <c r="W159" s="276" t="s">
        <v>422</v>
      </c>
      <c r="X159" s="277" t="s">
        <v>423</v>
      </c>
      <c r="Y159" s="277" t="s">
        <v>424</v>
      </c>
      <c r="Z159" s="277" t="s">
        <v>425</v>
      </c>
      <c r="AA159" s="277" t="s">
        <v>426</v>
      </c>
      <c r="AB159" s="276" t="s">
        <v>427</v>
      </c>
      <c r="AC159" s="277" t="s">
        <v>428</v>
      </c>
      <c r="AD159" s="277" t="s">
        <v>429</v>
      </c>
      <c r="AE159" s="277" t="s">
        <v>430</v>
      </c>
      <c r="AF159" s="277" t="s">
        <v>431</v>
      </c>
      <c r="AG159" s="276" t="s">
        <v>527</v>
      </c>
      <c r="AH159" s="277" t="s">
        <v>528</v>
      </c>
      <c r="AI159" s="277" t="s">
        <v>529</v>
      </c>
      <c r="AJ159" s="277" t="s">
        <v>530</v>
      </c>
      <c r="AK159" s="277" t="s">
        <v>531</v>
      </c>
    </row>
    <row r="160" spans="2:118" x14ac:dyDescent="0.3">
      <c r="B160" s="278" t="s">
        <v>297</v>
      </c>
      <c r="C160" s="24"/>
      <c r="D160" s="279"/>
      <c r="E160" s="279"/>
      <c r="F160" s="279"/>
      <c r="G160" s="280" t="s">
        <v>571</v>
      </c>
      <c r="H160" s="761">
        <f>S27</f>
        <v>34321.485884880625</v>
      </c>
      <c r="I160" s="761">
        <f>AQ27</f>
        <v>51482.228827320934</v>
      </c>
      <c r="J160" s="761">
        <f>BO27</f>
        <v>17160.742942440313</v>
      </c>
      <c r="K160" s="761">
        <f>CM27</f>
        <v>68642.97176976125</v>
      </c>
      <c r="L160" s="761">
        <f>DK27</f>
        <v>0</v>
      </c>
      <c r="M160" s="761">
        <f>S53</f>
        <v>46657.151313822724</v>
      </c>
      <c r="N160" s="761">
        <f>AQ53</f>
        <v>69985.726970734075</v>
      </c>
      <c r="O160" s="107">
        <f>BO53</f>
        <v>23328.575656911362</v>
      </c>
      <c r="P160" s="107">
        <f>CM53</f>
        <v>93314.302627645448</v>
      </c>
      <c r="Q160" s="107">
        <f>DK53</f>
        <v>0</v>
      </c>
      <c r="R160" s="761">
        <f>U$78</f>
        <v>69590.387749560876</v>
      </c>
      <c r="S160" s="761">
        <f>AU78</f>
        <v>104385.58162434133</v>
      </c>
      <c r="T160" s="107">
        <f>BU$78</f>
        <v>34795.193874780438</v>
      </c>
      <c r="U160" s="107">
        <f>CU$78</f>
        <v>139180.77549912175</v>
      </c>
      <c r="V160" s="107">
        <f>DU$78</f>
        <v>0</v>
      </c>
      <c r="W160" s="761">
        <f>S$103</f>
        <v>23997.352423190896</v>
      </c>
      <c r="X160" s="761">
        <f>AQ$103</f>
        <v>35996.028634786344</v>
      </c>
      <c r="Y160" s="107">
        <f>BO$103</f>
        <v>11998.676211595448</v>
      </c>
      <c r="Z160" s="107">
        <f>CM$103</f>
        <v>47994.704846381792</v>
      </c>
      <c r="AA160" s="107">
        <f>DK$103</f>
        <v>0</v>
      </c>
      <c r="AB160" s="761">
        <f>S$128</f>
        <v>35145.377391948736</v>
      </c>
      <c r="AC160" s="761">
        <f>AQ$128</f>
        <v>52718.0660879231</v>
      </c>
      <c r="AD160" s="107">
        <f>BO$128</f>
        <v>17572.688695974368</v>
      </c>
      <c r="AE160" s="107">
        <f>CM$128</f>
        <v>70290.754783897471</v>
      </c>
      <c r="AF160" s="107">
        <f>DK$128</f>
        <v>0</v>
      </c>
      <c r="AG160" s="764">
        <f>R153</f>
        <v>105284.55001067663</v>
      </c>
      <c r="AH160" s="764">
        <f>AP153</f>
        <v>157926.82501601489</v>
      </c>
      <c r="AI160" s="764">
        <f>BN153</f>
        <v>52642.275005338313</v>
      </c>
      <c r="AJ160" s="764">
        <f>CL153</f>
        <v>210569.10002135325</v>
      </c>
      <c r="AK160" s="764">
        <f>DJ153</f>
        <v>0</v>
      </c>
    </row>
    <row r="161" spans="2:37" x14ac:dyDescent="0.3">
      <c r="B161" s="282" t="s">
        <v>633</v>
      </c>
      <c r="C161" s="24"/>
      <c r="D161" s="279"/>
      <c r="E161" s="279"/>
      <c r="F161" s="279"/>
      <c r="G161" s="283" t="s">
        <v>571</v>
      </c>
      <c r="H161" s="761">
        <f>T27</f>
        <v>5715.5162485077717</v>
      </c>
      <c r="I161" s="761">
        <f>AR27</f>
        <v>5715.5162485077717</v>
      </c>
      <c r="J161" s="761">
        <f>BP27</f>
        <v>5715.5162485077717</v>
      </c>
      <c r="K161" s="761">
        <f>CN27</f>
        <v>5715.5162485077717</v>
      </c>
      <c r="L161" s="761">
        <f>DL27</f>
        <v>5715.5162485077717</v>
      </c>
      <c r="M161" s="761">
        <f>T53</f>
        <v>5715.5162485077717</v>
      </c>
      <c r="N161" s="761">
        <f>AR53</f>
        <v>5715.5162485077717</v>
      </c>
      <c r="O161" s="108">
        <f>BP53</f>
        <v>5715.5162485077717</v>
      </c>
      <c r="P161" s="108">
        <f>CN53</f>
        <v>5715.5162485077717</v>
      </c>
      <c r="Q161" s="108">
        <f>DL53</f>
        <v>5715.5162485077717</v>
      </c>
      <c r="R161" s="761">
        <f>V$78</f>
        <v>5715.5162485077717</v>
      </c>
      <c r="S161" s="761">
        <f>AV$78</f>
        <v>5715.5162485077717</v>
      </c>
      <c r="T161" s="108">
        <f>BV$78</f>
        <v>5715.5162485077717</v>
      </c>
      <c r="U161" s="108">
        <f>CV$78</f>
        <v>5715.5162485077717</v>
      </c>
      <c r="V161" s="108">
        <f>DV$78</f>
        <v>5715.5162485077717</v>
      </c>
      <c r="W161" s="761">
        <f>T$103</f>
        <v>5715.5162485077717</v>
      </c>
      <c r="X161" s="761">
        <f>AR$103</f>
        <v>5715.5162485077717</v>
      </c>
      <c r="Y161" s="108">
        <f>BP$103</f>
        <v>5715.5162485077717</v>
      </c>
      <c r="Z161" s="108">
        <f>CN$103</f>
        <v>5715.5162485077717</v>
      </c>
      <c r="AA161" s="108">
        <f>DL$103</f>
        <v>5715.5162485077717</v>
      </c>
      <c r="AB161" s="761">
        <f>T$128</f>
        <v>5715.5162485077717</v>
      </c>
      <c r="AC161" s="761">
        <f>AR$128</f>
        <v>5715.5162485077717</v>
      </c>
      <c r="AD161" s="108">
        <f>BP$128</f>
        <v>5715.5162485077717</v>
      </c>
      <c r="AE161" s="108">
        <f>CN$128</f>
        <v>5715.5162485077717</v>
      </c>
      <c r="AF161" s="108">
        <f>DL$128</f>
        <v>5715.5162485077717</v>
      </c>
      <c r="AG161" s="909">
        <f>S153</f>
        <v>5715.5162485077717</v>
      </c>
      <c r="AH161" s="909">
        <f>AQ153</f>
        <v>5715.5162485077717</v>
      </c>
      <c r="AI161" s="909">
        <f>BO153</f>
        <v>5715.5162485077717</v>
      </c>
      <c r="AJ161" s="909">
        <f>CM153</f>
        <v>5715.5162485077717</v>
      </c>
      <c r="AK161" s="909">
        <f>DK153</f>
        <v>5715.5162485077717</v>
      </c>
    </row>
    <row r="162" spans="2:37" x14ac:dyDescent="0.3">
      <c r="B162" s="284" t="s">
        <v>296</v>
      </c>
      <c r="C162" s="165"/>
      <c r="D162" s="279"/>
      <c r="E162" s="279"/>
      <c r="F162" s="279"/>
      <c r="G162" s="285" t="s">
        <v>571</v>
      </c>
      <c r="H162" s="761">
        <f>U27</f>
        <v>50343.424286460307</v>
      </c>
      <c r="I162" s="761">
        <f>AS27</f>
        <v>50343.424286460307</v>
      </c>
      <c r="J162" s="761">
        <f>BQ27</f>
        <v>50343.424286460307</v>
      </c>
      <c r="K162" s="761">
        <f>CO27</f>
        <v>50343.424286460307</v>
      </c>
      <c r="L162" s="761">
        <f>DM27</f>
        <v>50343.424286460307</v>
      </c>
      <c r="M162" s="761">
        <f>U53</f>
        <v>37199.511274111588</v>
      </c>
      <c r="N162" s="761">
        <f>AS53</f>
        <v>37199.511274111588</v>
      </c>
      <c r="O162" s="294">
        <f>BQ53</f>
        <v>37199.511274111588</v>
      </c>
      <c r="P162" s="294">
        <f>CO53</f>
        <v>37199.511274111588</v>
      </c>
      <c r="Q162" s="294">
        <f>DM53</f>
        <v>37199.511274111588</v>
      </c>
      <c r="R162" s="761">
        <f>W$78</f>
        <v>76192.100306180422</v>
      </c>
      <c r="S162" s="761">
        <f>AW$78</f>
        <v>76192.100306180422</v>
      </c>
      <c r="T162" s="108">
        <f>BW$78</f>
        <v>76192.100306180422</v>
      </c>
      <c r="U162" s="108">
        <f>CW$78</f>
        <v>76192.100306180422</v>
      </c>
      <c r="V162" s="108">
        <f>DW$78</f>
        <v>76192.100306180422</v>
      </c>
      <c r="W162" s="761">
        <f>U$103</f>
        <v>18590.804294416528</v>
      </c>
      <c r="X162" s="761">
        <f>AS$103</f>
        <v>18590.804294416528</v>
      </c>
      <c r="Y162" s="294">
        <f>BQ$103</f>
        <v>18590.804294416528</v>
      </c>
      <c r="Z162" s="294">
        <f>CO$103</f>
        <v>18590.804294416528</v>
      </c>
      <c r="AA162" s="294">
        <f>DM$103</f>
        <v>18590.804294416528</v>
      </c>
      <c r="AB162" s="761">
        <f>U$128</f>
        <v>89741.974580161521</v>
      </c>
      <c r="AC162" s="761">
        <f>AS$128</f>
        <v>89741.974580161521</v>
      </c>
      <c r="AD162" s="294">
        <f>BQ$128</f>
        <v>89741.974580161521</v>
      </c>
      <c r="AE162" s="294">
        <f>CO$128</f>
        <v>89741.974580161521</v>
      </c>
      <c r="AF162" s="294">
        <f>DM$128</f>
        <v>89741.974580161521</v>
      </c>
      <c r="AG162" s="765">
        <f>T153</f>
        <v>69083.709561294949</v>
      </c>
      <c r="AH162" s="765">
        <f>AR153</f>
        <v>69083.709561294949</v>
      </c>
      <c r="AI162" s="765">
        <f>BP153</f>
        <v>69083.709561294949</v>
      </c>
      <c r="AJ162" s="765">
        <f>CN153</f>
        <v>69083.709561294949</v>
      </c>
      <c r="AK162" s="765">
        <f>DL153</f>
        <v>69083.709561294949</v>
      </c>
    </row>
    <row r="163" spans="2:37" x14ac:dyDescent="0.3">
      <c r="B163" s="278" t="s">
        <v>634</v>
      </c>
      <c r="C163" s="24"/>
      <c r="D163" s="286"/>
      <c r="E163" s="286"/>
      <c r="F163" s="286"/>
      <c r="G163" s="280" t="s">
        <v>571</v>
      </c>
      <c r="H163" s="762">
        <f>H160-H162</f>
        <v>-16021.938401579682</v>
      </c>
      <c r="I163" s="762">
        <f t="shared" ref="I163:V163" si="443">I160-I162</f>
        <v>1138.8045408606267</v>
      </c>
      <c r="J163" s="762">
        <f t="shared" si="443"/>
        <v>-33182.681344019991</v>
      </c>
      <c r="K163" s="762">
        <f t="shared" si="443"/>
        <v>18299.547483300943</v>
      </c>
      <c r="L163" s="762">
        <f t="shared" si="443"/>
        <v>-50343.424286460307</v>
      </c>
      <c r="M163" s="762">
        <f t="shared" si="443"/>
        <v>9457.6400397111356</v>
      </c>
      <c r="N163" s="762">
        <f t="shared" si="443"/>
        <v>32786.215696622487</v>
      </c>
      <c r="O163" s="762">
        <f t="shared" si="443"/>
        <v>-13870.935617200226</v>
      </c>
      <c r="P163" s="762">
        <f t="shared" si="443"/>
        <v>56114.791353533859</v>
      </c>
      <c r="Q163" s="762">
        <f t="shared" si="443"/>
        <v>-37199.511274111588</v>
      </c>
      <c r="R163" s="762">
        <f t="shared" si="443"/>
        <v>-6601.7125566195464</v>
      </c>
      <c r="S163" s="762">
        <f t="shared" si="443"/>
        <v>28193.481318160906</v>
      </c>
      <c r="T163" s="762">
        <f t="shared" si="443"/>
        <v>-41396.906431399984</v>
      </c>
      <c r="U163" s="762">
        <f t="shared" si="443"/>
        <v>62988.675192941329</v>
      </c>
      <c r="V163" s="762">
        <f t="shared" si="443"/>
        <v>-76192.100306180422</v>
      </c>
      <c r="W163" s="762">
        <f t="shared" ref="W163:AG163" si="444">W160-W162</f>
        <v>5406.5481287743678</v>
      </c>
      <c r="X163" s="762">
        <f t="shared" si="444"/>
        <v>17405.224340369816</v>
      </c>
      <c r="Y163" s="762">
        <f t="shared" si="444"/>
        <v>-6592.1280828210802</v>
      </c>
      <c r="Z163" s="762">
        <f t="shared" si="444"/>
        <v>29403.900551965264</v>
      </c>
      <c r="AA163" s="762">
        <f t="shared" si="444"/>
        <v>-18590.804294416528</v>
      </c>
      <c r="AB163" s="762">
        <f t="shared" si="444"/>
        <v>-54596.597188212785</v>
      </c>
      <c r="AC163" s="762">
        <f t="shared" si="444"/>
        <v>-37023.908492238421</v>
      </c>
      <c r="AD163" s="762">
        <f t="shared" si="444"/>
        <v>-72169.285884187149</v>
      </c>
      <c r="AE163" s="762">
        <f t="shared" si="444"/>
        <v>-19451.219796264049</v>
      </c>
      <c r="AF163" s="762">
        <f t="shared" si="444"/>
        <v>-89741.974580161521</v>
      </c>
      <c r="AG163" s="762">
        <f t="shared" si="444"/>
        <v>36200.840449381678</v>
      </c>
      <c r="AH163" s="762">
        <f>AH160-AH162</f>
        <v>88843.11545471994</v>
      </c>
      <c r="AI163" s="762">
        <f>AI160-AI162</f>
        <v>-16441.434555956635</v>
      </c>
      <c r="AJ163" s="762">
        <f>AJ160-AJ162</f>
        <v>141485.39046005829</v>
      </c>
      <c r="AK163" s="762">
        <f>AK160-AK162</f>
        <v>-69083.709561294949</v>
      </c>
    </row>
    <row r="164" spans="2:37" x14ac:dyDescent="0.3">
      <c r="B164" s="284" t="s">
        <v>635</v>
      </c>
      <c r="C164" s="165"/>
      <c r="D164" s="288"/>
      <c r="E164" s="288"/>
      <c r="F164" s="288"/>
      <c r="G164" s="285" t="s">
        <v>571</v>
      </c>
      <c r="H164" s="763">
        <f>H160+H161-H162</f>
        <v>-10306.422153071908</v>
      </c>
      <c r="I164" s="763">
        <f t="shared" ref="I164:U164" si="445">I160+I161-I162</f>
        <v>6854.3207893684012</v>
      </c>
      <c r="J164" s="763">
        <f t="shared" si="445"/>
        <v>-27467.165095512224</v>
      </c>
      <c r="K164" s="763">
        <f t="shared" si="445"/>
        <v>24015.063731808717</v>
      </c>
      <c r="L164" s="763">
        <f t="shared" si="445"/>
        <v>-44627.908037952533</v>
      </c>
      <c r="M164" s="763">
        <f t="shared" si="445"/>
        <v>15173.15628821891</v>
      </c>
      <c r="N164" s="763">
        <f t="shared" si="445"/>
        <v>38501.731945130261</v>
      </c>
      <c r="O164" s="763">
        <f t="shared" si="445"/>
        <v>-8155.4193686924555</v>
      </c>
      <c r="P164" s="763">
        <f t="shared" si="445"/>
        <v>61830.307602041634</v>
      </c>
      <c r="Q164" s="763">
        <f t="shared" si="445"/>
        <v>-31483.995025603817</v>
      </c>
      <c r="R164" s="763">
        <f t="shared" si="445"/>
        <v>-886.19630811177194</v>
      </c>
      <c r="S164" s="763">
        <f t="shared" si="445"/>
        <v>33908.997566668681</v>
      </c>
      <c r="T164" s="763">
        <f t="shared" si="445"/>
        <v>-35681.39018289221</v>
      </c>
      <c r="U164" s="763">
        <f t="shared" si="445"/>
        <v>68704.191441449104</v>
      </c>
      <c r="V164" s="763">
        <f t="shared" ref="V164:AE164" si="446">V160+V161-V162</f>
        <v>-70476.584057672648</v>
      </c>
      <c r="W164" s="763">
        <f t="shared" si="446"/>
        <v>11122.064377282139</v>
      </c>
      <c r="X164" s="763">
        <f t="shared" si="446"/>
        <v>23120.74058887759</v>
      </c>
      <c r="Y164" s="763">
        <f t="shared" si="446"/>
        <v>-876.61183431330937</v>
      </c>
      <c r="Z164" s="763">
        <f t="shared" si="446"/>
        <v>35119.416800473038</v>
      </c>
      <c r="AA164" s="763">
        <f t="shared" si="446"/>
        <v>-12875.288045908757</v>
      </c>
      <c r="AB164" s="763">
        <f t="shared" si="446"/>
        <v>-48881.080939705011</v>
      </c>
      <c r="AC164" s="763">
        <f t="shared" si="446"/>
        <v>-31308.392243730646</v>
      </c>
      <c r="AD164" s="763">
        <f t="shared" si="446"/>
        <v>-66453.769635679375</v>
      </c>
      <c r="AE164" s="763">
        <f t="shared" si="446"/>
        <v>-13735.703547756275</v>
      </c>
      <c r="AF164" s="763">
        <f t="shared" ref="AF164:AK164" si="447">AF160+AF161-AF162</f>
        <v>-84026.458331653746</v>
      </c>
      <c r="AG164" s="763">
        <f t="shared" si="447"/>
        <v>41916.356697889452</v>
      </c>
      <c r="AH164" s="763">
        <f t="shared" si="447"/>
        <v>94558.631703227715</v>
      </c>
      <c r="AI164" s="763">
        <f t="shared" si="447"/>
        <v>-10725.918307448861</v>
      </c>
      <c r="AJ164" s="763">
        <f t="shared" si="447"/>
        <v>147200.90670856606</v>
      </c>
      <c r="AK164" s="763">
        <f t="shared" si="447"/>
        <v>-63368.193312787174</v>
      </c>
    </row>
    <row r="165" spans="2:37" x14ac:dyDescent="0.3">
      <c r="B165" s="62" t="s">
        <v>636</v>
      </c>
      <c r="C165" s="24"/>
      <c r="D165" s="289"/>
      <c r="E165" s="289"/>
      <c r="F165" s="289"/>
      <c r="G165" s="280" t="s">
        <v>571</v>
      </c>
      <c r="H165" s="764">
        <f>H163*((1+$B$4)^16)/(((1+$B$4)^16)-1)</f>
        <v>-34375.068528943877</v>
      </c>
      <c r="I165" s="764">
        <f t="shared" ref="I165:P165" si="448">I163*((1+$B$4)^16)/(((1+$B$4)^16)-1)</f>
        <v>2443.3051202654019</v>
      </c>
      <c r="J165" s="764">
        <f t="shared" si="448"/>
        <v>-71193.442178153156</v>
      </c>
      <c r="K165" s="764">
        <f t="shared" si="448"/>
        <v>39261.678769474696</v>
      </c>
      <c r="L165" s="764">
        <f t="shared" si="448"/>
        <v>-108011.81582736244</v>
      </c>
      <c r="M165" s="764">
        <f t="shared" si="448"/>
        <v>20291.366521238146</v>
      </c>
      <c r="N165" s="764">
        <f t="shared" si="448"/>
        <v>70342.825139373526</v>
      </c>
      <c r="O165" s="764">
        <f t="shared" si="448"/>
        <v>-29760.092096897257</v>
      </c>
      <c r="P165" s="764">
        <f t="shared" si="448"/>
        <v>120394.28375750895</v>
      </c>
      <c r="Q165" s="764">
        <f t="shared" ref="Q165:AK165" si="449">Q163*((1+$B$4)^16)/(((1+$B$4)^16)-1)</f>
        <v>-79811.550715032659</v>
      </c>
      <c r="R165" s="290">
        <f t="shared" si="449"/>
        <v>-14163.974161816252</v>
      </c>
      <c r="S165" s="290">
        <f t="shared" si="449"/>
        <v>60489.113619718228</v>
      </c>
      <c r="T165" s="290">
        <f t="shared" si="449"/>
        <v>-88817.061943350694</v>
      </c>
      <c r="U165" s="290">
        <f t="shared" si="449"/>
        <v>135142.20140125265</v>
      </c>
      <c r="V165" s="290">
        <f t="shared" si="449"/>
        <v>-163470.14972488512</v>
      </c>
      <c r="W165" s="290">
        <f t="shared" si="449"/>
        <v>11599.748905121758</v>
      </c>
      <c r="X165" s="290">
        <f t="shared" si="449"/>
        <v>37342.908483711588</v>
      </c>
      <c r="Y165" s="290">
        <f t="shared" si="449"/>
        <v>-14143.41067346807</v>
      </c>
      <c r="Z165" s="290">
        <f t="shared" si="449"/>
        <v>63086.068062301412</v>
      </c>
      <c r="AA165" s="290">
        <f t="shared" si="449"/>
        <v>-39886.5702520579</v>
      </c>
      <c r="AB165" s="290">
        <f t="shared" si="449"/>
        <v>-117136.99820534322</v>
      </c>
      <c r="AC165" s="290">
        <f t="shared" si="449"/>
        <v>-79434.794949939445</v>
      </c>
      <c r="AD165" s="290">
        <f t="shared" si="449"/>
        <v>-154839.20146074702</v>
      </c>
      <c r="AE165" s="290">
        <f t="shared" si="449"/>
        <v>-41732.591694535673</v>
      </c>
      <c r="AF165" s="290">
        <f t="shared" si="449"/>
        <v>-192541.40471615081</v>
      </c>
      <c r="AG165" s="290">
        <f t="shared" si="449"/>
        <v>77668.902479999946</v>
      </c>
      <c r="AH165" s="290">
        <f t="shared" si="449"/>
        <v>190612.90247999973</v>
      </c>
      <c r="AI165" s="290">
        <f t="shared" si="449"/>
        <v>-35275.097519999938</v>
      </c>
      <c r="AJ165" s="290">
        <f t="shared" si="449"/>
        <v>303556.9024799997</v>
      </c>
      <c r="AK165" s="290">
        <f t="shared" si="449"/>
        <v>-148219.09751999984</v>
      </c>
    </row>
    <row r="166" spans="2:37" x14ac:dyDescent="0.3">
      <c r="B166" s="41" t="s">
        <v>637</v>
      </c>
      <c r="C166" s="24"/>
      <c r="D166" s="149"/>
      <c r="E166" s="149"/>
      <c r="F166" s="149"/>
      <c r="G166" s="285" t="s">
        <v>571</v>
      </c>
      <c r="H166" s="765">
        <f>H164*((1+$B$4)^16)/(((1+$B$4)^16)-1)</f>
        <v>-22112.428528943881</v>
      </c>
      <c r="I166" s="765">
        <f t="shared" ref="I166:Q166" si="450">I164*((1+$B$4)^16)/(((1+$B$4)^16)-1)</f>
        <v>14705.945120265396</v>
      </c>
      <c r="J166" s="765">
        <f t="shared" si="450"/>
        <v>-58930.802178153179</v>
      </c>
      <c r="K166" s="765">
        <f t="shared" si="450"/>
        <v>51524.318769474688</v>
      </c>
      <c r="L166" s="765">
        <f t="shared" si="450"/>
        <v>-95749.175827362444</v>
      </c>
      <c r="M166" s="765">
        <f t="shared" si="450"/>
        <v>32554.006521238138</v>
      </c>
      <c r="N166" s="765">
        <f t="shared" si="450"/>
        <v>82605.465139373511</v>
      </c>
      <c r="O166" s="765">
        <f t="shared" si="450"/>
        <v>-17497.452096897272</v>
      </c>
      <c r="P166" s="765">
        <f t="shared" si="450"/>
        <v>132656.92375750895</v>
      </c>
      <c r="Q166" s="765">
        <f t="shared" si="450"/>
        <v>-67548.910715032674</v>
      </c>
      <c r="R166" s="765">
        <f t="shared" ref="R166:AK166" si="451">R164*((1+$B$4)^16)/(((1+$B$4)^16)-1)</f>
        <v>-1901.3341618162578</v>
      </c>
      <c r="S166" s="765">
        <f t="shared" si="451"/>
        <v>72751.75361971822</v>
      </c>
      <c r="T166" s="765">
        <f t="shared" si="451"/>
        <v>-76554.421943350695</v>
      </c>
      <c r="U166" s="765">
        <f t="shared" si="451"/>
        <v>147404.84140125263</v>
      </c>
      <c r="V166" s="765">
        <f t="shared" si="451"/>
        <v>-151207.50972488517</v>
      </c>
      <c r="W166" s="765">
        <f t="shared" si="451"/>
        <v>23862.388905121745</v>
      </c>
      <c r="X166" s="765">
        <f t="shared" si="451"/>
        <v>49605.548483711573</v>
      </c>
      <c r="Y166" s="765">
        <f t="shared" si="451"/>
        <v>-1880.7706734680858</v>
      </c>
      <c r="Z166" s="765">
        <f t="shared" si="451"/>
        <v>75348.708062301419</v>
      </c>
      <c r="AA166" s="765">
        <f t="shared" si="451"/>
        <v>-27623.930252057915</v>
      </c>
      <c r="AB166" s="765">
        <f t="shared" si="451"/>
        <v>-104874.35820534323</v>
      </c>
      <c r="AC166" s="765">
        <f t="shared" si="451"/>
        <v>-67172.15494993946</v>
      </c>
      <c r="AD166" s="765">
        <f t="shared" si="451"/>
        <v>-142576.56146074701</v>
      </c>
      <c r="AE166" s="765">
        <f t="shared" si="451"/>
        <v>-29469.951694535681</v>
      </c>
      <c r="AF166" s="765">
        <f t="shared" si="451"/>
        <v>-180278.76471615079</v>
      </c>
      <c r="AG166" s="765">
        <f t="shared" si="451"/>
        <v>89931.542479999931</v>
      </c>
      <c r="AH166" s="765">
        <f t="shared" si="451"/>
        <v>202875.54247999974</v>
      </c>
      <c r="AI166" s="765">
        <f t="shared" si="451"/>
        <v>-23012.457519999945</v>
      </c>
      <c r="AJ166" s="765">
        <f t="shared" si="451"/>
        <v>315819.54247999965</v>
      </c>
      <c r="AK166" s="765">
        <f t="shared" si="451"/>
        <v>-135956.45751999982</v>
      </c>
    </row>
    <row r="167" spans="2:37" x14ac:dyDescent="0.3">
      <c r="B167" s="62" t="s">
        <v>638</v>
      </c>
      <c r="C167" s="265"/>
      <c r="D167" s="289"/>
      <c r="E167" s="289"/>
      <c r="F167" s="289"/>
      <c r="G167" s="280" t="s">
        <v>588</v>
      </c>
      <c r="H167" s="764">
        <f>H165*$B$4</f>
        <v>-1375.0027411577551</v>
      </c>
      <c r="I167" s="764">
        <f t="shared" ref="I167:Q167" si="452">I165*$B$4</f>
        <v>97.732204810616082</v>
      </c>
      <c r="J167" s="764">
        <f t="shared" si="452"/>
        <v>-2847.7376871261263</v>
      </c>
      <c r="K167" s="764">
        <f t="shared" si="452"/>
        <v>1570.4671507789878</v>
      </c>
      <c r="L167" s="764">
        <f t="shared" si="452"/>
        <v>-4320.4726330944977</v>
      </c>
      <c r="M167" s="764">
        <f t="shared" si="452"/>
        <v>811.65466084952584</v>
      </c>
      <c r="N167" s="764">
        <f t="shared" si="452"/>
        <v>2813.7130055749412</v>
      </c>
      <c r="O167" s="764">
        <f t="shared" si="452"/>
        <v>-1190.4036838758902</v>
      </c>
      <c r="P167" s="764">
        <f t="shared" si="452"/>
        <v>4815.7713503003579</v>
      </c>
      <c r="Q167" s="764">
        <f t="shared" si="452"/>
        <v>-3192.4620286013064</v>
      </c>
      <c r="R167" s="764">
        <f t="shared" ref="R167:AK167" si="453">R165*$B$4</f>
        <v>-566.55896647265013</v>
      </c>
      <c r="S167" s="764">
        <f t="shared" si="453"/>
        <v>2419.5645447887291</v>
      </c>
      <c r="T167" s="764">
        <f t="shared" si="453"/>
        <v>-3552.682477734028</v>
      </c>
      <c r="U167" s="764">
        <f t="shared" si="453"/>
        <v>5405.6880560501058</v>
      </c>
      <c r="V167" s="764">
        <f t="shared" si="453"/>
        <v>-6538.8059889954047</v>
      </c>
      <c r="W167" s="764">
        <f t="shared" si="453"/>
        <v>463.98995620487034</v>
      </c>
      <c r="X167" s="764">
        <f t="shared" si="453"/>
        <v>1493.7163393484636</v>
      </c>
      <c r="Y167" s="764">
        <f t="shared" si="453"/>
        <v>-565.73642693872284</v>
      </c>
      <c r="Z167" s="764">
        <f t="shared" si="453"/>
        <v>2523.4427224920564</v>
      </c>
      <c r="AA167" s="764">
        <f t="shared" si="453"/>
        <v>-1595.4628100823161</v>
      </c>
      <c r="AB167" s="764">
        <f t="shared" si="453"/>
        <v>-4685.4799282137292</v>
      </c>
      <c r="AC167" s="764">
        <f t="shared" si="453"/>
        <v>-3177.3917979975777</v>
      </c>
      <c r="AD167" s="764">
        <f t="shared" si="453"/>
        <v>-6193.5680584298807</v>
      </c>
      <c r="AE167" s="764">
        <f t="shared" si="453"/>
        <v>-1669.3036677814271</v>
      </c>
      <c r="AF167" s="764">
        <f t="shared" si="453"/>
        <v>-7701.6561886460322</v>
      </c>
      <c r="AG167" s="764">
        <f t="shared" si="453"/>
        <v>3106.7560991999981</v>
      </c>
      <c r="AH167" s="764">
        <f t="shared" si="453"/>
        <v>7624.5160991999892</v>
      </c>
      <c r="AI167" s="764">
        <f t="shared" si="453"/>
        <v>-1411.0039007999976</v>
      </c>
      <c r="AJ167" s="764">
        <f t="shared" si="453"/>
        <v>12142.276099199988</v>
      </c>
      <c r="AK167" s="764">
        <f t="shared" si="453"/>
        <v>-5928.7639007999933</v>
      </c>
    </row>
    <row r="168" spans="2:37" x14ac:dyDescent="0.3">
      <c r="B168" s="46" t="s">
        <v>639</v>
      </c>
      <c r="C168" s="291"/>
      <c r="D168" s="292"/>
      <c r="E168" s="292"/>
      <c r="F168" s="292"/>
      <c r="G168" s="285" t="s">
        <v>588</v>
      </c>
      <c r="H168" s="765">
        <f>H166*$B$4</f>
        <v>-884.49714115775532</v>
      </c>
      <c r="I168" s="765">
        <f t="shared" ref="I168:Q168" si="454">I166*$B$4</f>
        <v>588.2378048106159</v>
      </c>
      <c r="J168" s="765">
        <f t="shared" si="454"/>
        <v>-2357.2320871261272</v>
      </c>
      <c r="K168" s="765">
        <f t="shared" si="454"/>
        <v>2060.9727507789876</v>
      </c>
      <c r="L168" s="765">
        <f t="shared" si="454"/>
        <v>-3829.9670330944978</v>
      </c>
      <c r="M168" s="765">
        <f t="shared" si="454"/>
        <v>1302.1602608495255</v>
      </c>
      <c r="N168" s="765">
        <f t="shared" si="454"/>
        <v>3304.2186055749407</v>
      </c>
      <c r="O168" s="765">
        <f t="shared" si="454"/>
        <v>-699.89808387589085</v>
      </c>
      <c r="P168" s="765">
        <f t="shared" si="454"/>
        <v>5306.2769503003583</v>
      </c>
      <c r="Q168" s="765">
        <f t="shared" si="454"/>
        <v>-2701.9564286013069</v>
      </c>
      <c r="R168" s="765">
        <f t="shared" ref="R168:AK168" si="455">R166*$B$4</f>
        <v>-76.05336647265031</v>
      </c>
      <c r="S168" s="765">
        <f t="shared" si="455"/>
        <v>2910.0701447887291</v>
      </c>
      <c r="T168" s="765">
        <f t="shared" si="455"/>
        <v>-3062.176877734028</v>
      </c>
      <c r="U168" s="765">
        <f t="shared" si="455"/>
        <v>5896.1936560501053</v>
      </c>
      <c r="V168" s="765">
        <f t="shared" si="455"/>
        <v>-6048.300388995407</v>
      </c>
      <c r="W168" s="765">
        <f t="shared" si="455"/>
        <v>954.49555620486979</v>
      </c>
      <c r="X168" s="765">
        <f t="shared" si="455"/>
        <v>1984.2219393484629</v>
      </c>
      <c r="Y168" s="765">
        <f t="shared" si="455"/>
        <v>-75.230826938723439</v>
      </c>
      <c r="Z168" s="765">
        <f t="shared" si="455"/>
        <v>3013.9483224920568</v>
      </c>
      <c r="AA168" s="765">
        <f t="shared" si="455"/>
        <v>-1104.9572100823166</v>
      </c>
      <c r="AB168" s="765">
        <f t="shared" si="455"/>
        <v>-4194.9743282137297</v>
      </c>
      <c r="AC168" s="765">
        <f t="shared" si="455"/>
        <v>-2686.8861979975786</v>
      </c>
      <c r="AD168" s="765">
        <f t="shared" si="455"/>
        <v>-5703.0624584298803</v>
      </c>
      <c r="AE168" s="765">
        <f t="shared" si="455"/>
        <v>-1178.7980677814273</v>
      </c>
      <c r="AF168" s="765">
        <f t="shared" si="455"/>
        <v>-7211.1505886460318</v>
      </c>
      <c r="AG168" s="765">
        <f t="shared" si="455"/>
        <v>3597.2616991999971</v>
      </c>
      <c r="AH168" s="765">
        <f t="shared" si="455"/>
        <v>8115.0216991999896</v>
      </c>
      <c r="AI168" s="765">
        <f t="shared" si="455"/>
        <v>-920.49830079999788</v>
      </c>
      <c r="AJ168" s="765">
        <f t="shared" si="455"/>
        <v>12632.781699199986</v>
      </c>
      <c r="AK168" s="765">
        <f t="shared" si="455"/>
        <v>-5438.2583007999929</v>
      </c>
    </row>
  </sheetData>
  <mergeCells count="17">
    <mergeCell ref="E110:G110"/>
    <mergeCell ref="J110:K110"/>
    <mergeCell ref="N110:R110"/>
    <mergeCell ref="S110:W110"/>
    <mergeCell ref="E85:G85"/>
    <mergeCell ref="J85:K85"/>
    <mergeCell ref="N85:R85"/>
    <mergeCell ref="S85:W85"/>
    <mergeCell ref="E35:G35"/>
    <mergeCell ref="J35:K35"/>
    <mergeCell ref="N35:R35"/>
    <mergeCell ref="S35:W35"/>
    <mergeCell ref="B2:D2"/>
    <mergeCell ref="E9:G9"/>
    <mergeCell ref="J9:K9"/>
    <mergeCell ref="N9:R9"/>
    <mergeCell ref="S9:W9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Y168"/>
  <sheetViews>
    <sheetView topLeftCell="CR29" workbookViewId="0">
      <selection activeCell="DF38" sqref="DF38:DJ53"/>
    </sheetView>
  </sheetViews>
  <sheetFormatPr defaultColWidth="9" defaultRowHeight="14" x14ac:dyDescent="0.3"/>
  <sheetData>
    <row r="2" spans="1:119" x14ac:dyDescent="0.3">
      <c r="B2" s="1090" t="s">
        <v>345</v>
      </c>
      <c r="C2" s="1091"/>
      <c r="D2" s="1092"/>
    </row>
    <row r="4" spans="1:119" x14ac:dyDescent="0.3">
      <c r="A4" t="s">
        <v>411</v>
      </c>
      <c r="B4" s="266">
        <f>'Arable Inputs'!D9</f>
        <v>0.04</v>
      </c>
    </row>
    <row r="8" spans="1:119" x14ac:dyDescent="0.3">
      <c r="B8" s="227" t="s">
        <v>94</v>
      </c>
      <c r="C8" s="760" t="s">
        <v>406</v>
      </c>
      <c r="D8" s="269" t="s">
        <v>397</v>
      </c>
      <c r="E8" s="901">
        <v>1</v>
      </c>
      <c r="F8" s="193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Z8" s="227" t="s">
        <v>94</v>
      </c>
      <c r="AA8" s="211" t="s">
        <v>326</v>
      </c>
      <c r="AB8" s="901">
        <v>1.5</v>
      </c>
      <c r="AC8" s="194"/>
      <c r="AD8" s="193"/>
      <c r="AE8" s="102"/>
      <c r="AF8" s="102"/>
      <c r="AG8" s="102"/>
      <c r="AH8" s="102"/>
      <c r="AI8" s="102"/>
      <c r="AJ8" s="102"/>
      <c r="AK8" s="102"/>
      <c r="AL8" s="102"/>
      <c r="AM8" s="102"/>
      <c r="AN8" s="102"/>
      <c r="AO8" s="102"/>
      <c r="AP8" s="102"/>
      <c r="AQ8" s="102"/>
      <c r="AR8" s="102"/>
      <c r="AS8" s="102"/>
      <c r="AT8" s="102"/>
      <c r="AU8" s="102"/>
      <c r="AX8" s="227" t="s">
        <v>94</v>
      </c>
      <c r="AY8" s="211" t="s">
        <v>327</v>
      </c>
      <c r="AZ8" s="901">
        <v>0.5</v>
      </c>
      <c r="BA8" s="194"/>
      <c r="BB8" s="193"/>
      <c r="BC8" s="102"/>
      <c r="BD8" s="102"/>
      <c r="BE8" s="102"/>
      <c r="BF8" s="102"/>
      <c r="BG8" s="102"/>
      <c r="BH8" s="102"/>
      <c r="BI8" s="102"/>
      <c r="BJ8" s="102"/>
      <c r="BK8" s="102"/>
      <c r="BL8" s="102"/>
      <c r="BM8" s="102"/>
      <c r="BN8" s="102"/>
      <c r="BO8" s="102"/>
      <c r="BP8" s="102"/>
      <c r="BQ8" s="102"/>
      <c r="BR8" s="102"/>
      <c r="BS8" s="102"/>
      <c r="BV8" s="227" t="s">
        <v>94</v>
      </c>
      <c r="BW8" s="211" t="s">
        <v>328</v>
      </c>
      <c r="BX8" s="901">
        <v>2</v>
      </c>
      <c r="BY8" s="194"/>
      <c r="BZ8" s="193"/>
      <c r="CA8" s="102"/>
      <c r="CB8" s="102"/>
      <c r="CC8" s="102"/>
      <c r="CD8" s="102"/>
      <c r="CE8" s="102"/>
      <c r="CF8" s="102"/>
      <c r="CG8" s="102"/>
      <c r="CH8" s="102"/>
      <c r="CI8" s="102"/>
      <c r="CJ8" s="102"/>
      <c r="CK8" s="102"/>
      <c r="CL8" s="102"/>
      <c r="CM8" s="102"/>
      <c r="CN8" s="102"/>
      <c r="CO8" s="102"/>
      <c r="CP8" s="102"/>
      <c r="CQ8" s="102"/>
      <c r="CT8" s="227" t="s">
        <v>94</v>
      </c>
      <c r="CU8" s="211" t="s">
        <v>329</v>
      </c>
      <c r="CV8" s="901">
        <v>0</v>
      </c>
      <c r="CW8" s="194"/>
      <c r="CX8" s="193"/>
      <c r="CY8" s="102"/>
      <c r="CZ8" s="102"/>
      <c r="DA8" s="102"/>
      <c r="DB8" s="102"/>
      <c r="DC8" s="102"/>
      <c r="DD8" s="102"/>
      <c r="DE8" s="102"/>
      <c r="DF8" s="102"/>
      <c r="DG8" s="102"/>
      <c r="DH8" s="102"/>
      <c r="DI8" s="102"/>
      <c r="DJ8" s="102"/>
      <c r="DK8" s="102"/>
      <c r="DL8" s="102"/>
      <c r="DM8" s="102"/>
      <c r="DN8" s="102"/>
      <c r="DO8" s="102"/>
    </row>
    <row r="9" spans="1:119" x14ac:dyDescent="0.3">
      <c r="B9" s="203"/>
      <c r="C9" s="148"/>
      <c r="D9" s="148"/>
      <c r="E9" s="1082"/>
      <c r="F9" s="1082"/>
      <c r="G9" s="1082"/>
      <c r="H9" s="148"/>
      <c r="I9" s="926"/>
      <c r="J9" s="1082"/>
      <c r="K9" s="1082"/>
      <c r="L9" s="148"/>
      <c r="M9" s="148"/>
      <c r="N9" s="1083" t="s">
        <v>273</v>
      </c>
      <c r="O9" s="1084"/>
      <c r="P9" s="1084"/>
      <c r="Q9" s="1084"/>
      <c r="R9" s="1085"/>
      <c r="S9" s="1083" t="s">
        <v>274</v>
      </c>
      <c r="T9" s="1084"/>
      <c r="U9" s="1084"/>
      <c r="V9" s="1084"/>
      <c r="W9" s="1085"/>
      <c r="Z9" s="203"/>
      <c r="AA9" s="148"/>
      <c r="AB9" s="148"/>
      <c r="AC9" s="985"/>
      <c r="AD9" s="985"/>
      <c r="AE9" s="985"/>
      <c r="AF9" s="148"/>
      <c r="AG9" s="926"/>
      <c r="AH9" s="985"/>
      <c r="AI9" s="985"/>
      <c r="AJ9" s="148"/>
      <c r="AK9" s="148"/>
      <c r="AL9" s="986" t="s">
        <v>307</v>
      </c>
      <c r="AM9" s="987"/>
      <c r="AN9" s="987"/>
      <c r="AO9" s="987"/>
      <c r="AP9" s="988"/>
      <c r="AQ9" s="986" t="s">
        <v>274</v>
      </c>
      <c r="AR9" s="987"/>
      <c r="AS9" s="987"/>
      <c r="AT9" s="987"/>
      <c r="AU9" s="988"/>
      <c r="AX9" s="203"/>
      <c r="AY9" s="148"/>
      <c r="AZ9" s="148"/>
      <c r="BA9" s="985"/>
      <c r="BB9" s="985"/>
      <c r="BC9" s="985"/>
      <c r="BD9" s="148"/>
      <c r="BE9" s="926"/>
      <c r="BF9" s="985"/>
      <c r="BG9" s="985"/>
      <c r="BH9" s="148"/>
      <c r="BI9" s="148"/>
      <c r="BJ9" s="986" t="s">
        <v>273</v>
      </c>
      <c r="BK9" s="987"/>
      <c r="BL9" s="987"/>
      <c r="BM9" s="987"/>
      <c r="BN9" s="988"/>
      <c r="BO9" s="986" t="s">
        <v>274</v>
      </c>
      <c r="BP9" s="987"/>
      <c r="BQ9" s="987"/>
      <c r="BR9" s="987"/>
      <c r="BS9" s="988"/>
      <c r="BV9" s="203"/>
      <c r="BW9" s="148"/>
      <c r="BX9" s="148"/>
      <c r="BY9" s="985"/>
      <c r="BZ9" s="985"/>
      <c r="CA9" s="985"/>
      <c r="CB9" s="148"/>
      <c r="CC9" s="926"/>
      <c r="CD9" s="985"/>
      <c r="CE9" s="985"/>
      <c r="CF9" s="148"/>
      <c r="CG9" s="148"/>
      <c r="CH9" s="986" t="s">
        <v>273</v>
      </c>
      <c r="CI9" s="987"/>
      <c r="CJ9" s="987"/>
      <c r="CK9" s="987"/>
      <c r="CL9" s="988"/>
      <c r="CM9" s="986" t="s">
        <v>274</v>
      </c>
      <c r="CN9" s="987"/>
      <c r="CO9" s="987"/>
      <c r="CP9" s="987"/>
      <c r="CQ9" s="988"/>
      <c r="CT9" s="203"/>
      <c r="CU9" s="148"/>
      <c r="CV9" s="148"/>
      <c r="CW9" s="985"/>
      <c r="CX9" s="985"/>
      <c r="CY9" s="985"/>
      <c r="CZ9" s="148"/>
      <c r="DA9" s="926"/>
      <c r="DB9" s="985"/>
      <c r="DC9" s="985"/>
      <c r="DD9" s="148"/>
      <c r="DE9" s="148"/>
      <c r="DF9" s="986" t="s">
        <v>273</v>
      </c>
      <c r="DG9" s="987"/>
      <c r="DH9" s="987"/>
      <c r="DI9" s="987"/>
      <c r="DJ9" s="988"/>
      <c r="DK9" s="986" t="s">
        <v>274</v>
      </c>
      <c r="DL9" s="987"/>
      <c r="DM9" s="987"/>
      <c r="DN9" s="987"/>
      <c r="DO9" s="988"/>
    </row>
    <row r="10" spans="1:119" ht="51" x14ac:dyDescent="0.3">
      <c r="B10" s="204" t="s">
        <v>275</v>
      </c>
      <c r="C10" s="205" t="s">
        <v>293</v>
      </c>
      <c r="D10" s="205" t="s">
        <v>294</v>
      </c>
      <c r="E10" s="171" t="s">
        <v>622</v>
      </c>
      <c r="F10" s="171" t="s">
        <v>591</v>
      </c>
      <c r="G10" s="171" t="s">
        <v>623</v>
      </c>
      <c r="H10" s="205" t="s">
        <v>291</v>
      </c>
      <c r="I10" s="930" t="str">
        <f>'Energy NPV'!U63</f>
        <v>Total Recurring Costs</v>
      </c>
      <c r="J10" s="205" t="s">
        <v>295</v>
      </c>
      <c r="K10" s="171" t="s">
        <v>279</v>
      </c>
      <c r="L10" s="171" t="s">
        <v>624</v>
      </c>
      <c r="M10" s="171" t="s">
        <v>625</v>
      </c>
      <c r="N10" s="195" t="s">
        <v>280</v>
      </c>
      <c r="O10" s="171" t="s">
        <v>626</v>
      </c>
      <c r="P10" s="171" t="s">
        <v>281</v>
      </c>
      <c r="Q10" s="171" t="s">
        <v>627</v>
      </c>
      <c r="R10" s="198" t="s">
        <v>282</v>
      </c>
      <c r="S10" s="195" t="s">
        <v>283</v>
      </c>
      <c r="T10" s="171" t="s">
        <v>628</v>
      </c>
      <c r="U10" s="171" t="s">
        <v>284</v>
      </c>
      <c r="V10" s="171" t="s">
        <v>629</v>
      </c>
      <c r="W10" s="198" t="s">
        <v>285</v>
      </c>
      <c r="Z10" s="204" t="s">
        <v>275</v>
      </c>
      <c r="AA10" s="205" t="s">
        <v>293</v>
      </c>
      <c r="AB10" s="205" t="s">
        <v>294</v>
      </c>
      <c r="AC10" s="171" t="s">
        <v>622</v>
      </c>
      <c r="AD10" s="171" t="s">
        <v>591</v>
      </c>
      <c r="AE10" s="171" t="s">
        <v>623</v>
      </c>
      <c r="AF10" s="205" t="s">
        <v>291</v>
      </c>
      <c r="AG10" s="930" t="str">
        <f>'Energy NPV'!U63</f>
        <v>Total Recurring Costs</v>
      </c>
      <c r="AH10" s="205" t="s">
        <v>295</v>
      </c>
      <c r="AI10" s="171" t="s">
        <v>279</v>
      </c>
      <c r="AJ10" s="171" t="s">
        <v>624</v>
      </c>
      <c r="AK10" s="171" t="s">
        <v>625</v>
      </c>
      <c r="AL10" s="195" t="s">
        <v>280</v>
      </c>
      <c r="AM10" s="171" t="s">
        <v>626</v>
      </c>
      <c r="AN10" s="171" t="s">
        <v>281</v>
      </c>
      <c r="AO10" s="171" t="s">
        <v>627</v>
      </c>
      <c r="AP10" s="198" t="s">
        <v>282</v>
      </c>
      <c r="AQ10" s="195" t="s">
        <v>283</v>
      </c>
      <c r="AR10" s="171" t="s">
        <v>628</v>
      </c>
      <c r="AS10" s="171" t="s">
        <v>284</v>
      </c>
      <c r="AT10" s="171" t="s">
        <v>629</v>
      </c>
      <c r="AU10" s="198" t="s">
        <v>285</v>
      </c>
      <c r="AX10" s="204" t="s">
        <v>275</v>
      </c>
      <c r="AY10" s="205" t="s">
        <v>293</v>
      </c>
      <c r="AZ10" s="205" t="s">
        <v>294</v>
      </c>
      <c r="BA10" s="171" t="s">
        <v>622</v>
      </c>
      <c r="BB10" s="171" t="s">
        <v>591</v>
      </c>
      <c r="BC10" s="171" t="s">
        <v>623</v>
      </c>
      <c r="BD10" s="205" t="s">
        <v>291</v>
      </c>
      <c r="BE10" s="930" t="str">
        <f>'Energy NPV'!U63</f>
        <v>Total Recurring Costs</v>
      </c>
      <c r="BF10" s="205" t="s">
        <v>295</v>
      </c>
      <c r="BG10" s="171" t="s">
        <v>279</v>
      </c>
      <c r="BH10" s="171" t="s">
        <v>624</v>
      </c>
      <c r="BI10" s="171" t="s">
        <v>625</v>
      </c>
      <c r="BJ10" s="195" t="s">
        <v>280</v>
      </c>
      <c r="BK10" s="171" t="s">
        <v>626</v>
      </c>
      <c r="BL10" s="171" t="s">
        <v>281</v>
      </c>
      <c r="BM10" s="171" t="s">
        <v>627</v>
      </c>
      <c r="BN10" s="198" t="s">
        <v>282</v>
      </c>
      <c r="BO10" s="195" t="s">
        <v>283</v>
      </c>
      <c r="BP10" s="171" t="s">
        <v>628</v>
      </c>
      <c r="BQ10" s="171" t="s">
        <v>284</v>
      </c>
      <c r="BR10" s="171" t="s">
        <v>629</v>
      </c>
      <c r="BS10" s="198" t="s">
        <v>285</v>
      </c>
      <c r="BV10" s="204" t="s">
        <v>275</v>
      </c>
      <c r="BW10" s="205" t="s">
        <v>293</v>
      </c>
      <c r="BX10" s="205" t="s">
        <v>294</v>
      </c>
      <c r="BY10" s="171" t="s">
        <v>622</v>
      </c>
      <c r="BZ10" s="171" t="s">
        <v>591</v>
      </c>
      <c r="CA10" s="171" t="s">
        <v>623</v>
      </c>
      <c r="CB10" s="205" t="s">
        <v>291</v>
      </c>
      <c r="CC10" s="930" t="str">
        <f>'Energy NPV'!U63</f>
        <v>Total Recurring Costs</v>
      </c>
      <c r="CD10" s="205" t="s">
        <v>295</v>
      </c>
      <c r="CE10" s="171" t="s">
        <v>279</v>
      </c>
      <c r="CF10" s="171" t="s">
        <v>624</v>
      </c>
      <c r="CG10" s="171" t="s">
        <v>625</v>
      </c>
      <c r="CH10" s="195" t="s">
        <v>280</v>
      </c>
      <c r="CI10" s="171" t="s">
        <v>626</v>
      </c>
      <c r="CJ10" s="171" t="s">
        <v>281</v>
      </c>
      <c r="CK10" s="171" t="s">
        <v>627</v>
      </c>
      <c r="CL10" s="198" t="s">
        <v>282</v>
      </c>
      <c r="CM10" s="195" t="s">
        <v>283</v>
      </c>
      <c r="CN10" s="171" t="s">
        <v>628</v>
      </c>
      <c r="CO10" s="171" t="s">
        <v>284</v>
      </c>
      <c r="CP10" s="171" t="s">
        <v>629</v>
      </c>
      <c r="CQ10" s="198" t="s">
        <v>285</v>
      </c>
      <c r="CT10" s="204" t="s">
        <v>275</v>
      </c>
      <c r="CU10" s="205" t="s">
        <v>293</v>
      </c>
      <c r="CV10" s="205" t="s">
        <v>294</v>
      </c>
      <c r="CW10" s="171" t="s">
        <v>622</v>
      </c>
      <c r="CX10" s="171" t="s">
        <v>591</v>
      </c>
      <c r="CY10" s="171" t="s">
        <v>623</v>
      </c>
      <c r="CZ10" s="205" t="s">
        <v>291</v>
      </c>
      <c r="DA10" s="930" t="str">
        <f>'Energy NPV'!U63</f>
        <v>Total Recurring Costs</v>
      </c>
      <c r="DB10" s="205" t="s">
        <v>295</v>
      </c>
      <c r="DC10" s="171" t="s">
        <v>279</v>
      </c>
      <c r="DD10" s="171" t="s">
        <v>624</v>
      </c>
      <c r="DE10" s="171" t="s">
        <v>625</v>
      </c>
      <c r="DF10" s="195" t="s">
        <v>280</v>
      </c>
      <c r="DG10" s="171" t="s">
        <v>626</v>
      </c>
      <c r="DH10" s="171" t="s">
        <v>281</v>
      </c>
      <c r="DI10" s="171" t="s">
        <v>627</v>
      </c>
      <c r="DJ10" s="198" t="s">
        <v>282</v>
      </c>
      <c r="DK10" s="195" t="s">
        <v>283</v>
      </c>
      <c r="DL10" s="171" t="s">
        <v>628</v>
      </c>
      <c r="DM10" s="171" t="s">
        <v>284</v>
      </c>
      <c r="DN10" s="171" t="s">
        <v>629</v>
      </c>
      <c r="DO10" s="198" t="s">
        <v>285</v>
      </c>
    </row>
    <row r="11" spans="1:119" x14ac:dyDescent="0.3">
      <c r="B11" s="173"/>
      <c r="C11" s="226" t="s">
        <v>336</v>
      </c>
      <c r="D11" s="226" t="s">
        <v>573</v>
      </c>
      <c r="E11" s="201" t="s">
        <v>571</v>
      </c>
      <c r="F11" s="201" t="s">
        <v>571</v>
      </c>
      <c r="G11" s="201" t="s">
        <v>571</v>
      </c>
      <c r="H11" s="201" t="s">
        <v>571</v>
      </c>
      <c r="I11" s="964" t="str">
        <f>'Energy NPV'!U64</f>
        <v>(PLN ha-1)</v>
      </c>
      <c r="J11" s="201" t="s">
        <v>571</v>
      </c>
      <c r="K11" s="201" t="s">
        <v>571</v>
      </c>
      <c r="L11" s="201" t="s">
        <v>571</v>
      </c>
      <c r="M11" s="202" t="s">
        <v>571</v>
      </c>
      <c r="N11" s="201" t="s">
        <v>571</v>
      </c>
      <c r="O11" s="201" t="s">
        <v>571</v>
      </c>
      <c r="P11" s="201" t="s">
        <v>571</v>
      </c>
      <c r="Q11" s="201" t="s">
        <v>571</v>
      </c>
      <c r="R11" s="202" t="s">
        <v>571</v>
      </c>
      <c r="S11" s="201" t="s">
        <v>571</v>
      </c>
      <c r="T11" s="201" t="s">
        <v>571</v>
      </c>
      <c r="U11" s="201" t="s">
        <v>571</v>
      </c>
      <c r="V11" s="201" t="s">
        <v>571</v>
      </c>
      <c r="W11" s="202" t="s">
        <v>571</v>
      </c>
      <c r="Z11" s="173"/>
      <c r="AA11" s="226" t="s">
        <v>336</v>
      </c>
      <c r="AB11" s="226" t="s">
        <v>573</v>
      </c>
      <c r="AC11" s="201" t="s">
        <v>571</v>
      </c>
      <c r="AD11" s="201" t="s">
        <v>571</v>
      </c>
      <c r="AE11" s="201" t="s">
        <v>571</v>
      </c>
      <c r="AF11" s="201" t="s">
        <v>571</v>
      </c>
      <c r="AG11" s="964" t="str">
        <f>'Energy NPV'!U64</f>
        <v>(PLN ha-1)</v>
      </c>
      <c r="AH11" s="201" t="s">
        <v>571</v>
      </c>
      <c r="AI11" s="201" t="s">
        <v>571</v>
      </c>
      <c r="AJ11" s="201" t="s">
        <v>571</v>
      </c>
      <c r="AK11" s="202" t="s">
        <v>571</v>
      </c>
      <c r="AL11" s="201" t="s">
        <v>571</v>
      </c>
      <c r="AM11" s="201" t="s">
        <v>571</v>
      </c>
      <c r="AN11" s="201" t="s">
        <v>571</v>
      </c>
      <c r="AO11" s="201" t="s">
        <v>571</v>
      </c>
      <c r="AP11" s="202" t="s">
        <v>571</v>
      </c>
      <c r="AQ11" s="201" t="s">
        <v>571</v>
      </c>
      <c r="AR11" s="201" t="s">
        <v>571</v>
      </c>
      <c r="AS11" s="201" t="s">
        <v>571</v>
      </c>
      <c r="AT11" s="201" t="s">
        <v>571</v>
      </c>
      <c r="AU11" s="202" t="s">
        <v>571</v>
      </c>
      <c r="AX11" s="173"/>
      <c r="AY11" s="226" t="s">
        <v>336</v>
      </c>
      <c r="AZ11" s="226" t="s">
        <v>573</v>
      </c>
      <c r="BA11" s="201" t="s">
        <v>571</v>
      </c>
      <c r="BB11" s="201" t="s">
        <v>571</v>
      </c>
      <c r="BC11" s="201" t="s">
        <v>571</v>
      </c>
      <c r="BD11" s="201" t="s">
        <v>571</v>
      </c>
      <c r="BE11" s="964" t="str">
        <f>'Energy NPV'!U64</f>
        <v>(PLN ha-1)</v>
      </c>
      <c r="BF11" s="201" t="s">
        <v>571</v>
      </c>
      <c r="BG11" s="201" t="s">
        <v>571</v>
      </c>
      <c r="BH11" s="201" t="s">
        <v>571</v>
      </c>
      <c r="BI11" s="202" t="s">
        <v>571</v>
      </c>
      <c r="BJ11" s="201" t="s">
        <v>571</v>
      </c>
      <c r="BK11" s="201" t="s">
        <v>571</v>
      </c>
      <c r="BL11" s="201" t="s">
        <v>571</v>
      </c>
      <c r="BM11" s="201" t="s">
        <v>571</v>
      </c>
      <c r="BN11" s="202" t="s">
        <v>571</v>
      </c>
      <c r="BO11" s="201" t="s">
        <v>571</v>
      </c>
      <c r="BP11" s="201" t="s">
        <v>571</v>
      </c>
      <c r="BQ11" s="201" t="s">
        <v>571</v>
      </c>
      <c r="BR11" s="201" t="s">
        <v>571</v>
      </c>
      <c r="BS11" s="202" t="s">
        <v>571</v>
      </c>
      <c r="BV11" s="173"/>
      <c r="BW11" s="226" t="s">
        <v>336</v>
      </c>
      <c r="BX11" s="226" t="s">
        <v>573</v>
      </c>
      <c r="BY11" s="201" t="s">
        <v>571</v>
      </c>
      <c r="BZ11" s="201" t="s">
        <v>571</v>
      </c>
      <c r="CA11" s="201" t="s">
        <v>571</v>
      </c>
      <c r="CB11" s="201" t="s">
        <v>571</v>
      </c>
      <c r="CC11" s="964" t="str">
        <f>'Energy NPV'!U64</f>
        <v>(PLN ha-1)</v>
      </c>
      <c r="CD11" s="201" t="s">
        <v>571</v>
      </c>
      <c r="CE11" s="201" t="s">
        <v>571</v>
      </c>
      <c r="CF11" s="201" t="s">
        <v>571</v>
      </c>
      <c r="CG11" s="202" t="s">
        <v>571</v>
      </c>
      <c r="CH11" s="201" t="s">
        <v>571</v>
      </c>
      <c r="CI11" s="201" t="s">
        <v>571</v>
      </c>
      <c r="CJ11" s="201" t="s">
        <v>571</v>
      </c>
      <c r="CK11" s="201" t="s">
        <v>571</v>
      </c>
      <c r="CL11" s="202" t="s">
        <v>571</v>
      </c>
      <c r="CM11" s="201" t="s">
        <v>571</v>
      </c>
      <c r="CN11" s="201" t="s">
        <v>571</v>
      </c>
      <c r="CO11" s="201" t="s">
        <v>571</v>
      </c>
      <c r="CP11" s="201" t="s">
        <v>571</v>
      </c>
      <c r="CQ11" s="202" t="s">
        <v>571</v>
      </c>
      <c r="CT11" s="173"/>
      <c r="CU11" s="226" t="s">
        <v>336</v>
      </c>
      <c r="CV11" s="226" t="s">
        <v>573</v>
      </c>
      <c r="CW11" s="201" t="s">
        <v>571</v>
      </c>
      <c r="CX11" s="201" t="s">
        <v>571</v>
      </c>
      <c r="CY11" s="201" t="s">
        <v>571</v>
      </c>
      <c r="CZ11" s="201" t="s">
        <v>571</v>
      </c>
      <c r="DA11" s="964" t="str">
        <f>'Energy NPV'!U64</f>
        <v>(PLN ha-1)</v>
      </c>
      <c r="DB11" s="201" t="s">
        <v>571</v>
      </c>
      <c r="DC11" s="201" t="s">
        <v>571</v>
      </c>
      <c r="DD11" s="201" t="s">
        <v>571</v>
      </c>
      <c r="DE11" s="202" t="s">
        <v>571</v>
      </c>
      <c r="DF11" s="201" t="s">
        <v>571</v>
      </c>
      <c r="DG11" s="201" t="s">
        <v>571</v>
      </c>
      <c r="DH11" s="201" t="s">
        <v>571</v>
      </c>
      <c r="DI11" s="201" t="s">
        <v>571</v>
      </c>
      <c r="DJ11" s="202" t="s">
        <v>571</v>
      </c>
      <c r="DK11" s="201" t="s">
        <v>571</v>
      </c>
      <c r="DL11" s="201" t="s">
        <v>571</v>
      </c>
      <c r="DM11" s="201" t="s">
        <v>571</v>
      </c>
      <c r="DN11" s="201" t="s">
        <v>571</v>
      </c>
      <c r="DO11" s="202" t="s">
        <v>571</v>
      </c>
    </row>
    <row r="12" spans="1:119" x14ac:dyDescent="0.3">
      <c r="B12" s="204">
        <v>1</v>
      </c>
      <c r="C12" s="225">
        <f>'Energy NPV'!$D65</f>
        <v>2.0466666666666664</v>
      </c>
      <c r="D12" s="197">
        <f>'Energy margins'!$S$12</f>
        <v>269.5</v>
      </c>
      <c r="E12" s="197">
        <f>C12*D12</f>
        <v>551.5766666666666</v>
      </c>
      <c r="F12" s="197">
        <f>'Margins summary'!$U$14</f>
        <v>471.64</v>
      </c>
      <c r="G12" s="197">
        <f>E12+F12</f>
        <v>1023.2166666666666</v>
      </c>
      <c r="H12" s="197">
        <f>'Margins summary'!$T$20</f>
        <v>27899.875000000004</v>
      </c>
      <c r="I12" s="913">
        <f>'Energy NPV'!U65</f>
        <v>490.00000000000006</v>
      </c>
      <c r="J12" s="197"/>
      <c r="K12" s="197">
        <f>(H12+I12+J12)*$E$8</f>
        <v>28389.875000000004</v>
      </c>
      <c r="L12" s="197">
        <f t="shared" ref="L12:L27" si="0">E12-K12</f>
        <v>-27838.298333333336</v>
      </c>
      <c r="M12" s="197">
        <f t="shared" ref="M12:M27" si="1">G12-K12</f>
        <v>-27366.658333333336</v>
      </c>
      <c r="N12" s="1014">
        <f>E12/((1+$B$4)^(B12-1))</f>
        <v>551.5766666666666</v>
      </c>
      <c r="O12" s="213">
        <f>F12/((1+$B$4)^(B12-1))</f>
        <v>471.64</v>
      </c>
      <c r="P12" s="213">
        <f>K12/((1+$B$4)^(B12-1))</f>
        <v>28389.875000000004</v>
      </c>
      <c r="Q12" s="213">
        <f>L12/((1+$B$4)^(B12-1))</f>
        <v>-27838.298333333336</v>
      </c>
      <c r="R12" s="924">
        <f>M12/((1+$B$4)^(B12-1))</f>
        <v>-27366.658333333336</v>
      </c>
      <c r="S12" s="196">
        <f>N12</f>
        <v>551.5766666666666</v>
      </c>
      <c r="T12" s="197">
        <f>O12</f>
        <v>471.64</v>
      </c>
      <c r="U12" s="197">
        <f>P12</f>
        <v>28389.875000000004</v>
      </c>
      <c r="V12" s="197">
        <f>Q12</f>
        <v>-27838.298333333336</v>
      </c>
      <c r="W12" s="199">
        <f>R12</f>
        <v>-27366.658333333336</v>
      </c>
      <c r="Z12" s="204">
        <v>1</v>
      </c>
      <c r="AA12" s="225">
        <f>'Energy NPV'!$D65</f>
        <v>2.0466666666666664</v>
      </c>
      <c r="AB12" s="197">
        <f>'Energy margins'!$S$12</f>
        <v>269.5</v>
      </c>
      <c r="AC12" s="197">
        <f>AA12*AB12</f>
        <v>551.5766666666666</v>
      </c>
      <c r="AD12" s="197">
        <f>'Margins summary'!$U$14</f>
        <v>471.64</v>
      </c>
      <c r="AE12" s="197">
        <f>AC12+AD12</f>
        <v>1023.2166666666666</v>
      </c>
      <c r="AF12" s="197">
        <f>'Margins summary'!$T$20</f>
        <v>27899.875000000004</v>
      </c>
      <c r="AG12" s="913">
        <f>'Energy NPV'!U65</f>
        <v>490.00000000000006</v>
      </c>
      <c r="AH12" s="197"/>
      <c r="AI12" s="197">
        <f t="shared" ref="AI12:AI27" si="2">(AF12+AG12+AH12)*$AB$8</f>
        <v>42584.812500000007</v>
      </c>
      <c r="AJ12" s="197">
        <f t="shared" ref="AJ12:AJ27" si="3">AC12-AI12</f>
        <v>-42033.23583333334</v>
      </c>
      <c r="AK12" s="197">
        <f t="shared" ref="AK12:AK27" si="4">AE12-AI12</f>
        <v>-41561.59583333334</v>
      </c>
      <c r="AL12" s="1014">
        <f>AC12/((1+$B$4)^(Z12-1))</f>
        <v>551.5766666666666</v>
      </c>
      <c r="AM12" s="213">
        <f>AD12/((1+$B$4)^(Z12-1))</f>
        <v>471.64</v>
      </c>
      <c r="AN12" s="213">
        <f>AI12/((1+$B$4)^(Z12-1))</f>
        <v>42584.812500000007</v>
      </c>
      <c r="AO12" s="213">
        <f>AJ12/((1+$B$4)^(Z12-1))</f>
        <v>-42033.23583333334</v>
      </c>
      <c r="AP12" s="924">
        <f>AK12/((1+$B$4)^(Z12-1))</f>
        <v>-41561.59583333334</v>
      </c>
      <c r="AQ12" s="196">
        <f>AL12</f>
        <v>551.5766666666666</v>
      </c>
      <c r="AR12" s="197">
        <f>AM12</f>
        <v>471.64</v>
      </c>
      <c r="AS12" s="197">
        <f>AN12</f>
        <v>42584.812500000007</v>
      </c>
      <c r="AT12" s="197">
        <f>AO12</f>
        <v>-42033.23583333334</v>
      </c>
      <c r="AU12" s="199">
        <f>AP12</f>
        <v>-41561.59583333334</v>
      </c>
      <c r="AX12" s="204">
        <v>1</v>
      </c>
      <c r="AY12" s="225">
        <f>'Energy NPV'!$D65</f>
        <v>2.0466666666666664</v>
      </c>
      <c r="AZ12" s="197">
        <f>'Energy margins'!$S$12</f>
        <v>269.5</v>
      </c>
      <c r="BA12" s="197">
        <f>AY12*AZ12</f>
        <v>551.5766666666666</v>
      </c>
      <c r="BB12" s="197">
        <f>'Margins summary'!$U$14</f>
        <v>471.64</v>
      </c>
      <c r="BC12" s="197">
        <f>BA12+BB12</f>
        <v>1023.2166666666666</v>
      </c>
      <c r="BD12" s="197">
        <f>'Margins summary'!$T$20</f>
        <v>27899.875000000004</v>
      </c>
      <c r="BE12" s="913">
        <f>'Energy NPV'!U65</f>
        <v>490.00000000000006</v>
      </c>
      <c r="BF12" s="197"/>
      <c r="BG12" s="197">
        <f t="shared" ref="BG12:BG27" si="5">(BD12+BE12+BF12)*$AZ$8</f>
        <v>14194.937500000002</v>
      </c>
      <c r="BH12" s="197">
        <f t="shared" ref="BH12:BH27" si="6">BA12-BG12</f>
        <v>-13643.360833333336</v>
      </c>
      <c r="BI12" s="197">
        <f t="shared" ref="BI12:BI27" si="7">BC12-BG12</f>
        <v>-13171.720833333335</v>
      </c>
      <c r="BJ12" s="1014">
        <f>BA12/((1+$B$4)^(AX12-1))</f>
        <v>551.5766666666666</v>
      </c>
      <c r="BK12" s="213">
        <f>BB12/((1+$B$4)^(AX12-1))</f>
        <v>471.64</v>
      </c>
      <c r="BL12" s="213">
        <f>BG12/((1+$B$4)^(AX12-1))</f>
        <v>14194.937500000002</v>
      </c>
      <c r="BM12" s="213">
        <f>BH12/((1+$B$4)^(AX12-1))</f>
        <v>-13643.360833333336</v>
      </c>
      <c r="BN12" s="924">
        <f>BI12/((1+$B$4)^(AX12-1))</f>
        <v>-13171.720833333335</v>
      </c>
      <c r="BO12" s="196">
        <f>BJ12</f>
        <v>551.5766666666666</v>
      </c>
      <c r="BP12" s="197">
        <f>BK12</f>
        <v>471.64</v>
      </c>
      <c r="BQ12" s="197">
        <f>BL12</f>
        <v>14194.937500000002</v>
      </c>
      <c r="BR12" s="197">
        <f>BM12</f>
        <v>-13643.360833333336</v>
      </c>
      <c r="BS12" s="199">
        <f>BN12</f>
        <v>-13171.720833333335</v>
      </c>
      <c r="BV12" s="204">
        <v>1</v>
      </c>
      <c r="BW12" s="225">
        <f>'Energy NPV'!$D65</f>
        <v>2.0466666666666664</v>
      </c>
      <c r="BX12" s="197">
        <f>'Energy margins'!$S$12</f>
        <v>269.5</v>
      </c>
      <c r="BY12" s="197">
        <f>BW12*BX12</f>
        <v>551.5766666666666</v>
      </c>
      <c r="BZ12" s="197">
        <f>'Margins summary'!$U$14</f>
        <v>471.64</v>
      </c>
      <c r="CA12" s="197">
        <f>BY12+BZ12</f>
        <v>1023.2166666666666</v>
      </c>
      <c r="CB12" s="197">
        <f>'Margins summary'!$T$20</f>
        <v>27899.875000000004</v>
      </c>
      <c r="CC12" s="913">
        <f>'Energy NPV'!U65</f>
        <v>490.00000000000006</v>
      </c>
      <c r="CD12" s="197"/>
      <c r="CE12" s="197">
        <f t="shared" ref="CE12:CE27" si="8">(CB12+CC12+CD12)*$BX$8</f>
        <v>56779.750000000007</v>
      </c>
      <c r="CF12" s="197">
        <f t="shared" ref="CF12:CF27" si="9">BY12-CE12</f>
        <v>-56228.17333333334</v>
      </c>
      <c r="CG12" s="197">
        <f t="shared" ref="CG12:CG27" si="10">CA12-CE12</f>
        <v>-55756.53333333334</v>
      </c>
      <c r="CH12" s="1014">
        <f>BY12/((1+$B$4)^(BV12-1))</f>
        <v>551.5766666666666</v>
      </c>
      <c r="CI12" s="213">
        <f>BZ12/((1+$B$4)^(BV12-1))</f>
        <v>471.64</v>
      </c>
      <c r="CJ12" s="213">
        <f>CE12/((1+$B$4)^(BV12-1))</f>
        <v>56779.750000000007</v>
      </c>
      <c r="CK12" s="213">
        <f>CF12/((1+$B$4)^(BV12-1))</f>
        <v>-56228.17333333334</v>
      </c>
      <c r="CL12" s="924">
        <f>CG12/((1+$B$4)^(BV12-1))</f>
        <v>-55756.53333333334</v>
      </c>
      <c r="CM12" s="196">
        <f>CH12</f>
        <v>551.5766666666666</v>
      </c>
      <c r="CN12" s="197">
        <f>CI12</f>
        <v>471.64</v>
      </c>
      <c r="CO12" s="197">
        <f>CJ12</f>
        <v>56779.750000000007</v>
      </c>
      <c r="CP12" s="197">
        <f>CK12</f>
        <v>-56228.17333333334</v>
      </c>
      <c r="CQ12" s="199">
        <f>CL12</f>
        <v>-55756.53333333334</v>
      </c>
      <c r="CT12" s="204">
        <v>1</v>
      </c>
      <c r="CU12" s="225">
        <f>'Energy NPV'!$D65</f>
        <v>2.0466666666666664</v>
      </c>
      <c r="CV12" s="197">
        <f>'Energy margins'!$S$12</f>
        <v>269.5</v>
      </c>
      <c r="CW12" s="197">
        <f>CU12*CV12</f>
        <v>551.5766666666666</v>
      </c>
      <c r="CX12" s="197">
        <f>'Margins summary'!$U$14</f>
        <v>471.64</v>
      </c>
      <c r="CY12" s="197">
        <f>CW12+CX12</f>
        <v>1023.2166666666666</v>
      </c>
      <c r="CZ12" s="197">
        <f>'Margins summary'!$T$20</f>
        <v>27899.875000000004</v>
      </c>
      <c r="DA12" s="913">
        <f>'Energy NPV'!U65</f>
        <v>490.00000000000006</v>
      </c>
      <c r="DB12" s="197"/>
      <c r="DC12" s="197">
        <f t="shared" ref="DC12:DC27" si="11">(CZ12+DA12+DB12)*$CV$8</f>
        <v>0</v>
      </c>
      <c r="DD12" s="197">
        <f t="shared" ref="DD12:DD27" si="12">CW12-DC12</f>
        <v>551.5766666666666</v>
      </c>
      <c r="DE12" s="197">
        <f t="shared" ref="DE12:DE27" si="13">CY12-DC12</f>
        <v>1023.2166666666666</v>
      </c>
      <c r="DF12" s="1014">
        <f>CW12/((1+$B$4)^(CT12-1))</f>
        <v>551.5766666666666</v>
      </c>
      <c r="DG12" s="213">
        <f>CX12/((1+$B$4)^(CT12-1))</f>
        <v>471.64</v>
      </c>
      <c r="DH12" s="213">
        <f>DC12/((1+$B$4)^(CT12-1))</f>
        <v>0</v>
      </c>
      <c r="DI12" s="213">
        <f>DD12/((1+$B$4)^(CT12-1))</f>
        <v>551.5766666666666</v>
      </c>
      <c r="DJ12" s="924">
        <f>DE12/((1+$B$4)^(CT12-1))</f>
        <v>1023.2166666666666</v>
      </c>
      <c r="DK12" s="196">
        <f>DF12</f>
        <v>551.5766666666666</v>
      </c>
      <c r="DL12" s="197">
        <f>DG12</f>
        <v>471.64</v>
      </c>
      <c r="DM12" s="197">
        <f>DH12</f>
        <v>0</v>
      </c>
      <c r="DN12" s="197">
        <f>DI12</f>
        <v>551.5766666666666</v>
      </c>
      <c r="DO12" s="199">
        <f>DJ12</f>
        <v>1023.2166666666666</v>
      </c>
    </row>
    <row r="13" spans="1:119" x14ac:dyDescent="0.3">
      <c r="B13" s="204">
        <v>2</v>
      </c>
      <c r="C13" s="225">
        <f>'Energy NPV'!$D66</f>
        <v>8.27</v>
      </c>
      <c r="D13" s="197">
        <f>'Energy margins'!$S$12</f>
        <v>269.5</v>
      </c>
      <c r="E13" s="197">
        <f t="shared" ref="E13:E27" si="14">C13*D13</f>
        <v>2228.7649999999999</v>
      </c>
      <c r="F13" s="197">
        <f>'Margins summary'!$U$14</f>
        <v>471.64</v>
      </c>
      <c r="G13" s="197">
        <f t="shared" ref="G13:G27" si="15">E13+F13</f>
        <v>2700.4049999999997</v>
      </c>
      <c r="H13" s="197"/>
      <c r="I13" s="913">
        <f>'Energy NPV'!U66</f>
        <v>2629.1</v>
      </c>
      <c r="J13" s="197"/>
      <c r="K13" s="197">
        <f t="shared" ref="K13:K27" si="16">(H13+I13+J13)*$E$8</f>
        <v>2629.1</v>
      </c>
      <c r="L13" s="197">
        <f t="shared" si="0"/>
        <v>-400.33500000000004</v>
      </c>
      <c r="M13" s="197">
        <f t="shared" si="1"/>
        <v>71.304999999999836</v>
      </c>
      <c r="N13" s="196">
        <f t="shared" ref="N13:N27" si="17">E13/((1+$B$4)^(B13-1))</f>
        <v>2143.0432692307691</v>
      </c>
      <c r="O13" s="197">
        <f t="shared" ref="O13:O27" si="18">F13/((1+$B$4)^(B13-1))</f>
        <v>453.49999999999994</v>
      </c>
      <c r="P13" s="197">
        <f t="shared" ref="P13:P27" si="19">K13/((1+$B$4)^(B13-1))</f>
        <v>2527.9807692307691</v>
      </c>
      <c r="Q13" s="197">
        <f t="shared" ref="Q13:Q27" si="20">L13/((1+$B$4)^(B13-1))</f>
        <v>-384.9375</v>
      </c>
      <c r="R13" s="199">
        <f t="shared" ref="R13:R26" si="21">M13/((1+$B$4)^(B13-1))</f>
        <v>68.562499999999844</v>
      </c>
      <c r="S13" s="196">
        <f>S12+N13</f>
        <v>2694.6199358974354</v>
      </c>
      <c r="T13" s="197">
        <f t="shared" ref="T13:W27" si="22">T12+O13</f>
        <v>925.13999999999987</v>
      </c>
      <c r="U13" s="197">
        <f t="shared" si="22"/>
        <v>30917.855769230773</v>
      </c>
      <c r="V13" s="197">
        <f t="shared" si="22"/>
        <v>-28223.235833333336</v>
      </c>
      <c r="W13" s="199">
        <f t="shared" si="22"/>
        <v>-27298.095833333336</v>
      </c>
      <c r="Z13" s="204">
        <v>2</v>
      </c>
      <c r="AA13" s="225">
        <f>'Energy NPV'!$D66</f>
        <v>8.27</v>
      </c>
      <c r="AB13" s="197">
        <f>'Energy margins'!$S$12</f>
        <v>269.5</v>
      </c>
      <c r="AC13" s="197">
        <f t="shared" ref="AC13:AC26" si="23">AA13*AB13</f>
        <v>2228.7649999999999</v>
      </c>
      <c r="AD13" s="197">
        <f>'Margins summary'!$U$14</f>
        <v>471.64</v>
      </c>
      <c r="AE13" s="197">
        <f t="shared" ref="AE13:AE27" si="24">AC13+AD13</f>
        <v>2700.4049999999997</v>
      </c>
      <c r="AF13" s="197"/>
      <c r="AG13" s="913">
        <f>'Energy NPV'!U66</f>
        <v>2629.1</v>
      </c>
      <c r="AH13" s="197"/>
      <c r="AI13" s="197">
        <f t="shared" si="2"/>
        <v>3943.6499999999996</v>
      </c>
      <c r="AJ13" s="197">
        <f t="shared" si="3"/>
        <v>-1714.8849999999998</v>
      </c>
      <c r="AK13" s="197">
        <f t="shared" si="4"/>
        <v>-1243.2449999999999</v>
      </c>
      <c r="AL13" s="196">
        <f t="shared" ref="AL13:AL27" si="25">AC13/((1+$B$4)^(Z13-1))</f>
        <v>2143.0432692307691</v>
      </c>
      <c r="AM13" s="197">
        <f t="shared" ref="AM13:AM27" si="26">AD13/((1+$B$4)^(Z13-1))</f>
        <v>453.49999999999994</v>
      </c>
      <c r="AN13" s="197">
        <f t="shared" ref="AN13:AN27" si="27">AI13/((1+$B$4)^(Z13-1))</f>
        <v>3791.9711538461534</v>
      </c>
      <c r="AO13" s="197">
        <f t="shared" ref="AO13:AO27" si="28">AJ13/((1+$B$4)^(Z13-1))</f>
        <v>-1648.9278846153843</v>
      </c>
      <c r="AP13" s="199">
        <f t="shared" ref="AP13:AP26" si="29">AK13/((1+$B$4)^(Z13-1))</f>
        <v>-1195.4278846153845</v>
      </c>
      <c r="AQ13" s="196">
        <f>AQ12+AL13</f>
        <v>2694.6199358974354</v>
      </c>
      <c r="AR13" s="197">
        <f t="shared" ref="AR13:AU27" si="30">AR12+AM13</f>
        <v>925.13999999999987</v>
      </c>
      <c r="AS13" s="197">
        <f t="shared" si="30"/>
        <v>46376.783653846163</v>
      </c>
      <c r="AT13" s="197">
        <f t="shared" si="30"/>
        <v>-43682.163717948722</v>
      </c>
      <c r="AU13" s="199">
        <f t="shared" si="30"/>
        <v>-42757.023717948723</v>
      </c>
      <c r="AX13" s="204">
        <v>2</v>
      </c>
      <c r="AY13" s="225">
        <f>'Energy NPV'!$D66</f>
        <v>8.27</v>
      </c>
      <c r="AZ13" s="197">
        <f>'Energy margins'!$S$12</f>
        <v>269.5</v>
      </c>
      <c r="BA13" s="197">
        <f t="shared" ref="BA13:BA27" si="31">AY13*AZ13</f>
        <v>2228.7649999999999</v>
      </c>
      <c r="BB13" s="197">
        <f>'Margins summary'!$U$14</f>
        <v>471.64</v>
      </c>
      <c r="BC13" s="197">
        <f t="shared" ref="BC13:BC27" si="32">BA13+BB13</f>
        <v>2700.4049999999997</v>
      </c>
      <c r="BD13" s="197"/>
      <c r="BE13" s="913">
        <f>'Energy NPV'!U66</f>
        <v>2629.1</v>
      </c>
      <c r="BF13" s="197"/>
      <c r="BG13" s="197">
        <f t="shared" si="5"/>
        <v>1314.55</v>
      </c>
      <c r="BH13" s="197">
        <f t="shared" si="6"/>
        <v>914.21499999999992</v>
      </c>
      <c r="BI13" s="197">
        <f t="shared" si="7"/>
        <v>1385.8549999999998</v>
      </c>
      <c r="BJ13" s="196">
        <f t="shared" ref="BJ13:BJ27" si="33">BA13/((1+$B$4)^(AX13-1))</f>
        <v>2143.0432692307691</v>
      </c>
      <c r="BK13" s="197">
        <f t="shared" ref="BK13:BK27" si="34">BB13/((1+$B$4)^(AX13-1))</f>
        <v>453.49999999999994</v>
      </c>
      <c r="BL13" s="197">
        <f t="shared" ref="BL13:BL27" si="35">BG13/((1+$B$4)^(AX13-1))</f>
        <v>1263.9903846153845</v>
      </c>
      <c r="BM13" s="197">
        <f t="shared" ref="BM13:BM27" si="36">BH13/((1+$B$4)^(AX13-1))</f>
        <v>879.05288461538453</v>
      </c>
      <c r="BN13" s="199">
        <f t="shared" ref="BN13:BN26" si="37">BI13/((1+$B$4)^(AX13-1))</f>
        <v>1332.5528846153843</v>
      </c>
      <c r="BO13" s="196">
        <f>BO12+BJ13</f>
        <v>2694.6199358974354</v>
      </c>
      <c r="BP13" s="197">
        <f t="shared" ref="BP13:BS27" si="38">BP12+BK13</f>
        <v>925.13999999999987</v>
      </c>
      <c r="BQ13" s="197">
        <f t="shared" si="38"/>
        <v>15458.927884615387</v>
      </c>
      <c r="BR13" s="197">
        <f t="shared" si="38"/>
        <v>-12764.307948717951</v>
      </c>
      <c r="BS13" s="199">
        <f t="shared" si="38"/>
        <v>-11839.16794871795</v>
      </c>
      <c r="BV13" s="204">
        <v>2</v>
      </c>
      <c r="BW13" s="225">
        <f>'Energy NPV'!$D66</f>
        <v>8.27</v>
      </c>
      <c r="BX13" s="197">
        <f>'Energy margins'!$S$12</f>
        <v>269.5</v>
      </c>
      <c r="BY13" s="197">
        <f t="shared" ref="BY13:BY27" si="39">BW13*BX13</f>
        <v>2228.7649999999999</v>
      </c>
      <c r="BZ13" s="197">
        <f>'Margins summary'!$U$14</f>
        <v>471.64</v>
      </c>
      <c r="CA13" s="197">
        <f t="shared" ref="CA13:CA27" si="40">BY13+BZ13</f>
        <v>2700.4049999999997</v>
      </c>
      <c r="CB13" s="197"/>
      <c r="CC13" s="913">
        <f>'Energy NPV'!U66</f>
        <v>2629.1</v>
      </c>
      <c r="CD13" s="197"/>
      <c r="CE13" s="197">
        <f t="shared" si="8"/>
        <v>5258.2</v>
      </c>
      <c r="CF13" s="197">
        <f t="shared" si="9"/>
        <v>-3029.4349999999999</v>
      </c>
      <c r="CG13" s="197">
        <f t="shared" si="10"/>
        <v>-2557.7950000000001</v>
      </c>
      <c r="CH13" s="196">
        <f t="shared" ref="CH13:CH27" si="41">BY13/((1+$B$4)^(BV13-1))</f>
        <v>2143.0432692307691</v>
      </c>
      <c r="CI13" s="197">
        <f t="shared" ref="CI13:CI27" si="42">BZ13/((1+$B$4)^(BV13-1))</f>
        <v>453.49999999999994</v>
      </c>
      <c r="CJ13" s="197">
        <f t="shared" ref="CJ13:CJ27" si="43">CE13/((1+$B$4)^(BV13-1))</f>
        <v>5055.9615384615381</v>
      </c>
      <c r="CK13" s="197">
        <f t="shared" ref="CK13:CK27" si="44">CF13/((1+$B$4)^(BV13-1))</f>
        <v>-2912.9182692307691</v>
      </c>
      <c r="CL13" s="199">
        <f t="shared" ref="CL13:CL26" si="45">CG13/((1+$B$4)^(BV13-1))</f>
        <v>-2459.4182692307691</v>
      </c>
      <c r="CM13" s="196">
        <f>CM12+CH13</f>
        <v>2694.6199358974354</v>
      </c>
      <c r="CN13" s="197">
        <f t="shared" ref="CN13:CN27" si="46">CN12+CI13</f>
        <v>925.13999999999987</v>
      </c>
      <c r="CO13" s="197">
        <f t="shared" ref="CO13:CO27" si="47">CO12+CJ13</f>
        <v>61835.711538461546</v>
      </c>
      <c r="CP13" s="197">
        <f t="shared" ref="CP13:CP27" si="48">CP12+CK13</f>
        <v>-59141.091602564105</v>
      </c>
      <c r="CQ13" s="199">
        <f t="shared" ref="CQ13:CQ27" si="49">CQ12+CL13</f>
        <v>-58215.951602564106</v>
      </c>
      <c r="CT13" s="204">
        <v>2</v>
      </c>
      <c r="CU13" s="225">
        <f>'Energy NPV'!$D66</f>
        <v>8.27</v>
      </c>
      <c r="CV13" s="197">
        <f>'Energy margins'!$S$12</f>
        <v>269.5</v>
      </c>
      <c r="CW13" s="197">
        <f t="shared" ref="CW13:CW27" si="50">CU13*CV13</f>
        <v>2228.7649999999999</v>
      </c>
      <c r="CX13" s="197">
        <f>'Margins summary'!$U$14</f>
        <v>471.64</v>
      </c>
      <c r="CY13" s="197">
        <f t="shared" ref="CY13:CY27" si="51">CW13+CX13</f>
        <v>2700.4049999999997</v>
      </c>
      <c r="CZ13" s="197"/>
      <c r="DA13" s="913">
        <f>'Energy NPV'!U66</f>
        <v>2629.1</v>
      </c>
      <c r="DB13" s="197"/>
      <c r="DC13" s="197">
        <f t="shared" si="11"/>
        <v>0</v>
      </c>
      <c r="DD13" s="197">
        <f t="shared" si="12"/>
        <v>2228.7649999999999</v>
      </c>
      <c r="DE13" s="197">
        <f t="shared" si="13"/>
        <v>2700.4049999999997</v>
      </c>
      <c r="DF13" s="196">
        <f t="shared" ref="DF13:DF27" si="52">CW13/((1+$B$4)^(CT13-1))</f>
        <v>2143.0432692307691</v>
      </c>
      <c r="DG13" s="197">
        <f t="shared" ref="DG13:DG27" si="53">CX13/((1+$B$4)^(CT13-1))</f>
        <v>453.49999999999994</v>
      </c>
      <c r="DH13" s="197">
        <f t="shared" ref="DH13:DH27" si="54">DC13/((1+$B$4)^(CT13-1))</f>
        <v>0</v>
      </c>
      <c r="DI13" s="197">
        <f t="shared" ref="DI13:DI27" si="55">DD13/((1+$B$4)^(CT13-1))</f>
        <v>2143.0432692307691</v>
      </c>
      <c r="DJ13" s="199">
        <f t="shared" ref="DJ13:DJ26" si="56">DE13/((1+$B$4)^(CT13-1))</f>
        <v>2596.5432692307691</v>
      </c>
      <c r="DK13" s="196">
        <f>DK12+DF13</f>
        <v>2694.6199358974354</v>
      </c>
      <c r="DL13" s="197">
        <f t="shared" ref="DL13:DL27" si="57">DL12+DG13</f>
        <v>925.13999999999987</v>
      </c>
      <c r="DM13" s="197">
        <f t="shared" ref="DM13:DM27" si="58">DM12+DH13</f>
        <v>0</v>
      </c>
      <c r="DN13" s="197">
        <f t="shared" ref="DN13:DN27" si="59">DN12+DI13</f>
        <v>2694.6199358974354</v>
      </c>
      <c r="DO13" s="199">
        <f t="shared" ref="DO13:DO27" si="60">DO12+DJ13</f>
        <v>3619.7599358974358</v>
      </c>
    </row>
    <row r="14" spans="1:119" x14ac:dyDescent="0.3">
      <c r="B14" s="204">
        <f t="shared" ref="B14:B27" si="61">B13+1</f>
        <v>3</v>
      </c>
      <c r="C14" s="225">
        <f>'Energy NPV'!$D67</f>
        <v>10.926666666666668</v>
      </c>
      <c r="D14" s="197">
        <f>'Energy margins'!$S$12</f>
        <v>269.5</v>
      </c>
      <c r="E14" s="197">
        <f t="shared" si="14"/>
        <v>2944.7366666666671</v>
      </c>
      <c r="F14" s="197">
        <f>'Margins summary'!$U$14</f>
        <v>471.64</v>
      </c>
      <c r="G14" s="197">
        <f t="shared" si="15"/>
        <v>3416.376666666667</v>
      </c>
      <c r="H14" s="197"/>
      <c r="I14" s="913">
        <f>'Energy NPV'!U67</f>
        <v>2629.1</v>
      </c>
      <c r="J14" s="197"/>
      <c r="K14" s="197">
        <f t="shared" si="16"/>
        <v>2629.1</v>
      </c>
      <c r="L14" s="197">
        <f t="shared" si="0"/>
        <v>315.63666666666722</v>
      </c>
      <c r="M14" s="197">
        <f t="shared" si="1"/>
        <v>787.2766666666671</v>
      </c>
      <c r="N14" s="196">
        <f t="shared" si="17"/>
        <v>2722.5745808678503</v>
      </c>
      <c r="O14" s="197">
        <f t="shared" si="18"/>
        <v>436.05769230769226</v>
      </c>
      <c r="P14" s="197">
        <f t="shared" si="19"/>
        <v>2430.7507396449701</v>
      </c>
      <c r="Q14" s="197">
        <f t="shared" si="20"/>
        <v>291.82384122288016</v>
      </c>
      <c r="R14" s="199">
        <f t="shared" si="21"/>
        <v>727.88153353057226</v>
      </c>
      <c r="S14" s="196">
        <f t="shared" ref="S14:S27" si="62">S13+N14</f>
        <v>5417.1945167652857</v>
      </c>
      <c r="T14" s="197">
        <f t="shared" si="22"/>
        <v>1361.1976923076923</v>
      </c>
      <c r="U14" s="197">
        <f t="shared" si="22"/>
        <v>33348.606508875746</v>
      </c>
      <c r="V14" s="197">
        <f t="shared" si="22"/>
        <v>-27931.411992110458</v>
      </c>
      <c r="W14" s="199">
        <f t="shared" si="22"/>
        <v>-26570.214299802763</v>
      </c>
      <c r="Z14" s="204">
        <f t="shared" ref="Z14:Z27" si="63">Z13+1</f>
        <v>3</v>
      </c>
      <c r="AA14" s="225">
        <f>'Energy NPV'!$D67</f>
        <v>10.926666666666668</v>
      </c>
      <c r="AB14" s="197">
        <f>'Energy margins'!$S$12</f>
        <v>269.5</v>
      </c>
      <c r="AC14" s="197">
        <f t="shared" si="23"/>
        <v>2944.7366666666671</v>
      </c>
      <c r="AD14" s="197">
        <f>'Margins summary'!$U$14</f>
        <v>471.64</v>
      </c>
      <c r="AE14" s="197">
        <f t="shared" si="24"/>
        <v>3416.376666666667</v>
      </c>
      <c r="AF14" s="197"/>
      <c r="AG14" s="913">
        <f>'Energy NPV'!U67</f>
        <v>2629.1</v>
      </c>
      <c r="AH14" s="197"/>
      <c r="AI14" s="197">
        <f t="shared" si="2"/>
        <v>3943.6499999999996</v>
      </c>
      <c r="AJ14" s="197">
        <f t="shared" si="3"/>
        <v>-998.9133333333325</v>
      </c>
      <c r="AK14" s="197">
        <f t="shared" si="4"/>
        <v>-527.27333333333263</v>
      </c>
      <c r="AL14" s="196">
        <f t="shared" si="25"/>
        <v>2722.5745808678503</v>
      </c>
      <c r="AM14" s="197">
        <f t="shared" si="26"/>
        <v>436.05769230769226</v>
      </c>
      <c r="AN14" s="197">
        <f t="shared" si="27"/>
        <v>3646.1261094674551</v>
      </c>
      <c r="AO14" s="197">
        <f t="shared" si="28"/>
        <v>-923.55152859960469</v>
      </c>
      <c r="AP14" s="199">
        <f t="shared" si="29"/>
        <v>-487.49383629191249</v>
      </c>
      <c r="AQ14" s="196">
        <f t="shared" ref="AQ14:AQ27" si="64">AQ13+AL14</f>
        <v>5417.1945167652857</v>
      </c>
      <c r="AR14" s="197">
        <f t="shared" si="30"/>
        <v>1361.1976923076923</v>
      </c>
      <c r="AS14" s="197">
        <f t="shared" si="30"/>
        <v>50022.909763313619</v>
      </c>
      <c r="AT14" s="197">
        <f t="shared" si="30"/>
        <v>-44605.71524654833</v>
      </c>
      <c r="AU14" s="199">
        <f t="shared" si="30"/>
        <v>-43244.517554240636</v>
      </c>
      <c r="AX14" s="204">
        <f t="shared" ref="AX14:AX27" si="65">AX13+1</f>
        <v>3</v>
      </c>
      <c r="AY14" s="225">
        <f>'Energy NPV'!$D67</f>
        <v>10.926666666666668</v>
      </c>
      <c r="AZ14" s="197">
        <f>'Energy margins'!$S$12</f>
        <v>269.5</v>
      </c>
      <c r="BA14" s="197">
        <f t="shared" si="31"/>
        <v>2944.7366666666671</v>
      </c>
      <c r="BB14" s="197">
        <f>'Margins summary'!$U$14</f>
        <v>471.64</v>
      </c>
      <c r="BC14" s="197">
        <f t="shared" si="32"/>
        <v>3416.376666666667</v>
      </c>
      <c r="BD14" s="197"/>
      <c r="BE14" s="913">
        <f>'Energy NPV'!U67</f>
        <v>2629.1</v>
      </c>
      <c r="BF14" s="197"/>
      <c r="BG14" s="197">
        <f t="shared" si="5"/>
        <v>1314.55</v>
      </c>
      <c r="BH14" s="197">
        <f t="shared" si="6"/>
        <v>1630.1866666666672</v>
      </c>
      <c r="BI14" s="197">
        <f t="shared" si="7"/>
        <v>2101.8266666666668</v>
      </c>
      <c r="BJ14" s="196">
        <f t="shared" si="33"/>
        <v>2722.5745808678503</v>
      </c>
      <c r="BK14" s="197">
        <f t="shared" si="34"/>
        <v>436.05769230769226</v>
      </c>
      <c r="BL14" s="197">
        <f t="shared" si="35"/>
        <v>1215.375369822485</v>
      </c>
      <c r="BM14" s="197">
        <f t="shared" si="36"/>
        <v>1507.1992110453652</v>
      </c>
      <c r="BN14" s="199">
        <f t="shared" si="37"/>
        <v>1943.2569033530572</v>
      </c>
      <c r="BO14" s="196">
        <f t="shared" ref="BO14:BO27" si="66">BO13+BJ14</f>
        <v>5417.1945167652857</v>
      </c>
      <c r="BP14" s="197">
        <f t="shared" si="38"/>
        <v>1361.1976923076923</v>
      </c>
      <c r="BQ14" s="197">
        <f t="shared" si="38"/>
        <v>16674.303254437873</v>
      </c>
      <c r="BR14" s="197">
        <f t="shared" si="38"/>
        <v>-11257.108737672586</v>
      </c>
      <c r="BS14" s="199">
        <f t="shared" si="38"/>
        <v>-9895.9110453648937</v>
      </c>
      <c r="BV14" s="204">
        <f t="shared" ref="BV14:BV27" si="67">BV13+1</f>
        <v>3</v>
      </c>
      <c r="BW14" s="225">
        <f>'Energy NPV'!$D67</f>
        <v>10.926666666666668</v>
      </c>
      <c r="BX14" s="197">
        <f>'Energy margins'!$S$12</f>
        <v>269.5</v>
      </c>
      <c r="BY14" s="197">
        <f t="shared" si="39"/>
        <v>2944.7366666666671</v>
      </c>
      <c r="BZ14" s="197">
        <f>'Margins summary'!$U$14</f>
        <v>471.64</v>
      </c>
      <c r="CA14" s="197">
        <f t="shared" si="40"/>
        <v>3416.376666666667</v>
      </c>
      <c r="CB14" s="197"/>
      <c r="CC14" s="913">
        <f>'Energy NPV'!U67</f>
        <v>2629.1</v>
      </c>
      <c r="CD14" s="197"/>
      <c r="CE14" s="197">
        <f t="shared" si="8"/>
        <v>5258.2</v>
      </c>
      <c r="CF14" s="197">
        <f t="shared" si="9"/>
        <v>-2313.4633333333327</v>
      </c>
      <c r="CG14" s="197">
        <f t="shared" si="10"/>
        <v>-1841.8233333333328</v>
      </c>
      <c r="CH14" s="196">
        <f t="shared" si="41"/>
        <v>2722.5745808678503</v>
      </c>
      <c r="CI14" s="197">
        <f t="shared" si="42"/>
        <v>436.05769230769226</v>
      </c>
      <c r="CJ14" s="197">
        <f t="shared" si="43"/>
        <v>4861.5014792899401</v>
      </c>
      <c r="CK14" s="197">
        <f t="shared" si="44"/>
        <v>-2138.9268984220898</v>
      </c>
      <c r="CL14" s="199">
        <f t="shared" si="45"/>
        <v>-1702.8692061143977</v>
      </c>
      <c r="CM14" s="196">
        <f t="shared" ref="CM14:CM27" si="68">CM13+CH14</f>
        <v>5417.1945167652857</v>
      </c>
      <c r="CN14" s="197">
        <f t="shared" si="46"/>
        <v>1361.1976923076923</v>
      </c>
      <c r="CO14" s="197">
        <f t="shared" si="47"/>
        <v>66697.213017751492</v>
      </c>
      <c r="CP14" s="197">
        <f t="shared" si="48"/>
        <v>-61280.018500986196</v>
      </c>
      <c r="CQ14" s="199">
        <f t="shared" si="49"/>
        <v>-59918.820808678502</v>
      </c>
      <c r="CT14" s="204">
        <f t="shared" ref="CT14:CT27" si="69">CT13+1</f>
        <v>3</v>
      </c>
      <c r="CU14" s="225">
        <f>'Energy NPV'!$D67</f>
        <v>10.926666666666668</v>
      </c>
      <c r="CV14" s="197">
        <f>'Energy margins'!$S$12</f>
        <v>269.5</v>
      </c>
      <c r="CW14" s="197">
        <f t="shared" si="50"/>
        <v>2944.7366666666671</v>
      </c>
      <c r="CX14" s="197">
        <f>'Margins summary'!$U$14</f>
        <v>471.64</v>
      </c>
      <c r="CY14" s="197">
        <f t="shared" si="51"/>
        <v>3416.376666666667</v>
      </c>
      <c r="CZ14" s="197"/>
      <c r="DA14" s="913">
        <f>'Energy NPV'!U67</f>
        <v>2629.1</v>
      </c>
      <c r="DB14" s="197"/>
      <c r="DC14" s="197">
        <f t="shared" si="11"/>
        <v>0</v>
      </c>
      <c r="DD14" s="197">
        <f t="shared" si="12"/>
        <v>2944.7366666666671</v>
      </c>
      <c r="DE14" s="197">
        <f t="shared" si="13"/>
        <v>3416.376666666667</v>
      </c>
      <c r="DF14" s="196">
        <f t="shared" si="52"/>
        <v>2722.5745808678503</v>
      </c>
      <c r="DG14" s="197">
        <f t="shared" si="53"/>
        <v>436.05769230769226</v>
      </c>
      <c r="DH14" s="197">
        <f t="shared" si="54"/>
        <v>0</v>
      </c>
      <c r="DI14" s="197">
        <f t="shared" si="55"/>
        <v>2722.5745808678503</v>
      </c>
      <c r="DJ14" s="199">
        <f t="shared" si="56"/>
        <v>3158.6322731755422</v>
      </c>
      <c r="DK14" s="196">
        <f t="shared" ref="DK14:DK27" si="70">DK13+DF14</f>
        <v>5417.1945167652857</v>
      </c>
      <c r="DL14" s="197">
        <f t="shared" si="57"/>
        <v>1361.1976923076923</v>
      </c>
      <c r="DM14" s="197">
        <f t="shared" si="58"/>
        <v>0</v>
      </c>
      <c r="DN14" s="197">
        <f t="shared" si="59"/>
        <v>5417.1945167652857</v>
      </c>
      <c r="DO14" s="199">
        <f t="shared" si="60"/>
        <v>6778.3922090729775</v>
      </c>
    </row>
    <row r="15" spans="1:119" x14ac:dyDescent="0.3">
      <c r="B15" s="204">
        <f t="shared" si="61"/>
        <v>4</v>
      </c>
      <c r="C15" s="225">
        <f>'Energy NPV'!$D68</f>
        <v>11.617000000000001</v>
      </c>
      <c r="D15" s="197">
        <f>'Energy margins'!$S$12</f>
        <v>269.5</v>
      </c>
      <c r="E15" s="197">
        <f t="shared" si="14"/>
        <v>3130.7815000000001</v>
      </c>
      <c r="F15" s="197">
        <f>'Margins summary'!$U$14</f>
        <v>471.64</v>
      </c>
      <c r="G15" s="197">
        <f t="shared" si="15"/>
        <v>3602.4214999999999</v>
      </c>
      <c r="H15" s="197"/>
      <c r="I15" s="913">
        <f>'Energy NPV'!U68</f>
        <v>1840.1999999999998</v>
      </c>
      <c r="J15" s="197"/>
      <c r="K15" s="197">
        <f t="shared" si="16"/>
        <v>1840.1999999999998</v>
      </c>
      <c r="L15" s="197">
        <f t="shared" si="0"/>
        <v>1290.5815000000002</v>
      </c>
      <c r="M15" s="197">
        <f t="shared" si="1"/>
        <v>1762.2215000000001</v>
      </c>
      <c r="N15" s="196">
        <f t="shared" si="17"/>
        <v>2783.2533532942648</v>
      </c>
      <c r="O15" s="197">
        <f t="shared" si="18"/>
        <v>419.28624260355025</v>
      </c>
      <c r="P15" s="197">
        <f t="shared" si="19"/>
        <v>1635.9310992262174</v>
      </c>
      <c r="Q15" s="197">
        <f t="shared" si="20"/>
        <v>1147.3222540680474</v>
      </c>
      <c r="R15" s="199">
        <f t="shared" si="21"/>
        <v>1566.6084966715975</v>
      </c>
      <c r="S15" s="196">
        <f t="shared" si="62"/>
        <v>8200.44787005955</v>
      </c>
      <c r="T15" s="197">
        <f t="shared" si="22"/>
        <v>1780.4839349112426</v>
      </c>
      <c r="U15" s="197">
        <f t="shared" si="22"/>
        <v>34984.537608101964</v>
      </c>
      <c r="V15" s="197">
        <f t="shared" si="22"/>
        <v>-26784.08973804241</v>
      </c>
      <c r="W15" s="199">
        <f t="shared" si="22"/>
        <v>-25003.605803131166</v>
      </c>
      <c r="Z15" s="204">
        <f t="shared" si="63"/>
        <v>4</v>
      </c>
      <c r="AA15" s="225">
        <f>'Energy NPV'!$D68</f>
        <v>11.617000000000001</v>
      </c>
      <c r="AB15" s="197">
        <f>'Energy margins'!$S$12</f>
        <v>269.5</v>
      </c>
      <c r="AC15" s="197">
        <f t="shared" si="23"/>
        <v>3130.7815000000001</v>
      </c>
      <c r="AD15" s="197">
        <f>'Margins summary'!$U$14</f>
        <v>471.64</v>
      </c>
      <c r="AE15" s="197">
        <f t="shared" si="24"/>
        <v>3602.4214999999999</v>
      </c>
      <c r="AF15" s="197"/>
      <c r="AG15" s="913">
        <f>'Energy NPV'!U68</f>
        <v>1840.1999999999998</v>
      </c>
      <c r="AH15" s="197"/>
      <c r="AI15" s="197">
        <f t="shared" si="2"/>
        <v>2760.2999999999997</v>
      </c>
      <c r="AJ15" s="197">
        <f t="shared" si="3"/>
        <v>370.48150000000032</v>
      </c>
      <c r="AK15" s="197">
        <f t="shared" si="4"/>
        <v>842.1215000000002</v>
      </c>
      <c r="AL15" s="196">
        <f t="shared" si="25"/>
        <v>2783.2533532942648</v>
      </c>
      <c r="AM15" s="197">
        <f t="shared" si="26"/>
        <v>419.28624260355025</v>
      </c>
      <c r="AN15" s="197">
        <f t="shared" si="27"/>
        <v>2453.8966488393257</v>
      </c>
      <c r="AO15" s="197">
        <f t="shared" si="28"/>
        <v>329.35670445493884</v>
      </c>
      <c r="AP15" s="199">
        <f t="shared" si="29"/>
        <v>748.64294705848897</v>
      </c>
      <c r="AQ15" s="196">
        <f t="shared" si="64"/>
        <v>8200.44787005955</v>
      </c>
      <c r="AR15" s="197">
        <f t="shared" si="30"/>
        <v>1780.4839349112426</v>
      </c>
      <c r="AS15" s="197">
        <f t="shared" si="30"/>
        <v>52476.806412152946</v>
      </c>
      <c r="AT15" s="197">
        <f t="shared" si="30"/>
        <v>-44276.358542093389</v>
      </c>
      <c r="AU15" s="199">
        <f t="shared" si="30"/>
        <v>-42495.874607182144</v>
      </c>
      <c r="AX15" s="204">
        <f t="shared" si="65"/>
        <v>4</v>
      </c>
      <c r="AY15" s="225">
        <f>'Energy NPV'!$D68</f>
        <v>11.617000000000001</v>
      </c>
      <c r="AZ15" s="197">
        <f>'Energy margins'!$S$12</f>
        <v>269.5</v>
      </c>
      <c r="BA15" s="197">
        <f t="shared" si="31"/>
        <v>3130.7815000000001</v>
      </c>
      <c r="BB15" s="197">
        <f>'Margins summary'!$U$14</f>
        <v>471.64</v>
      </c>
      <c r="BC15" s="197">
        <f t="shared" si="32"/>
        <v>3602.4214999999999</v>
      </c>
      <c r="BD15" s="197"/>
      <c r="BE15" s="913">
        <f>'Energy NPV'!U68</f>
        <v>1840.1999999999998</v>
      </c>
      <c r="BF15" s="197"/>
      <c r="BG15" s="197">
        <f t="shared" si="5"/>
        <v>920.09999999999991</v>
      </c>
      <c r="BH15" s="197">
        <f t="shared" si="6"/>
        <v>2210.6815000000001</v>
      </c>
      <c r="BI15" s="197">
        <f t="shared" si="7"/>
        <v>2682.3215</v>
      </c>
      <c r="BJ15" s="196">
        <f t="shared" si="33"/>
        <v>2783.2533532942648</v>
      </c>
      <c r="BK15" s="197">
        <f t="shared" si="34"/>
        <v>419.28624260355025</v>
      </c>
      <c r="BL15" s="197">
        <f t="shared" si="35"/>
        <v>817.96554961310869</v>
      </c>
      <c r="BM15" s="197">
        <f t="shared" si="36"/>
        <v>1965.287803681156</v>
      </c>
      <c r="BN15" s="199">
        <f t="shared" si="37"/>
        <v>2384.5740462847061</v>
      </c>
      <c r="BO15" s="196">
        <f t="shared" si="66"/>
        <v>8200.44787005955</v>
      </c>
      <c r="BP15" s="197">
        <f t="shared" si="38"/>
        <v>1780.4839349112426</v>
      </c>
      <c r="BQ15" s="197">
        <f t="shared" si="38"/>
        <v>17492.268804050982</v>
      </c>
      <c r="BR15" s="197">
        <f t="shared" si="38"/>
        <v>-9291.8209339914301</v>
      </c>
      <c r="BS15" s="199">
        <f t="shared" si="38"/>
        <v>-7511.3369990801875</v>
      </c>
      <c r="BV15" s="204">
        <f t="shared" si="67"/>
        <v>4</v>
      </c>
      <c r="BW15" s="225">
        <f>'Energy NPV'!$D68</f>
        <v>11.617000000000001</v>
      </c>
      <c r="BX15" s="197">
        <f>'Energy margins'!$S$12</f>
        <v>269.5</v>
      </c>
      <c r="BY15" s="197">
        <f t="shared" si="39"/>
        <v>3130.7815000000001</v>
      </c>
      <c r="BZ15" s="197">
        <f>'Margins summary'!$U$14</f>
        <v>471.64</v>
      </c>
      <c r="CA15" s="197">
        <f t="shared" si="40"/>
        <v>3602.4214999999999</v>
      </c>
      <c r="CB15" s="197"/>
      <c r="CC15" s="913">
        <f>'Energy NPV'!U68</f>
        <v>1840.1999999999998</v>
      </c>
      <c r="CD15" s="197"/>
      <c r="CE15" s="197">
        <f t="shared" si="8"/>
        <v>3680.3999999999996</v>
      </c>
      <c r="CF15" s="197">
        <f t="shared" si="9"/>
        <v>-549.61849999999959</v>
      </c>
      <c r="CG15" s="197">
        <f t="shared" si="10"/>
        <v>-77.978499999999713</v>
      </c>
      <c r="CH15" s="196">
        <f t="shared" si="41"/>
        <v>2783.2533532942648</v>
      </c>
      <c r="CI15" s="197">
        <f t="shared" si="42"/>
        <v>419.28624260355025</v>
      </c>
      <c r="CJ15" s="197">
        <f t="shared" si="43"/>
        <v>3271.8621984524348</v>
      </c>
      <c r="CK15" s="197">
        <f t="shared" si="44"/>
        <v>-488.6088451581698</v>
      </c>
      <c r="CL15" s="199">
        <f t="shared" si="45"/>
        <v>-69.322602554619678</v>
      </c>
      <c r="CM15" s="196">
        <f t="shared" si="68"/>
        <v>8200.44787005955</v>
      </c>
      <c r="CN15" s="197">
        <f t="shared" si="46"/>
        <v>1780.4839349112426</v>
      </c>
      <c r="CO15" s="197">
        <f t="shared" si="47"/>
        <v>69969.075216203928</v>
      </c>
      <c r="CP15" s="197">
        <f t="shared" si="48"/>
        <v>-61768.627346144363</v>
      </c>
      <c r="CQ15" s="199">
        <f t="shared" si="49"/>
        <v>-59988.143411233119</v>
      </c>
      <c r="CT15" s="204">
        <f t="shared" si="69"/>
        <v>4</v>
      </c>
      <c r="CU15" s="225">
        <f>'Energy NPV'!$D68</f>
        <v>11.617000000000001</v>
      </c>
      <c r="CV15" s="197">
        <f>'Energy margins'!$S$12</f>
        <v>269.5</v>
      </c>
      <c r="CW15" s="197">
        <f t="shared" si="50"/>
        <v>3130.7815000000001</v>
      </c>
      <c r="CX15" s="197">
        <f>'Margins summary'!$U$14</f>
        <v>471.64</v>
      </c>
      <c r="CY15" s="197">
        <f t="shared" si="51"/>
        <v>3602.4214999999999</v>
      </c>
      <c r="CZ15" s="197"/>
      <c r="DA15" s="913">
        <f>'Energy NPV'!U68</f>
        <v>1840.1999999999998</v>
      </c>
      <c r="DB15" s="197"/>
      <c r="DC15" s="197">
        <f t="shared" si="11"/>
        <v>0</v>
      </c>
      <c r="DD15" s="197">
        <f t="shared" si="12"/>
        <v>3130.7815000000001</v>
      </c>
      <c r="DE15" s="197">
        <f t="shared" si="13"/>
        <v>3602.4214999999999</v>
      </c>
      <c r="DF15" s="196">
        <f t="shared" si="52"/>
        <v>2783.2533532942648</v>
      </c>
      <c r="DG15" s="197">
        <f t="shared" si="53"/>
        <v>419.28624260355025</v>
      </c>
      <c r="DH15" s="197">
        <f t="shared" si="54"/>
        <v>0</v>
      </c>
      <c r="DI15" s="197">
        <f t="shared" si="55"/>
        <v>2783.2533532942648</v>
      </c>
      <c r="DJ15" s="199">
        <f t="shared" si="56"/>
        <v>3202.5395958978147</v>
      </c>
      <c r="DK15" s="196">
        <f t="shared" si="70"/>
        <v>8200.44787005955</v>
      </c>
      <c r="DL15" s="197">
        <f t="shared" si="57"/>
        <v>1780.4839349112426</v>
      </c>
      <c r="DM15" s="197">
        <f t="shared" si="58"/>
        <v>0</v>
      </c>
      <c r="DN15" s="197">
        <f t="shared" si="59"/>
        <v>8200.44787005955</v>
      </c>
      <c r="DO15" s="199">
        <f t="shared" si="60"/>
        <v>9980.9318049707927</v>
      </c>
    </row>
    <row r="16" spans="1:119" x14ac:dyDescent="0.3">
      <c r="B16" s="204">
        <f t="shared" si="61"/>
        <v>5</v>
      </c>
      <c r="C16" s="225">
        <f>'Energy NPV'!$D69</f>
        <v>11.617000000000001</v>
      </c>
      <c r="D16" s="197">
        <f>'Energy margins'!$S$12</f>
        <v>269.5</v>
      </c>
      <c r="E16" s="197">
        <f t="shared" si="14"/>
        <v>3130.7815000000001</v>
      </c>
      <c r="F16" s="197">
        <f>'Margins summary'!$U$14</f>
        <v>471.64</v>
      </c>
      <c r="G16" s="197">
        <f t="shared" si="15"/>
        <v>3602.4214999999999</v>
      </c>
      <c r="H16" s="197"/>
      <c r="I16" s="913">
        <f>'Energy NPV'!U69</f>
        <v>1840.1999999999998</v>
      </c>
      <c r="J16" s="197"/>
      <c r="K16" s="197">
        <f t="shared" si="16"/>
        <v>1840.1999999999998</v>
      </c>
      <c r="L16" s="197">
        <f t="shared" si="0"/>
        <v>1290.5815000000002</v>
      </c>
      <c r="M16" s="197">
        <f t="shared" si="1"/>
        <v>1762.2215000000001</v>
      </c>
      <c r="N16" s="196">
        <f t="shared" si="17"/>
        <v>2676.2051473983311</v>
      </c>
      <c r="O16" s="197">
        <f t="shared" si="18"/>
        <v>403.15984865725983</v>
      </c>
      <c r="P16" s="197">
        <f t="shared" si="19"/>
        <v>1573.0106723329011</v>
      </c>
      <c r="Q16" s="197">
        <f t="shared" si="20"/>
        <v>1103.1944750654302</v>
      </c>
      <c r="R16" s="199">
        <f t="shared" si="21"/>
        <v>1506.3543237226897</v>
      </c>
      <c r="S16" s="196">
        <f t="shared" si="62"/>
        <v>10876.65301745788</v>
      </c>
      <c r="T16" s="197">
        <f t="shared" si="22"/>
        <v>2183.6437835685024</v>
      </c>
      <c r="U16" s="197">
        <f t="shared" si="22"/>
        <v>36557.548280434865</v>
      </c>
      <c r="V16" s="197">
        <f t="shared" si="22"/>
        <v>-25680.895262976981</v>
      </c>
      <c r="W16" s="199">
        <f t="shared" si="22"/>
        <v>-23497.251479408475</v>
      </c>
      <c r="Z16" s="204">
        <f t="shared" si="63"/>
        <v>5</v>
      </c>
      <c r="AA16" s="225">
        <f>'Energy NPV'!$D69</f>
        <v>11.617000000000001</v>
      </c>
      <c r="AB16" s="197">
        <f>'Energy margins'!$S$12</f>
        <v>269.5</v>
      </c>
      <c r="AC16" s="197">
        <f t="shared" si="23"/>
        <v>3130.7815000000001</v>
      </c>
      <c r="AD16" s="197">
        <f>'Margins summary'!$U$14</f>
        <v>471.64</v>
      </c>
      <c r="AE16" s="197">
        <f t="shared" si="24"/>
        <v>3602.4214999999999</v>
      </c>
      <c r="AF16" s="197"/>
      <c r="AG16" s="913">
        <f>'Energy NPV'!U69</f>
        <v>1840.1999999999998</v>
      </c>
      <c r="AH16" s="197"/>
      <c r="AI16" s="197">
        <f t="shared" si="2"/>
        <v>2760.2999999999997</v>
      </c>
      <c r="AJ16" s="197">
        <f t="shared" si="3"/>
        <v>370.48150000000032</v>
      </c>
      <c r="AK16" s="197">
        <f t="shared" si="4"/>
        <v>842.1215000000002</v>
      </c>
      <c r="AL16" s="196">
        <f t="shared" si="25"/>
        <v>2676.2051473983311</v>
      </c>
      <c r="AM16" s="197">
        <f t="shared" si="26"/>
        <v>403.15984865725983</v>
      </c>
      <c r="AN16" s="197">
        <f t="shared" si="27"/>
        <v>2359.5160084993518</v>
      </c>
      <c r="AO16" s="197">
        <f t="shared" si="28"/>
        <v>316.68913889897959</v>
      </c>
      <c r="AP16" s="199">
        <f t="shared" si="29"/>
        <v>719.84898755623931</v>
      </c>
      <c r="AQ16" s="196">
        <f t="shared" si="64"/>
        <v>10876.65301745788</v>
      </c>
      <c r="AR16" s="197">
        <f t="shared" si="30"/>
        <v>2183.6437835685024</v>
      </c>
      <c r="AS16" s="197">
        <f t="shared" si="30"/>
        <v>54836.322420652301</v>
      </c>
      <c r="AT16" s="197">
        <f t="shared" si="30"/>
        <v>-43959.669403194406</v>
      </c>
      <c r="AU16" s="199">
        <f t="shared" si="30"/>
        <v>-41776.025619625907</v>
      </c>
      <c r="AX16" s="204">
        <f t="shared" si="65"/>
        <v>5</v>
      </c>
      <c r="AY16" s="225">
        <f>'Energy NPV'!$D69</f>
        <v>11.617000000000001</v>
      </c>
      <c r="AZ16" s="197">
        <f>'Energy margins'!$S$12</f>
        <v>269.5</v>
      </c>
      <c r="BA16" s="197">
        <f t="shared" si="31"/>
        <v>3130.7815000000001</v>
      </c>
      <c r="BB16" s="197">
        <f>'Margins summary'!$U$14</f>
        <v>471.64</v>
      </c>
      <c r="BC16" s="197">
        <f t="shared" si="32"/>
        <v>3602.4214999999999</v>
      </c>
      <c r="BD16" s="197"/>
      <c r="BE16" s="913">
        <f>'Energy NPV'!U69</f>
        <v>1840.1999999999998</v>
      </c>
      <c r="BF16" s="197"/>
      <c r="BG16" s="197">
        <f t="shared" si="5"/>
        <v>920.09999999999991</v>
      </c>
      <c r="BH16" s="197">
        <f t="shared" si="6"/>
        <v>2210.6815000000001</v>
      </c>
      <c r="BI16" s="197">
        <f t="shared" si="7"/>
        <v>2682.3215</v>
      </c>
      <c r="BJ16" s="196">
        <f t="shared" si="33"/>
        <v>2676.2051473983311</v>
      </c>
      <c r="BK16" s="197">
        <f t="shared" si="34"/>
        <v>403.15984865725983</v>
      </c>
      <c r="BL16" s="197">
        <f t="shared" si="35"/>
        <v>786.50533616645055</v>
      </c>
      <c r="BM16" s="197">
        <f t="shared" si="36"/>
        <v>1889.6998112318806</v>
      </c>
      <c r="BN16" s="199">
        <f t="shared" si="37"/>
        <v>2292.8596598891404</v>
      </c>
      <c r="BO16" s="196">
        <f t="shared" si="66"/>
        <v>10876.65301745788</v>
      </c>
      <c r="BP16" s="197">
        <f t="shared" si="38"/>
        <v>2183.6437835685024</v>
      </c>
      <c r="BQ16" s="197">
        <f t="shared" si="38"/>
        <v>18278.774140217432</v>
      </c>
      <c r="BR16" s="197">
        <f t="shared" si="38"/>
        <v>-7402.1211227595495</v>
      </c>
      <c r="BS16" s="199">
        <f t="shared" si="38"/>
        <v>-5218.4773391910476</v>
      </c>
      <c r="BV16" s="204">
        <f t="shared" si="67"/>
        <v>5</v>
      </c>
      <c r="BW16" s="225">
        <f>'Energy NPV'!$D69</f>
        <v>11.617000000000001</v>
      </c>
      <c r="BX16" s="197">
        <f>'Energy margins'!$S$12</f>
        <v>269.5</v>
      </c>
      <c r="BY16" s="197">
        <f t="shared" si="39"/>
        <v>3130.7815000000001</v>
      </c>
      <c r="BZ16" s="197">
        <f>'Margins summary'!$U$14</f>
        <v>471.64</v>
      </c>
      <c r="CA16" s="197">
        <f t="shared" si="40"/>
        <v>3602.4214999999999</v>
      </c>
      <c r="CB16" s="197"/>
      <c r="CC16" s="913">
        <f>'Energy NPV'!U69</f>
        <v>1840.1999999999998</v>
      </c>
      <c r="CD16" s="197"/>
      <c r="CE16" s="197">
        <f t="shared" si="8"/>
        <v>3680.3999999999996</v>
      </c>
      <c r="CF16" s="197">
        <f t="shared" si="9"/>
        <v>-549.61849999999959</v>
      </c>
      <c r="CG16" s="197">
        <f t="shared" si="10"/>
        <v>-77.978499999999713</v>
      </c>
      <c r="CH16" s="196">
        <f t="shared" si="41"/>
        <v>2676.2051473983311</v>
      </c>
      <c r="CI16" s="197">
        <f t="shared" si="42"/>
        <v>403.15984865725983</v>
      </c>
      <c r="CJ16" s="197">
        <f t="shared" si="43"/>
        <v>3146.0213446658022</v>
      </c>
      <c r="CK16" s="197">
        <f t="shared" si="44"/>
        <v>-469.81619726747095</v>
      </c>
      <c r="CL16" s="199">
        <f t="shared" si="45"/>
        <v>-66.656348610211225</v>
      </c>
      <c r="CM16" s="196">
        <f t="shared" si="68"/>
        <v>10876.65301745788</v>
      </c>
      <c r="CN16" s="197">
        <f t="shared" si="46"/>
        <v>2183.6437835685024</v>
      </c>
      <c r="CO16" s="197">
        <f t="shared" si="47"/>
        <v>73115.09656086973</v>
      </c>
      <c r="CP16" s="197">
        <f t="shared" si="48"/>
        <v>-62238.443543411835</v>
      </c>
      <c r="CQ16" s="199">
        <f t="shared" si="49"/>
        <v>-60054.799759843329</v>
      </c>
      <c r="CT16" s="204">
        <f t="shared" si="69"/>
        <v>5</v>
      </c>
      <c r="CU16" s="225">
        <f>'Energy NPV'!$D69</f>
        <v>11.617000000000001</v>
      </c>
      <c r="CV16" s="197">
        <f>'Energy margins'!$S$12</f>
        <v>269.5</v>
      </c>
      <c r="CW16" s="197">
        <f t="shared" si="50"/>
        <v>3130.7815000000001</v>
      </c>
      <c r="CX16" s="197">
        <f>'Margins summary'!$U$14</f>
        <v>471.64</v>
      </c>
      <c r="CY16" s="197">
        <f t="shared" si="51"/>
        <v>3602.4214999999999</v>
      </c>
      <c r="CZ16" s="197"/>
      <c r="DA16" s="913">
        <f>'Energy NPV'!U69</f>
        <v>1840.1999999999998</v>
      </c>
      <c r="DB16" s="197"/>
      <c r="DC16" s="197">
        <f t="shared" si="11"/>
        <v>0</v>
      </c>
      <c r="DD16" s="197">
        <f t="shared" si="12"/>
        <v>3130.7815000000001</v>
      </c>
      <c r="DE16" s="197">
        <f t="shared" si="13"/>
        <v>3602.4214999999999</v>
      </c>
      <c r="DF16" s="196">
        <f t="shared" si="52"/>
        <v>2676.2051473983311</v>
      </c>
      <c r="DG16" s="197">
        <f t="shared" si="53"/>
        <v>403.15984865725983</v>
      </c>
      <c r="DH16" s="197">
        <f t="shared" si="54"/>
        <v>0</v>
      </c>
      <c r="DI16" s="197">
        <f t="shared" si="55"/>
        <v>2676.2051473983311</v>
      </c>
      <c r="DJ16" s="199">
        <f t="shared" si="56"/>
        <v>3079.3649960555908</v>
      </c>
      <c r="DK16" s="196">
        <f t="shared" si="70"/>
        <v>10876.65301745788</v>
      </c>
      <c r="DL16" s="197">
        <f t="shared" si="57"/>
        <v>2183.6437835685024</v>
      </c>
      <c r="DM16" s="197">
        <f t="shared" si="58"/>
        <v>0</v>
      </c>
      <c r="DN16" s="197">
        <f t="shared" si="59"/>
        <v>10876.65301745788</v>
      </c>
      <c r="DO16" s="199">
        <f t="shared" si="60"/>
        <v>13060.296801026383</v>
      </c>
    </row>
    <row r="17" spans="2:119" x14ac:dyDescent="0.3">
      <c r="B17" s="204">
        <f t="shared" si="61"/>
        <v>6</v>
      </c>
      <c r="C17" s="225">
        <f>'Energy NPV'!$D70</f>
        <v>11.617000000000001</v>
      </c>
      <c r="D17" s="197">
        <f>'Energy margins'!$S$12</f>
        <v>269.5</v>
      </c>
      <c r="E17" s="197">
        <f t="shared" si="14"/>
        <v>3130.7815000000001</v>
      </c>
      <c r="F17" s="197">
        <f>'Margins summary'!$U$14</f>
        <v>471.64</v>
      </c>
      <c r="G17" s="197">
        <f t="shared" si="15"/>
        <v>3602.4214999999999</v>
      </c>
      <c r="H17" s="197"/>
      <c r="I17" s="913">
        <f>'Energy NPV'!U70</f>
        <v>1840.1999999999998</v>
      </c>
      <c r="J17" s="197"/>
      <c r="K17" s="197">
        <f t="shared" si="16"/>
        <v>1840.1999999999998</v>
      </c>
      <c r="L17" s="197">
        <f t="shared" si="0"/>
        <v>1290.5815000000002</v>
      </c>
      <c r="M17" s="197">
        <f t="shared" si="1"/>
        <v>1762.2215000000001</v>
      </c>
      <c r="N17" s="196">
        <f t="shared" si="17"/>
        <v>2573.2741801907027</v>
      </c>
      <c r="O17" s="197">
        <f t="shared" si="18"/>
        <v>387.65370063198054</v>
      </c>
      <c r="P17" s="197">
        <f t="shared" si="19"/>
        <v>1512.5102618585586</v>
      </c>
      <c r="Q17" s="197">
        <f t="shared" si="20"/>
        <v>1060.7639183321442</v>
      </c>
      <c r="R17" s="199">
        <f t="shared" si="21"/>
        <v>1448.4176189641248</v>
      </c>
      <c r="S17" s="196">
        <f t="shared" si="62"/>
        <v>13449.927197648583</v>
      </c>
      <c r="T17" s="197">
        <f t="shared" si="22"/>
        <v>2571.2974842004828</v>
      </c>
      <c r="U17" s="197">
        <f t="shared" si="22"/>
        <v>38070.058542293424</v>
      </c>
      <c r="V17" s="197">
        <f t="shared" si="22"/>
        <v>-24620.131344644837</v>
      </c>
      <c r="W17" s="199">
        <f t="shared" si="22"/>
        <v>-22048.833860444349</v>
      </c>
      <c r="Z17" s="204">
        <f t="shared" si="63"/>
        <v>6</v>
      </c>
      <c r="AA17" s="225">
        <f>'Energy NPV'!$D70</f>
        <v>11.617000000000001</v>
      </c>
      <c r="AB17" s="197">
        <f>'Energy margins'!$S$12</f>
        <v>269.5</v>
      </c>
      <c r="AC17" s="197">
        <f t="shared" si="23"/>
        <v>3130.7815000000001</v>
      </c>
      <c r="AD17" s="197">
        <f>'Margins summary'!$U$14</f>
        <v>471.64</v>
      </c>
      <c r="AE17" s="197">
        <f t="shared" si="24"/>
        <v>3602.4214999999999</v>
      </c>
      <c r="AF17" s="197"/>
      <c r="AG17" s="913">
        <f>'Energy NPV'!U70</f>
        <v>1840.1999999999998</v>
      </c>
      <c r="AH17" s="197"/>
      <c r="AI17" s="197">
        <f t="shared" si="2"/>
        <v>2760.2999999999997</v>
      </c>
      <c r="AJ17" s="197">
        <f t="shared" si="3"/>
        <v>370.48150000000032</v>
      </c>
      <c r="AK17" s="197">
        <f t="shared" si="4"/>
        <v>842.1215000000002</v>
      </c>
      <c r="AL17" s="196">
        <f t="shared" si="25"/>
        <v>2573.2741801907027</v>
      </c>
      <c r="AM17" s="197">
        <f t="shared" si="26"/>
        <v>387.65370063198054</v>
      </c>
      <c r="AN17" s="197">
        <f t="shared" si="27"/>
        <v>2268.7653927878378</v>
      </c>
      <c r="AO17" s="197">
        <f t="shared" si="28"/>
        <v>304.50878740286498</v>
      </c>
      <c r="AP17" s="199">
        <f t="shared" si="29"/>
        <v>692.16248803484541</v>
      </c>
      <c r="AQ17" s="196">
        <f t="shared" si="64"/>
        <v>13449.927197648583</v>
      </c>
      <c r="AR17" s="197">
        <f t="shared" si="30"/>
        <v>2571.2974842004828</v>
      </c>
      <c r="AS17" s="197">
        <f t="shared" si="30"/>
        <v>57105.087813440136</v>
      </c>
      <c r="AT17" s="197">
        <f t="shared" si="30"/>
        <v>-43655.160615791538</v>
      </c>
      <c r="AU17" s="199">
        <f t="shared" si="30"/>
        <v>-41083.863131591061</v>
      </c>
      <c r="AX17" s="204">
        <f t="shared" si="65"/>
        <v>6</v>
      </c>
      <c r="AY17" s="225">
        <f>'Energy NPV'!$D70</f>
        <v>11.617000000000001</v>
      </c>
      <c r="AZ17" s="197">
        <f>'Energy margins'!$S$12</f>
        <v>269.5</v>
      </c>
      <c r="BA17" s="197">
        <f t="shared" si="31"/>
        <v>3130.7815000000001</v>
      </c>
      <c r="BB17" s="197">
        <f>'Margins summary'!$U$14</f>
        <v>471.64</v>
      </c>
      <c r="BC17" s="197">
        <f t="shared" si="32"/>
        <v>3602.4214999999999</v>
      </c>
      <c r="BD17" s="197"/>
      <c r="BE17" s="913">
        <f>'Energy NPV'!U70</f>
        <v>1840.1999999999998</v>
      </c>
      <c r="BF17" s="197"/>
      <c r="BG17" s="197">
        <f t="shared" si="5"/>
        <v>920.09999999999991</v>
      </c>
      <c r="BH17" s="197">
        <f t="shared" si="6"/>
        <v>2210.6815000000001</v>
      </c>
      <c r="BI17" s="197">
        <f t="shared" si="7"/>
        <v>2682.3215</v>
      </c>
      <c r="BJ17" s="196">
        <f t="shared" si="33"/>
        <v>2573.2741801907027</v>
      </c>
      <c r="BK17" s="197">
        <f t="shared" si="34"/>
        <v>387.65370063198054</v>
      </c>
      <c r="BL17" s="197">
        <f t="shared" si="35"/>
        <v>756.25513092927929</v>
      </c>
      <c r="BM17" s="197">
        <f t="shared" si="36"/>
        <v>1817.0190492614236</v>
      </c>
      <c r="BN17" s="199">
        <f t="shared" si="37"/>
        <v>2204.6727498934038</v>
      </c>
      <c r="BO17" s="196">
        <f t="shared" si="66"/>
        <v>13449.927197648583</v>
      </c>
      <c r="BP17" s="197">
        <f t="shared" si="38"/>
        <v>2571.2974842004828</v>
      </c>
      <c r="BQ17" s="197">
        <f t="shared" si="38"/>
        <v>19035.029271146712</v>
      </c>
      <c r="BR17" s="197">
        <f t="shared" si="38"/>
        <v>-5585.1020734981257</v>
      </c>
      <c r="BS17" s="199">
        <f t="shared" si="38"/>
        <v>-3013.8045892976438</v>
      </c>
      <c r="BV17" s="204">
        <f t="shared" si="67"/>
        <v>6</v>
      </c>
      <c r="BW17" s="225">
        <f>'Energy NPV'!$D70</f>
        <v>11.617000000000001</v>
      </c>
      <c r="BX17" s="197">
        <f>'Energy margins'!$S$12</f>
        <v>269.5</v>
      </c>
      <c r="BY17" s="197">
        <f t="shared" si="39"/>
        <v>3130.7815000000001</v>
      </c>
      <c r="BZ17" s="197">
        <f>'Margins summary'!$U$14</f>
        <v>471.64</v>
      </c>
      <c r="CA17" s="197">
        <f t="shared" si="40"/>
        <v>3602.4214999999999</v>
      </c>
      <c r="CB17" s="197"/>
      <c r="CC17" s="913">
        <f>'Energy NPV'!U70</f>
        <v>1840.1999999999998</v>
      </c>
      <c r="CD17" s="197"/>
      <c r="CE17" s="197">
        <f t="shared" si="8"/>
        <v>3680.3999999999996</v>
      </c>
      <c r="CF17" s="197">
        <f t="shared" si="9"/>
        <v>-549.61849999999959</v>
      </c>
      <c r="CG17" s="197">
        <f t="shared" si="10"/>
        <v>-77.978499999999713</v>
      </c>
      <c r="CH17" s="196">
        <f t="shared" si="41"/>
        <v>2573.2741801907027</v>
      </c>
      <c r="CI17" s="197">
        <f t="shared" si="42"/>
        <v>387.65370063198054</v>
      </c>
      <c r="CJ17" s="197">
        <f t="shared" si="43"/>
        <v>3025.0205237171172</v>
      </c>
      <c r="CK17" s="197">
        <f t="shared" si="44"/>
        <v>-451.74634352641431</v>
      </c>
      <c r="CL17" s="199">
        <f t="shared" si="45"/>
        <v>-64.092642894433851</v>
      </c>
      <c r="CM17" s="196">
        <f t="shared" si="68"/>
        <v>13449.927197648583</v>
      </c>
      <c r="CN17" s="197">
        <f t="shared" si="46"/>
        <v>2571.2974842004828</v>
      </c>
      <c r="CO17" s="197">
        <f t="shared" si="47"/>
        <v>76140.117084586847</v>
      </c>
      <c r="CP17" s="197">
        <f t="shared" si="48"/>
        <v>-62690.189886938249</v>
      </c>
      <c r="CQ17" s="199">
        <f t="shared" si="49"/>
        <v>-60118.892402737765</v>
      </c>
      <c r="CT17" s="204">
        <f t="shared" si="69"/>
        <v>6</v>
      </c>
      <c r="CU17" s="225">
        <f>'Energy NPV'!$D70</f>
        <v>11.617000000000001</v>
      </c>
      <c r="CV17" s="197">
        <f>'Energy margins'!$S$12</f>
        <v>269.5</v>
      </c>
      <c r="CW17" s="197">
        <f t="shared" si="50"/>
        <v>3130.7815000000001</v>
      </c>
      <c r="CX17" s="197">
        <f>'Margins summary'!$U$14</f>
        <v>471.64</v>
      </c>
      <c r="CY17" s="197">
        <f t="shared" si="51"/>
        <v>3602.4214999999999</v>
      </c>
      <c r="CZ17" s="197"/>
      <c r="DA17" s="913">
        <f>'Energy NPV'!U70</f>
        <v>1840.1999999999998</v>
      </c>
      <c r="DB17" s="197"/>
      <c r="DC17" s="197">
        <f t="shared" si="11"/>
        <v>0</v>
      </c>
      <c r="DD17" s="197">
        <f t="shared" si="12"/>
        <v>3130.7815000000001</v>
      </c>
      <c r="DE17" s="197">
        <f t="shared" si="13"/>
        <v>3602.4214999999999</v>
      </c>
      <c r="DF17" s="196">
        <f t="shared" si="52"/>
        <v>2573.2741801907027</v>
      </c>
      <c r="DG17" s="197">
        <f t="shared" si="53"/>
        <v>387.65370063198054</v>
      </c>
      <c r="DH17" s="197">
        <f t="shared" si="54"/>
        <v>0</v>
      </c>
      <c r="DI17" s="197">
        <f t="shared" si="55"/>
        <v>2573.2741801907027</v>
      </c>
      <c r="DJ17" s="199">
        <f t="shared" si="56"/>
        <v>2960.9278808226832</v>
      </c>
      <c r="DK17" s="196">
        <f t="shared" si="70"/>
        <v>13449.927197648583</v>
      </c>
      <c r="DL17" s="197">
        <f t="shared" si="57"/>
        <v>2571.2974842004828</v>
      </c>
      <c r="DM17" s="197">
        <f t="shared" si="58"/>
        <v>0</v>
      </c>
      <c r="DN17" s="197">
        <f t="shared" si="59"/>
        <v>13449.927197648583</v>
      </c>
      <c r="DO17" s="199">
        <f t="shared" si="60"/>
        <v>16021.224681849066</v>
      </c>
    </row>
    <row r="18" spans="2:119" x14ac:dyDescent="0.3">
      <c r="B18" s="204">
        <f t="shared" si="61"/>
        <v>7</v>
      </c>
      <c r="C18" s="225">
        <f>'Energy NPV'!$D71</f>
        <v>11.617000000000001</v>
      </c>
      <c r="D18" s="197">
        <f>'Energy margins'!$S$12</f>
        <v>269.5</v>
      </c>
      <c r="E18" s="197">
        <f t="shared" si="14"/>
        <v>3130.7815000000001</v>
      </c>
      <c r="F18" s="197">
        <f>'Margins summary'!$U$14</f>
        <v>471.64</v>
      </c>
      <c r="G18" s="197">
        <f t="shared" si="15"/>
        <v>3602.4214999999999</v>
      </c>
      <c r="H18" s="197"/>
      <c r="I18" s="913">
        <f>'Energy NPV'!U71</f>
        <v>1840.1999999999998</v>
      </c>
      <c r="J18" s="197"/>
      <c r="K18" s="197">
        <f t="shared" si="16"/>
        <v>1840.1999999999998</v>
      </c>
      <c r="L18" s="197">
        <f t="shared" si="0"/>
        <v>1290.5815000000002</v>
      </c>
      <c r="M18" s="197">
        <f t="shared" si="1"/>
        <v>1762.2215000000001</v>
      </c>
      <c r="N18" s="196">
        <f t="shared" si="17"/>
        <v>2474.3020963372142</v>
      </c>
      <c r="O18" s="197">
        <f t="shared" si="18"/>
        <v>372.74394291536589</v>
      </c>
      <c r="P18" s="197">
        <f t="shared" si="19"/>
        <v>1454.3367902486141</v>
      </c>
      <c r="Q18" s="197">
        <f t="shared" si="20"/>
        <v>1019.9653060886002</v>
      </c>
      <c r="R18" s="199">
        <f t="shared" si="21"/>
        <v>1392.7092490039661</v>
      </c>
      <c r="S18" s="196">
        <f t="shared" si="62"/>
        <v>15924.229293985798</v>
      </c>
      <c r="T18" s="197">
        <f t="shared" si="22"/>
        <v>2944.0414271158488</v>
      </c>
      <c r="U18" s="197">
        <f t="shared" si="22"/>
        <v>39524.395332542037</v>
      </c>
      <c r="V18" s="197">
        <f t="shared" si="22"/>
        <v>-23600.166038556235</v>
      </c>
      <c r="W18" s="199">
        <f t="shared" si="22"/>
        <v>-20656.124611440384</v>
      </c>
      <c r="Z18" s="204">
        <f t="shared" si="63"/>
        <v>7</v>
      </c>
      <c r="AA18" s="225">
        <f>'Energy NPV'!$D71</f>
        <v>11.617000000000001</v>
      </c>
      <c r="AB18" s="197">
        <f>'Energy margins'!$S$12</f>
        <v>269.5</v>
      </c>
      <c r="AC18" s="197">
        <f t="shared" si="23"/>
        <v>3130.7815000000001</v>
      </c>
      <c r="AD18" s="197">
        <f>'Margins summary'!$U$14</f>
        <v>471.64</v>
      </c>
      <c r="AE18" s="197">
        <f t="shared" si="24"/>
        <v>3602.4214999999999</v>
      </c>
      <c r="AF18" s="197"/>
      <c r="AG18" s="913">
        <f>'Energy NPV'!U71</f>
        <v>1840.1999999999998</v>
      </c>
      <c r="AH18" s="197"/>
      <c r="AI18" s="197">
        <f t="shared" si="2"/>
        <v>2760.2999999999997</v>
      </c>
      <c r="AJ18" s="197">
        <f t="shared" si="3"/>
        <v>370.48150000000032</v>
      </c>
      <c r="AK18" s="197">
        <f t="shared" si="4"/>
        <v>842.1215000000002</v>
      </c>
      <c r="AL18" s="196">
        <f t="shared" si="25"/>
        <v>2474.3020963372142</v>
      </c>
      <c r="AM18" s="197">
        <f t="shared" si="26"/>
        <v>372.74394291536589</v>
      </c>
      <c r="AN18" s="197">
        <f t="shared" si="27"/>
        <v>2181.505185372921</v>
      </c>
      <c r="AO18" s="197">
        <f t="shared" si="28"/>
        <v>292.79691096429326</v>
      </c>
      <c r="AP18" s="199">
        <f t="shared" si="29"/>
        <v>665.54085387965904</v>
      </c>
      <c r="AQ18" s="196">
        <f t="shared" si="64"/>
        <v>15924.229293985798</v>
      </c>
      <c r="AR18" s="197">
        <f t="shared" si="30"/>
        <v>2944.0414271158488</v>
      </c>
      <c r="AS18" s="197">
        <f t="shared" si="30"/>
        <v>59286.592998813059</v>
      </c>
      <c r="AT18" s="197">
        <f t="shared" si="30"/>
        <v>-43362.363704827243</v>
      </c>
      <c r="AU18" s="199">
        <f t="shared" si="30"/>
        <v>-40418.322277711399</v>
      </c>
      <c r="AX18" s="204">
        <f t="shared" si="65"/>
        <v>7</v>
      </c>
      <c r="AY18" s="225">
        <f>'Energy NPV'!$D71</f>
        <v>11.617000000000001</v>
      </c>
      <c r="AZ18" s="197">
        <f>'Energy margins'!$S$12</f>
        <v>269.5</v>
      </c>
      <c r="BA18" s="197">
        <f t="shared" si="31"/>
        <v>3130.7815000000001</v>
      </c>
      <c r="BB18" s="197">
        <f>'Margins summary'!$U$14</f>
        <v>471.64</v>
      </c>
      <c r="BC18" s="197">
        <f t="shared" si="32"/>
        <v>3602.4214999999999</v>
      </c>
      <c r="BD18" s="197"/>
      <c r="BE18" s="913">
        <f>'Energy NPV'!U71</f>
        <v>1840.1999999999998</v>
      </c>
      <c r="BF18" s="197"/>
      <c r="BG18" s="197">
        <f t="shared" si="5"/>
        <v>920.09999999999991</v>
      </c>
      <c r="BH18" s="197">
        <f t="shared" si="6"/>
        <v>2210.6815000000001</v>
      </c>
      <c r="BI18" s="197">
        <f t="shared" si="7"/>
        <v>2682.3215</v>
      </c>
      <c r="BJ18" s="196">
        <f t="shared" si="33"/>
        <v>2474.3020963372142</v>
      </c>
      <c r="BK18" s="197">
        <f t="shared" si="34"/>
        <v>372.74394291536589</v>
      </c>
      <c r="BL18" s="197">
        <f t="shared" si="35"/>
        <v>727.16839512430704</v>
      </c>
      <c r="BM18" s="197">
        <f t="shared" si="36"/>
        <v>1747.1337012129072</v>
      </c>
      <c r="BN18" s="199">
        <f t="shared" si="37"/>
        <v>2119.877644128273</v>
      </c>
      <c r="BO18" s="196">
        <f t="shared" si="66"/>
        <v>15924.229293985798</v>
      </c>
      <c r="BP18" s="197">
        <f t="shared" si="38"/>
        <v>2944.0414271158488</v>
      </c>
      <c r="BQ18" s="197">
        <f t="shared" si="38"/>
        <v>19762.197666271019</v>
      </c>
      <c r="BR18" s="197">
        <f t="shared" si="38"/>
        <v>-3837.9683722852187</v>
      </c>
      <c r="BS18" s="199">
        <f t="shared" si="38"/>
        <v>-893.92694516937081</v>
      </c>
      <c r="BV18" s="204">
        <f t="shared" si="67"/>
        <v>7</v>
      </c>
      <c r="BW18" s="225">
        <f>'Energy NPV'!$D71</f>
        <v>11.617000000000001</v>
      </c>
      <c r="BX18" s="197">
        <f>'Energy margins'!$S$12</f>
        <v>269.5</v>
      </c>
      <c r="BY18" s="197">
        <f t="shared" si="39"/>
        <v>3130.7815000000001</v>
      </c>
      <c r="BZ18" s="197">
        <f>'Margins summary'!$U$14</f>
        <v>471.64</v>
      </c>
      <c r="CA18" s="197">
        <f t="shared" si="40"/>
        <v>3602.4214999999999</v>
      </c>
      <c r="CB18" s="197"/>
      <c r="CC18" s="913">
        <f>'Energy NPV'!U71</f>
        <v>1840.1999999999998</v>
      </c>
      <c r="CD18" s="197"/>
      <c r="CE18" s="197">
        <f t="shared" si="8"/>
        <v>3680.3999999999996</v>
      </c>
      <c r="CF18" s="197">
        <f t="shared" si="9"/>
        <v>-549.61849999999959</v>
      </c>
      <c r="CG18" s="197">
        <f t="shared" si="10"/>
        <v>-77.978499999999713</v>
      </c>
      <c r="CH18" s="196">
        <f t="shared" si="41"/>
        <v>2474.3020963372142</v>
      </c>
      <c r="CI18" s="197">
        <f t="shared" si="42"/>
        <v>372.74394291536589</v>
      </c>
      <c r="CJ18" s="197">
        <f t="shared" si="43"/>
        <v>2908.6735804972282</v>
      </c>
      <c r="CK18" s="197">
        <f t="shared" si="44"/>
        <v>-434.37148416001378</v>
      </c>
      <c r="CL18" s="199">
        <f t="shared" si="45"/>
        <v>-61.627541244647944</v>
      </c>
      <c r="CM18" s="196">
        <f t="shared" si="68"/>
        <v>15924.229293985798</v>
      </c>
      <c r="CN18" s="197">
        <f t="shared" si="46"/>
        <v>2944.0414271158488</v>
      </c>
      <c r="CO18" s="197">
        <f t="shared" si="47"/>
        <v>79048.790665084074</v>
      </c>
      <c r="CP18" s="197">
        <f t="shared" si="48"/>
        <v>-63124.561371098265</v>
      </c>
      <c r="CQ18" s="199">
        <f t="shared" si="49"/>
        <v>-60180.519943982414</v>
      </c>
      <c r="CT18" s="204">
        <f t="shared" si="69"/>
        <v>7</v>
      </c>
      <c r="CU18" s="225">
        <f>'Energy NPV'!$D71</f>
        <v>11.617000000000001</v>
      </c>
      <c r="CV18" s="197">
        <f>'Energy margins'!$S$12</f>
        <v>269.5</v>
      </c>
      <c r="CW18" s="197">
        <f t="shared" si="50"/>
        <v>3130.7815000000001</v>
      </c>
      <c r="CX18" s="197">
        <f>'Margins summary'!$U$14</f>
        <v>471.64</v>
      </c>
      <c r="CY18" s="197">
        <f t="shared" si="51"/>
        <v>3602.4214999999999</v>
      </c>
      <c r="CZ18" s="197"/>
      <c r="DA18" s="913">
        <f>'Energy NPV'!U71</f>
        <v>1840.1999999999998</v>
      </c>
      <c r="DB18" s="197"/>
      <c r="DC18" s="197">
        <f t="shared" si="11"/>
        <v>0</v>
      </c>
      <c r="DD18" s="197">
        <f t="shared" si="12"/>
        <v>3130.7815000000001</v>
      </c>
      <c r="DE18" s="197">
        <f t="shared" si="13"/>
        <v>3602.4214999999999</v>
      </c>
      <c r="DF18" s="196">
        <f t="shared" si="52"/>
        <v>2474.3020963372142</v>
      </c>
      <c r="DG18" s="197">
        <f t="shared" si="53"/>
        <v>372.74394291536589</v>
      </c>
      <c r="DH18" s="197">
        <f t="shared" si="54"/>
        <v>0</v>
      </c>
      <c r="DI18" s="197">
        <f t="shared" si="55"/>
        <v>2474.3020963372142</v>
      </c>
      <c r="DJ18" s="199">
        <f t="shared" si="56"/>
        <v>2847.0460392525802</v>
      </c>
      <c r="DK18" s="196">
        <f t="shared" si="70"/>
        <v>15924.229293985798</v>
      </c>
      <c r="DL18" s="197">
        <f t="shared" si="57"/>
        <v>2944.0414271158488</v>
      </c>
      <c r="DM18" s="197">
        <f t="shared" si="58"/>
        <v>0</v>
      </c>
      <c r="DN18" s="197">
        <f t="shared" si="59"/>
        <v>15924.229293985798</v>
      </c>
      <c r="DO18" s="199">
        <f t="shared" si="60"/>
        <v>18868.270721101646</v>
      </c>
    </row>
    <row r="19" spans="2:119" x14ac:dyDescent="0.3">
      <c r="B19" s="204">
        <f t="shared" si="61"/>
        <v>8</v>
      </c>
      <c r="C19" s="225">
        <f>'Energy NPV'!$D72</f>
        <v>11.617000000000001</v>
      </c>
      <c r="D19" s="197">
        <f>'Energy margins'!$S$12</f>
        <v>269.5</v>
      </c>
      <c r="E19" s="197">
        <f t="shared" si="14"/>
        <v>3130.7815000000001</v>
      </c>
      <c r="F19" s="197">
        <f>'Margins summary'!$U$14</f>
        <v>471.64</v>
      </c>
      <c r="G19" s="197">
        <f t="shared" si="15"/>
        <v>3602.4214999999999</v>
      </c>
      <c r="H19" s="197"/>
      <c r="I19" s="913">
        <f>'Energy NPV'!U72</f>
        <v>1840.1999999999998</v>
      </c>
      <c r="J19" s="197"/>
      <c r="K19" s="197">
        <f t="shared" si="16"/>
        <v>1840.1999999999998</v>
      </c>
      <c r="L19" s="197">
        <f t="shared" si="0"/>
        <v>1290.5815000000002</v>
      </c>
      <c r="M19" s="197">
        <f t="shared" si="1"/>
        <v>1762.2215000000001</v>
      </c>
      <c r="N19" s="196">
        <f t="shared" si="17"/>
        <v>2379.1366310934754</v>
      </c>
      <c r="O19" s="197">
        <f t="shared" si="18"/>
        <v>358.40763741862111</v>
      </c>
      <c r="P19" s="197">
        <f t="shared" si="19"/>
        <v>1398.4007598544367</v>
      </c>
      <c r="Q19" s="197">
        <f t="shared" si="20"/>
        <v>980.73587123903883</v>
      </c>
      <c r="R19" s="199">
        <f t="shared" si="21"/>
        <v>1339.1435086576598</v>
      </c>
      <c r="S19" s="196">
        <f t="shared" si="62"/>
        <v>18303.365925079273</v>
      </c>
      <c r="T19" s="197">
        <f t="shared" si="22"/>
        <v>3302.4490645344699</v>
      </c>
      <c r="U19" s="197">
        <f t="shared" si="22"/>
        <v>40922.796092396471</v>
      </c>
      <c r="V19" s="197">
        <f t="shared" si="22"/>
        <v>-22619.430167317198</v>
      </c>
      <c r="W19" s="199">
        <f t="shared" si="22"/>
        <v>-19316.981102782724</v>
      </c>
      <c r="Z19" s="204">
        <f t="shared" si="63"/>
        <v>8</v>
      </c>
      <c r="AA19" s="225">
        <f>'Energy NPV'!$D72</f>
        <v>11.617000000000001</v>
      </c>
      <c r="AB19" s="197">
        <f>'Energy margins'!$S$12</f>
        <v>269.5</v>
      </c>
      <c r="AC19" s="197">
        <f t="shared" si="23"/>
        <v>3130.7815000000001</v>
      </c>
      <c r="AD19" s="197">
        <f>'Margins summary'!$U$14</f>
        <v>471.64</v>
      </c>
      <c r="AE19" s="197">
        <f t="shared" si="24"/>
        <v>3602.4214999999999</v>
      </c>
      <c r="AF19" s="197"/>
      <c r="AG19" s="913">
        <f>'Energy NPV'!U72</f>
        <v>1840.1999999999998</v>
      </c>
      <c r="AH19" s="197"/>
      <c r="AI19" s="197">
        <f t="shared" si="2"/>
        <v>2760.2999999999997</v>
      </c>
      <c r="AJ19" s="197">
        <f t="shared" si="3"/>
        <v>370.48150000000032</v>
      </c>
      <c r="AK19" s="197">
        <f t="shared" si="4"/>
        <v>842.1215000000002</v>
      </c>
      <c r="AL19" s="196">
        <f t="shared" si="25"/>
        <v>2379.1366310934754</v>
      </c>
      <c r="AM19" s="197">
        <f t="shared" si="26"/>
        <v>358.40763741862111</v>
      </c>
      <c r="AN19" s="197">
        <f t="shared" si="27"/>
        <v>2097.6011397816551</v>
      </c>
      <c r="AO19" s="197">
        <f t="shared" si="28"/>
        <v>281.53549131182046</v>
      </c>
      <c r="AP19" s="199">
        <f t="shared" si="29"/>
        <v>639.94312873044146</v>
      </c>
      <c r="AQ19" s="196">
        <f t="shared" si="64"/>
        <v>18303.365925079273</v>
      </c>
      <c r="AR19" s="197">
        <f t="shared" si="30"/>
        <v>3302.4490645344699</v>
      </c>
      <c r="AS19" s="197">
        <f t="shared" si="30"/>
        <v>61384.194138594714</v>
      </c>
      <c r="AT19" s="197">
        <f t="shared" si="30"/>
        <v>-43080.828213515422</v>
      </c>
      <c r="AU19" s="199">
        <f t="shared" si="30"/>
        <v>-39778.379148980959</v>
      </c>
      <c r="AX19" s="204">
        <f t="shared" si="65"/>
        <v>8</v>
      </c>
      <c r="AY19" s="225">
        <f>'Energy NPV'!$D72</f>
        <v>11.617000000000001</v>
      </c>
      <c r="AZ19" s="197">
        <f>'Energy margins'!$S$12</f>
        <v>269.5</v>
      </c>
      <c r="BA19" s="197">
        <f t="shared" si="31"/>
        <v>3130.7815000000001</v>
      </c>
      <c r="BB19" s="197">
        <f>'Margins summary'!$U$14</f>
        <v>471.64</v>
      </c>
      <c r="BC19" s="197">
        <f t="shared" si="32"/>
        <v>3602.4214999999999</v>
      </c>
      <c r="BD19" s="197"/>
      <c r="BE19" s="913">
        <f>'Energy NPV'!U72</f>
        <v>1840.1999999999998</v>
      </c>
      <c r="BF19" s="197"/>
      <c r="BG19" s="197">
        <f t="shared" si="5"/>
        <v>920.09999999999991</v>
      </c>
      <c r="BH19" s="197">
        <f t="shared" si="6"/>
        <v>2210.6815000000001</v>
      </c>
      <c r="BI19" s="197">
        <f t="shared" si="7"/>
        <v>2682.3215</v>
      </c>
      <c r="BJ19" s="196">
        <f t="shared" si="33"/>
        <v>2379.1366310934754</v>
      </c>
      <c r="BK19" s="197">
        <f t="shared" si="34"/>
        <v>358.40763741862111</v>
      </c>
      <c r="BL19" s="197">
        <f t="shared" si="35"/>
        <v>699.20037992721836</v>
      </c>
      <c r="BM19" s="197">
        <f t="shared" si="36"/>
        <v>1679.9362511662571</v>
      </c>
      <c r="BN19" s="199">
        <f t="shared" si="37"/>
        <v>2038.3438885848782</v>
      </c>
      <c r="BO19" s="196">
        <f t="shared" si="66"/>
        <v>18303.365925079273</v>
      </c>
      <c r="BP19" s="197">
        <f t="shared" si="38"/>
        <v>3302.4490645344699</v>
      </c>
      <c r="BQ19" s="197">
        <f t="shared" si="38"/>
        <v>20461.398046198236</v>
      </c>
      <c r="BR19" s="197">
        <f t="shared" si="38"/>
        <v>-2158.0321211189616</v>
      </c>
      <c r="BS19" s="199">
        <f t="shared" si="38"/>
        <v>1144.4169434155074</v>
      </c>
      <c r="BV19" s="204">
        <f t="shared" si="67"/>
        <v>8</v>
      </c>
      <c r="BW19" s="225">
        <f>'Energy NPV'!$D72</f>
        <v>11.617000000000001</v>
      </c>
      <c r="BX19" s="197">
        <f>'Energy margins'!$S$12</f>
        <v>269.5</v>
      </c>
      <c r="BY19" s="197">
        <f t="shared" si="39"/>
        <v>3130.7815000000001</v>
      </c>
      <c r="BZ19" s="197">
        <f>'Margins summary'!$U$14</f>
        <v>471.64</v>
      </c>
      <c r="CA19" s="197">
        <f t="shared" si="40"/>
        <v>3602.4214999999999</v>
      </c>
      <c r="CB19" s="197"/>
      <c r="CC19" s="913">
        <f>'Energy NPV'!U72</f>
        <v>1840.1999999999998</v>
      </c>
      <c r="CD19" s="197"/>
      <c r="CE19" s="197">
        <f t="shared" si="8"/>
        <v>3680.3999999999996</v>
      </c>
      <c r="CF19" s="197">
        <f t="shared" si="9"/>
        <v>-549.61849999999959</v>
      </c>
      <c r="CG19" s="197">
        <f t="shared" si="10"/>
        <v>-77.978499999999713</v>
      </c>
      <c r="CH19" s="196">
        <f t="shared" si="41"/>
        <v>2379.1366310934754</v>
      </c>
      <c r="CI19" s="197">
        <f t="shared" si="42"/>
        <v>358.40763741862111</v>
      </c>
      <c r="CJ19" s="197">
        <f t="shared" si="43"/>
        <v>2796.8015197088735</v>
      </c>
      <c r="CK19" s="197">
        <f t="shared" si="44"/>
        <v>-417.6648886153979</v>
      </c>
      <c r="CL19" s="199">
        <f t="shared" si="45"/>
        <v>-59.25725119677687</v>
      </c>
      <c r="CM19" s="196">
        <f t="shared" si="68"/>
        <v>18303.365925079273</v>
      </c>
      <c r="CN19" s="197">
        <f t="shared" si="46"/>
        <v>3302.4490645344699</v>
      </c>
      <c r="CO19" s="197">
        <f t="shared" si="47"/>
        <v>81845.592184792942</v>
      </c>
      <c r="CP19" s="197">
        <f t="shared" si="48"/>
        <v>-63542.226259713665</v>
      </c>
      <c r="CQ19" s="199">
        <f t="shared" si="49"/>
        <v>-60239.777195179187</v>
      </c>
      <c r="CT19" s="204">
        <f t="shared" si="69"/>
        <v>8</v>
      </c>
      <c r="CU19" s="225">
        <f>'Energy NPV'!$D72</f>
        <v>11.617000000000001</v>
      </c>
      <c r="CV19" s="197">
        <f>'Energy margins'!$S$12</f>
        <v>269.5</v>
      </c>
      <c r="CW19" s="197">
        <f t="shared" si="50"/>
        <v>3130.7815000000001</v>
      </c>
      <c r="CX19" s="197">
        <f>'Margins summary'!$U$14</f>
        <v>471.64</v>
      </c>
      <c r="CY19" s="197">
        <f t="shared" si="51"/>
        <v>3602.4214999999999</v>
      </c>
      <c r="CZ19" s="197"/>
      <c r="DA19" s="913">
        <f>'Energy NPV'!U72</f>
        <v>1840.1999999999998</v>
      </c>
      <c r="DB19" s="197"/>
      <c r="DC19" s="197">
        <f t="shared" si="11"/>
        <v>0</v>
      </c>
      <c r="DD19" s="197">
        <f t="shared" si="12"/>
        <v>3130.7815000000001</v>
      </c>
      <c r="DE19" s="197">
        <f t="shared" si="13"/>
        <v>3602.4214999999999</v>
      </c>
      <c r="DF19" s="196">
        <f t="shared" si="52"/>
        <v>2379.1366310934754</v>
      </c>
      <c r="DG19" s="197">
        <f t="shared" si="53"/>
        <v>358.40763741862111</v>
      </c>
      <c r="DH19" s="197">
        <f t="shared" si="54"/>
        <v>0</v>
      </c>
      <c r="DI19" s="197">
        <f t="shared" si="55"/>
        <v>2379.1366310934754</v>
      </c>
      <c r="DJ19" s="199">
        <f t="shared" si="56"/>
        <v>2737.5442685120966</v>
      </c>
      <c r="DK19" s="196">
        <f t="shared" si="70"/>
        <v>18303.365925079273</v>
      </c>
      <c r="DL19" s="197">
        <f t="shared" si="57"/>
        <v>3302.4490645344699</v>
      </c>
      <c r="DM19" s="197">
        <f t="shared" si="58"/>
        <v>0</v>
      </c>
      <c r="DN19" s="197">
        <f t="shared" si="59"/>
        <v>18303.365925079273</v>
      </c>
      <c r="DO19" s="199">
        <f t="shared" si="60"/>
        <v>21605.814989613744</v>
      </c>
    </row>
    <row r="20" spans="2:119" x14ac:dyDescent="0.3">
      <c r="B20" s="204">
        <f t="shared" si="61"/>
        <v>9</v>
      </c>
      <c r="C20" s="225">
        <f>'Energy NPV'!$D73</f>
        <v>11.617000000000001</v>
      </c>
      <c r="D20" s="197">
        <f>'Energy margins'!$S$12</f>
        <v>269.5</v>
      </c>
      <c r="E20" s="197">
        <f t="shared" si="14"/>
        <v>3130.7815000000001</v>
      </c>
      <c r="F20" s="197">
        <f>'Margins summary'!$U$14</f>
        <v>471.64</v>
      </c>
      <c r="G20" s="197">
        <f t="shared" si="15"/>
        <v>3602.4214999999999</v>
      </c>
      <c r="H20" s="197"/>
      <c r="I20" s="913">
        <f>'Energy NPV'!U73</f>
        <v>1840.1999999999998</v>
      </c>
      <c r="J20" s="197"/>
      <c r="K20" s="197">
        <f t="shared" si="16"/>
        <v>1840.1999999999998</v>
      </c>
      <c r="L20" s="197">
        <f t="shared" si="0"/>
        <v>1290.5815000000002</v>
      </c>
      <c r="M20" s="197">
        <f t="shared" si="1"/>
        <v>1762.2215000000001</v>
      </c>
      <c r="N20" s="196">
        <f t="shared" si="17"/>
        <v>2287.6313760514181</v>
      </c>
      <c r="O20" s="197">
        <f t="shared" si="18"/>
        <v>344.6227282871356</v>
      </c>
      <c r="P20" s="197">
        <f t="shared" si="19"/>
        <v>1344.6161152446505</v>
      </c>
      <c r="Q20" s="197">
        <f t="shared" si="20"/>
        <v>943.01526080676786</v>
      </c>
      <c r="R20" s="199">
        <f t="shared" si="21"/>
        <v>1287.6379890939033</v>
      </c>
      <c r="S20" s="196">
        <f t="shared" si="62"/>
        <v>20590.99730113069</v>
      </c>
      <c r="T20" s="197">
        <f t="shared" si="22"/>
        <v>3647.0717928216054</v>
      </c>
      <c r="U20" s="197">
        <f t="shared" si="22"/>
        <v>42267.412207641122</v>
      </c>
      <c r="V20" s="197">
        <f t="shared" si="22"/>
        <v>-21676.414906510428</v>
      </c>
      <c r="W20" s="199">
        <f t="shared" si="22"/>
        <v>-18029.343113688821</v>
      </c>
      <c r="Z20" s="204">
        <f t="shared" si="63"/>
        <v>9</v>
      </c>
      <c r="AA20" s="225">
        <f>'Energy NPV'!$D73</f>
        <v>11.617000000000001</v>
      </c>
      <c r="AB20" s="197">
        <f>'Energy margins'!$S$12</f>
        <v>269.5</v>
      </c>
      <c r="AC20" s="197">
        <f t="shared" si="23"/>
        <v>3130.7815000000001</v>
      </c>
      <c r="AD20" s="197">
        <f>'Margins summary'!$U$14</f>
        <v>471.64</v>
      </c>
      <c r="AE20" s="197">
        <f t="shared" si="24"/>
        <v>3602.4214999999999</v>
      </c>
      <c r="AF20" s="197"/>
      <c r="AG20" s="913">
        <f>'Energy NPV'!U73</f>
        <v>1840.1999999999998</v>
      </c>
      <c r="AH20" s="197"/>
      <c r="AI20" s="197">
        <f t="shared" si="2"/>
        <v>2760.2999999999997</v>
      </c>
      <c r="AJ20" s="197">
        <f t="shared" si="3"/>
        <v>370.48150000000032</v>
      </c>
      <c r="AK20" s="197">
        <f t="shared" si="4"/>
        <v>842.1215000000002</v>
      </c>
      <c r="AL20" s="196">
        <f t="shared" si="25"/>
        <v>2287.6313760514181</v>
      </c>
      <c r="AM20" s="197">
        <f t="shared" si="26"/>
        <v>344.6227282871356</v>
      </c>
      <c r="AN20" s="197">
        <f t="shared" si="27"/>
        <v>2016.9241728669756</v>
      </c>
      <c r="AO20" s="197">
        <f t="shared" si="28"/>
        <v>270.70720318444268</v>
      </c>
      <c r="AP20" s="199">
        <f t="shared" si="29"/>
        <v>615.32993147157822</v>
      </c>
      <c r="AQ20" s="196">
        <f t="shared" si="64"/>
        <v>20590.99730113069</v>
      </c>
      <c r="AR20" s="197">
        <f t="shared" si="30"/>
        <v>3647.0717928216054</v>
      </c>
      <c r="AS20" s="197">
        <f t="shared" si="30"/>
        <v>63401.118311461687</v>
      </c>
      <c r="AT20" s="197">
        <f t="shared" si="30"/>
        <v>-42810.121010330979</v>
      </c>
      <c r="AU20" s="199">
        <f t="shared" si="30"/>
        <v>-39163.049217509382</v>
      </c>
      <c r="AX20" s="204">
        <f t="shared" si="65"/>
        <v>9</v>
      </c>
      <c r="AY20" s="225">
        <f>'Energy NPV'!$D73</f>
        <v>11.617000000000001</v>
      </c>
      <c r="AZ20" s="197">
        <f>'Energy margins'!$S$12</f>
        <v>269.5</v>
      </c>
      <c r="BA20" s="197">
        <f t="shared" si="31"/>
        <v>3130.7815000000001</v>
      </c>
      <c r="BB20" s="197">
        <f>'Margins summary'!$U$14</f>
        <v>471.64</v>
      </c>
      <c r="BC20" s="197">
        <f t="shared" si="32"/>
        <v>3602.4214999999999</v>
      </c>
      <c r="BD20" s="197"/>
      <c r="BE20" s="913">
        <f>'Energy NPV'!U73</f>
        <v>1840.1999999999998</v>
      </c>
      <c r="BF20" s="197"/>
      <c r="BG20" s="197">
        <f t="shared" si="5"/>
        <v>920.09999999999991</v>
      </c>
      <c r="BH20" s="197">
        <f t="shared" si="6"/>
        <v>2210.6815000000001</v>
      </c>
      <c r="BI20" s="197">
        <f t="shared" si="7"/>
        <v>2682.3215</v>
      </c>
      <c r="BJ20" s="196">
        <f t="shared" si="33"/>
        <v>2287.6313760514181</v>
      </c>
      <c r="BK20" s="197">
        <f t="shared" si="34"/>
        <v>344.6227282871356</v>
      </c>
      <c r="BL20" s="197">
        <f t="shared" si="35"/>
        <v>672.30805762232524</v>
      </c>
      <c r="BM20" s="197">
        <f t="shared" si="36"/>
        <v>1615.3233184290932</v>
      </c>
      <c r="BN20" s="199">
        <f t="shared" si="37"/>
        <v>1959.9460467162287</v>
      </c>
      <c r="BO20" s="196">
        <f t="shared" si="66"/>
        <v>20590.99730113069</v>
      </c>
      <c r="BP20" s="197">
        <f t="shared" si="38"/>
        <v>3647.0717928216054</v>
      </c>
      <c r="BQ20" s="197">
        <f t="shared" si="38"/>
        <v>21133.706103820561</v>
      </c>
      <c r="BR20" s="197">
        <f t="shared" si="38"/>
        <v>-542.70880268986843</v>
      </c>
      <c r="BS20" s="199">
        <f t="shared" si="38"/>
        <v>3104.3629901317363</v>
      </c>
      <c r="BV20" s="204">
        <f t="shared" si="67"/>
        <v>9</v>
      </c>
      <c r="BW20" s="225">
        <f>'Energy NPV'!$D73</f>
        <v>11.617000000000001</v>
      </c>
      <c r="BX20" s="197">
        <f>'Energy margins'!$S$12</f>
        <v>269.5</v>
      </c>
      <c r="BY20" s="197">
        <f t="shared" si="39"/>
        <v>3130.7815000000001</v>
      </c>
      <c r="BZ20" s="197">
        <f>'Margins summary'!$U$14</f>
        <v>471.64</v>
      </c>
      <c r="CA20" s="197">
        <f t="shared" si="40"/>
        <v>3602.4214999999999</v>
      </c>
      <c r="CB20" s="197"/>
      <c r="CC20" s="913">
        <f>'Energy NPV'!U73</f>
        <v>1840.1999999999998</v>
      </c>
      <c r="CD20" s="197"/>
      <c r="CE20" s="197">
        <f t="shared" si="8"/>
        <v>3680.3999999999996</v>
      </c>
      <c r="CF20" s="197">
        <f t="shared" si="9"/>
        <v>-549.61849999999959</v>
      </c>
      <c r="CG20" s="197">
        <f t="shared" si="10"/>
        <v>-77.978499999999713</v>
      </c>
      <c r="CH20" s="196">
        <f t="shared" si="41"/>
        <v>2287.6313760514181</v>
      </c>
      <c r="CI20" s="197">
        <f t="shared" si="42"/>
        <v>344.6227282871356</v>
      </c>
      <c r="CJ20" s="197">
        <f t="shared" si="43"/>
        <v>2689.2322304893009</v>
      </c>
      <c r="CK20" s="197">
        <f t="shared" si="44"/>
        <v>-401.6008544378825</v>
      </c>
      <c r="CL20" s="199">
        <f t="shared" si="45"/>
        <v>-56.978126150746981</v>
      </c>
      <c r="CM20" s="196">
        <f t="shared" si="68"/>
        <v>20590.99730113069</v>
      </c>
      <c r="CN20" s="197">
        <f t="shared" si="46"/>
        <v>3647.0717928216054</v>
      </c>
      <c r="CO20" s="197">
        <f t="shared" si="47"/>
        <v>84534.824415282244</v>
      </c>
      <c r="CP20" s="197">
        <f t="shared" si="48"/>
        <v>-63943.827114151551</v>
      </c>
      <c r="CQ20" s="199">
        <f t="shared" si="49"/>
        <v>-60296.755321329932</v>
      </c>
      <c r="CT20" s="204">
        <f t="shared" si="69"/>
        <v>9</v>
      </c>
      <c r="CU20" s="225">
        <f>'Energy NPV'!$D73</f>
        <v>11.617000000000001</v>
      </c>
      <c r="CV20" s="197">
        <f>'Energy margins'!$S$12</f>
        <v>269.5</v>
      </c>
      <c r="CW20" s="197">
        <f t="shared" si="50"/>
        <v>3130.7815000000001</v>
      </c>
      <c r="CX20" s="197">
        <f>'Margins summary'!$U$14</f>
        <v>471.64</v>
      </c>
      <c r="CY20" s="197">
        <f t="shared" si="51"/>
        <v>3602.4214999999999</v>
      </c>
      <c r="CZ20" s="197"/>
      <c r="DA20" s="913">
        <f>'Energy NPV'!U73</f>
        <v>1840.1999999999998</v>
      </c>
      <c r="DB20" s="197"/>
      <c r="DC20" s="197">
        <f t="shared" si="11"/>
        <v>0</v>
      </c>
      <c r="DD20" s="197">
        <f t="shared" si="12"/>
        <v>3130.7815000000001</v>
      </c>
      <c r="DE20" s="197">
        <f t="shared" si="13"/>
        <v>3602.4214999999999</v>
      </c>
      <c r="DF20" s="196">
        <f t="shared" si="52"/>
        <v>2287.6313760514181</v>
      </c>
      <c r="DG20" s="197">
        <f t="shared" si="53"/>
        <v>344.6227282871356</v>
      </c>
      <c r="DH20" s="197">
        <f t="shared" si="54"/>
        <v>0</v>
      </c>
      <c r="DI20" s="197">
        <f t="shared" si="55"/>
        <v>2287.6313760514181</v>
      </c>
      <c r="DJ20" s="199">
        <f t="shared" si="56"/>
        <v>2632.254104338554</v>
      </c>
      <c r="DK20" s="196">
        <f t="shared" si="70"/>
        <v>20590.99730113069</v>
      </c>
      <c r="DL20" s="197">
        <f t="shared" si="57"/>
        <v>3647.0717928216054</v>
      </c>
      <c r="DM20" s="197">
        <f t="shared" si="58"/>
        <v>0</v>
      </c>
      <c r="DN20" s="197">
        <f t="shared" si="59"/>
        <v>20590.99730113069</v>
      </c>
      <c r="DO20" s="199">
        <f t="shared" si="60"/>
        <v>24238.069093952297</v>
      </c>
    </row>
    <row r="21" spans="2:119" x14ac:dyDescent="0.3">
      <c r="B21" s="204">
        <f t="shared" si="61"/>
        <v>10</v>
      </c>
      <c r="C21" s="225">
        <f>'Energy NPV'!$D74</f>
        <v>11.617000000000001</v>
      </c>
      <c r="D21" s="197">
        <f>'Energy margins'!$S$12</f>
        <v>269.5</v>
      </c>
      <c r="E21" s="197">
        <f t="shared" si="14"/>
        <v>3130.7815000000001</v>
      </c>
      <c r="F21" s="197">
        <f>'Margins summary'!$U$14</f>
        <v>471.64</v>
      </c>
      <c r="G21" s="197">
        <f t="shared" si="15"/>
        <v>3602.4214999999999</v>
      </c>
      <c r="H21" s="197"/>
      <c r="I21" s="913">
        <f>'Energy NPV'!U74</f>
        <v>1840.1999999999998</v>
      </c>
      <c r="J21" s="197"/>
      <c r="K21" s="197">
        <f t="shared" si="16"/>
        <v>1840.1999999999998</v>
      </c>
      <c r="L21" s="197">
        <f t="shared" si="0"/>
        <v>1290.5815000000002</v>
      </c>
      <c r="M21" s="197">
        <f t="shared" si="1"/>
        <v>1762.2215000000001</v>
      </c>
      <c r="N21" s="196">
        <f t="shared" si="17"/>
        <v>2199.6455538955943</v>
      </c>
      <c r="O21" s="197">
        <f t="shared" si="18"/>
        <v>331.36800796839958</v>
      </c>
      <c r="P21" s="197">
        <f t="shared" si="19"/>
        <v>1292.9001108121638</v>
      </c>
      <c r="Q21" s="197">
        <f t="shared" si="20"/>
        <v>906.74544308343059</v>
      </c>
      <c r="R21" s="199">
        <f t="shared" si="21"/>
        <v>1238.1134510518302</v>
      </c>
      <c r="S21" s="196">
        <f t="shared" si="62"/>
        <v>22790.642855026286</v>
      </c>
      <c r="T21" s="197">
        <f t="shared" si="22"/>
        <v>3978.4398007900049</v>
      </c>
      <c r="U21" s="197">
        <f t="shared" si="22"/>
        <v>43560.312318453289</v>
      </c>
      <c r="V21" s="197">
        <f t="shared" si="22"/>
        <v>-20769.669463426999</v>
      </c>
      <c r="W21" s="199">
        <f t="shared" si="22"/>
        <v>-16791.22966263699</v>
      </c>
      <c r="Z21" s="204">
        <f t="shared" si="63"/>
        <v>10</v>
      </c>
      <c r="AA21" s="225">
        <f>'Energy NPV'!$D74</f>
        <v>11.617000000000001</v>
      </c>
      <c r="AB21" s="197">
        <f>'Energy margins'!$S$12</f>
        <v>269.5</v>
      </c>
      <c r="AC21" s="197">
        <f t="shared" si="23"/>
        <v>3130.7815000000001</v>
      </c>
      <c r="AD21" s="197">
        <f>'Margins summary'!$U$14</f>
        <v>471.64</v>
      </c>
      <c r="AE21" s="197">
        <f t="shared" si="24"/>
        <v>3602.4214999999999</v>
      </c>
      <c r="AF21" s="197"/>
      <c r="AG21" s="913">
        <f>'Energy NPV'!U74</f>
        <v>1840.1999999999998</v>
      </c>
      <c r="AH21" s="197"/>
      <c r="AI21" s="197">
        <f t="shared" si="2"/>
        <v>2760.2999999999997</v>
      </c>
      <c r="AJ21" s="197">
        <f t="shared" si="3"/>
        <v>370.48150000000032</v>
      </c>
      <c r="AK21" s="197">
        <f t="shared" si="4"/>
        <v>842.1215000000002</v>
      </c>
      <c r="AL21" s="196">
        <f t="shared" si="25"/>
        <v>2199.6455538955943</v>
      </c>
      <c r="AM21" s="197">
        <f t="shared" si="26"/>
        <v>331.36800796839958</v>
      </c>
      <c r="AN21" s="197">
        <f t="shared" si="27"/>
        <v>1939.3501662182457</v>
      </c>
      <c r="AO21" s="197">
        <f t="shared" si="28"/>
        <v>260.29538767734874</v>
      </c>
      <c r="AP21" s="199">
        <f t="shared" si="29"/>
        <v>591.66339564574821</v>
      </c>
      <c r="AQ21" s="196">
        <f t="shared" si="64"/>
        <v>22790.642855026286</v>
      </c>
      <c r="AR21" s="197">
        <f t="shared" si="30"/>
        <v>3978.4398007900049</v>
      </c>
      <c r="AS21" s="197">
        <f t="shared" si="30"/>
        <v>65340.468477679933</v>
      </c>
      <c r="AT21" s="197">
        <f t="shared" si="30"/>
        <v>-42549.825622653632</v>
      </c>
      <c r="AU21" s="199">
        <f t="shared" si="30"/>
        <v>-38571.385821863631</v>
      </c>
      <c r="AX21" s="204">
        <f t="shared" si="65"/>
        <v>10</v>
      </c>
      <c r="AY21" s="225">
        <f>'Energy NPV'!$D74</f>
        <v>11.617000000000001</v>
      </c>
      <c r="AZ21" s="197">
        <f>'Energy margins'!$S$12</f>
        <v>269.5</v>
      </c>
      <c r="BA21" s="197">
        <f t="shared" si="31"/>
        <v>3130.7815000000001</v>
      </c>
      <c r="BB21" s="197">
        <f>'Margins summary'!$U$14</f>
        <v>471.64</v>
      </c>
      <c r="BC21" s="197">
        <f t="shared" si="32"/>
        <v>3602.4214999999999</v>
      </c>
      <c r="BD21" s="197"/>
      <c r="BE21" s="913">
        <f>'Energy NPV'!U74</f>
        <v>1840.1999999999998</v>
      </c>
      <c r="BF21" s="197"/>
      <c r="BG21" s="197">
        <f t="shared" si="5"/>
        <v>920.09999999999991</v>
      </c>
      <c r="BH21" s="197">
        <f t="shared" si="6"/>
        <v>2210.6815000000001</v>
      </c>
      <c r="BI21" s="197">
        <f t="shared" si="7"/>
        <v>2682.3215</v>
      </c>
      <c r="BJ21" s="196">
        <f t="shared" si="33"/>
        <v>2199.6455538955943</v>
      </c>
      <c r="BK21" s="197">
        <f t="shared" si="34"/>
        <v>331.36800796839958</v>
      </c>
      <c r="BL21" s="197">
        <f t="shared" si="35"/>
        <v>646.4500554060819</v>
      </c>
      <c r="BM21" s="197">
        <f t="shared" si="36"/>
        <v>1553.1954984895124</v>
      </c>
      <c r="BN21" s="199">
        <f t="shared" si="37"/>
        <v>1884.5635064579119</v>
      </c>
      <c r="BO21" s="196">
        <f t="shared" si="66"/>
        <v>22790.642855026286</v>
      </c>
      <c r="BP21" s="197">
        <f t="shared" si="38"/>
        <v>3978.4398007900049</v>
      </c>
      <c r="BQ21" s="197">
        <f t="shared" si="38"/>
        <v>21780.156159226644</v>
      </c>
      <c r="BR21" s="197">
        <f t="shared" si="38"/>
        <v>1010.4866957996439</v>
      </c>
      <c r="BS21" s="199">
        <f t="shared" si="38"/>
        <v>4988.9264965896482</v>
      </c>
      <c r="BV21" s="204">
        <f t="shared" si="67"/>
        <v>10</v>
      </c>
      <c r="BW21" s="225">
        <f>'Energy NPV'!$D74</f>
        <v>11.617000000000001</v>
      </c>
      <c r="BX21" s="197">
        <f>'Energy margins'!$S$12</f>
        <v>269.5</v>
      </c>
      <c r="BY21" s="197">
        <f t="shared" si="39"/>
        <v>3130.7815000000001</v>
      </c>
      <c r="BZ21" s="197">
        <f>'Margins summary'!$U$14</f>
        <v>471.64</v>
      </c>
      <c r="CA21" s="197">
        <f t="shared" si="40"/>
        <v>3602.4214999999999</v>
      </c>
      <c r="CB21" s="197"/>
      <c r="CC21" s="913">
        <f>'Energy NPV'!U74</f>
        <v>1840.1999999999998</v>
      </c>
      <c r="CD21" s="197"/>
      <c r="CE21" s="197">
        <f t="shared" si="8"/>
        <v>3680.3999999999996</v>
      </c>
      <c r="CF21" s="197">
        <f t="shared" si="9"/>
        <v>-549.61849999999959</v>
      </c>
      <c r="CG21" s="197">
        <f t="shared" si="10"/>
        <v>-77.978499999999713</v>
      </c>
      <c r="CH21" s="196">
        <f t="shared" si="41"/>
        <v>2199.6455538955943</v>
      </c>
      <c r="CI21" s="197">
        <f t="shared" si="42"/>
        <v>331.36800796839958</v>
      </c>
      <c r="CJ21" s="197">
        <f t="shared" si="43"/>
        <v>2585.8002216243276</v>
      </c>
      <c r="CK21" s="197">
        <f t="shared" si="44"/>
        <v>-386.15466772873316</v>
      </c>
      <c r="CL21" s="199">
        <f t="shared" si="45"/>
        <v>-54.786659760333634</v>
      </c>
      <c r="CM21" s="196">
        <f t="shared" si="68"/>
        <v>22790.642855026286</v>
      </c>
      <c r="CN21" s="197">
        <f t="shared" si="46"/>
        <v>3978.4398007900049</v>
      </c>
      <c r="CO21" s="197">
        <f t="shared" si="47"/>
        <v>87120.624636906578</v>
      </c>
      <c r="CP21" s="197">
        <f t="shared" si="48"/>
        <v>-64329.981781880284</v>
      </c>
      <c r="CQ21" s="199">
        <f t="shared" si="49"/>
        <v>-60351.541981090268</v>
      </c>
      <c r="CT21" s="204">
        <f t="shared" si="69"/>
        <v>10</v>
      </c>
      <c r="CU21" s="225">
        <f>'Energy NPV'!$D74</f>
        <v>11.617000000000001</v>
      </c>
      <c r="CV21" s="197">
        <f>'Energy margins'!$S$12</f>
        <v>269.5</v>
      </c>
      <c r="CW21" s="197">
        <f t="shared" si="50"/>
        <v>3130.7815000000001</v>
      </c>
      <c r="CX21" s="197">
        <f>'Margins summary'!$U$14</f>
        <v>471.64</v>
      </c>
      <c r="CY21" s="197">
        <f t="shared" si="51"/>
        <v>3602.4214999999999</v>
      </c>
      <c r="CZ21" s="197"/>
      <c r="DA21" s="913">
        <f>'Energy NPV'!U74</f>
        <v>1840.1999999999998</v>
      </c>
      <c r="DB21" s="197"/>
      <c r="DC21" s="197">
        <f t="shared" si="11"/>
        <v>0</v>
      </c>
      <c r="DD21" s="197">
        <f t="shared" si="12"/>
        <v>3130.7815000000001</v>
      </c>
      <c r="DE21" s="197">
        <f t="shared" si="13"/>
        <v>3602.4214999999999</v>
      </c>
      <c r="DF21" s="196">
        <f t="shared" si="52"/>
        <v>2199.6455538955943</v>
      </c>
      <c r="DG21" s="197">
        <f t="shared" si="53"/>
        <v>331.36800796839958</v>
      </c>
      <c r="DH21" s="197">
        <f t="shared" si="54"/>
        <v>0</v>
      </c>
      <c r="DI21" s="197">
        <f t="shared" si="55"/>
        <v>2199.6455538955943</v>
      </c>
      <c r="DJ21" s="199">
        <f t="shared" si="56"/>
        <v>2531.0135618639938</v>
      </c>
      <c r="DK21" s="196">
        <f t="shared" si="70"/>
        <v>22790.642855026286</v>
      </c>
      <c r="DL21" s="197">
        <f t="shared" si="57"/>
        <v>3978.4398007900049</v>
      </c>
      <c r="DM21" s="197">
        <f t="shared" si="58"/>
        <v>0</v>
      </c>
      <c r="DN21" s="197">
        <f t="shared" si="59"/>
        <v>22790.642855026286</v>
      </c>
      <c r="DO21" s="199">
        <f t="shared" si="60"/>
        <v>26769.082655816292</v>
      </c>
    </row>
    <row r="22" spans="2:119" x14ac:dyDescent="0.3">
      <c r="B22" s="204">
        <f t="shared" si="61"/>
        <v>11</v>
      </c>
      <c r="C22" s="225">
        <f>'Energy NPV'!$D75</f>
        <v>11.617000000000001</v>
      </c>
      <c r="D22" s="197">
        <f>'Energy margins'!$S$12</f>
        <v>269.5</v>
      </c>
      <c r="E22" s="197">
        <f t="shared" si="14"/>
        <v>3130.7815000000001</v>
      </c>
      <c r="F22" s="197">
        <f>'Margins summary'!$U$14</f>
        <v>471.64</v>
      </c>
      <c r="G22" s="197">
        <f t="shared" si="15"/>
        <v>3602.4214999999999</v>
      </c>
      <c r="H22" s="197"/>
      <c r="I22" s="913">
        <f>'Energy NPV'!U75</f>
        <v>1840.1999999999998</v>
      </c>
      <c r="J22" s="197"/>
      <c r="K22" s="197">
        <f t="shared" si="16"/>
        <v>1840.1999999999998</v>
      </c>
      <c r="L22" s="197">
        <f t="shared" si="0"/>
        <v>1290.5815000000002</v>
      </c>
      <c r="M22" s="197">
        <f t="shared" si="1"/>
        <v>1762.2215000000001</v>
      </c>
      <c r="N22" s="196">
        <f t="shared" si="17"/>
        <v>2115.0438018226869</v>
      </c>
      <c r="O22" s="197">
        <f t="shared" si="18"/>
        <v>318.62308458499962</v>
      </c>
      <c r="P22" s="197">
        <f t="shared" si="19"/>
        <v>1243.1731834732343</v>
      </c>
      <c r="Q22" s="197">
        <f t="shared" si="20"/>
        <v>871.87061834945246</v>
      </c>
      <c r="R22" s="199">
        <f t="shared" si="21"/>
        <v>1190.4937029344521</v>
      </c>
      <c r="S22" s="196">
        <f t="shared" si="62"/>
        <v>24905.686656848971</v>
      </c>
      <c r="T22" s="197">
        <f t="shared" si="22"/>
        <v>4297.062885375005</v>
      </c>
      <c r="U22" s="197">
        <f t="shared" si="22"/>
        <v>44803.485501926523</v>
      </c>
      <c r="V22" s="197">
        <f t="shared" si="22"/>
        <v>-19897.798845077545</v>
      </c>
      <c r="W22" s="199">
        <f t="shared" si="22"/>
        <v>-15600.735959702537</v>
      </c>
      <c r="Z22" s="204">
        <f t="shared" si="63"/>
        <v>11</v>
      </c>
      <c r="AA22" s="225">
        <f>'Energy NPV'!$D75</f>
        <v>11.617000000000001</v>
      </c>
      <c r="AB22" s="197">
        <f>'Energy margins'!$S$12</f>
        <v>269.5</v>
      </c>
      <c r="AC22" s="197">
        <f t="shared" si="23"/>
        <v>3130.7815000000001</v>
      </c>
      <c r="AD22" s="197">
        <f>'Margins summary'!$U$14</f>
        <v>471.64</v>
      </c>
      <c r="AE22" s="197">
        <f t="shared" si="24"/>
        <v>3602.4214999999999</v>
      </c>
      <c r="AF22" s="197"/>
      <c r="AG22" s="913">
        <f>'Energy NPV'!U75</f>
        <v>1840.1999999999998</v>
      </c>
      <c r="AH22" s="197"/>
      <c r="AI22" s="197">
        <f t="shared" si="2"/>
        <v>2760.2999999999997</v>
      </c>
      <c r="AJ22" s="197">
        <f t="shared" si="3"/>
        <v>370.48150000000032</v>
      </c>
      <c r="AK22" s="197">
        <f t="shared" si="4"/>
        <v>842.1215000000002</v>
      </c>
      <c r="AL22" s="196">
        <f t="shared" si="25"/>
        <v>2115.0438018226869</v>
      </c>
      <c r="AM22" s="197">
        <f t="shared" si="26"/>
        <v>318.62308458499962</v>
      </c>
      <c r="AN22" s="197">
        <f t="shared" si="27"/>
        <v>1864.7597752098516</v>
      </c>
      <c r="AO22" s="197">
        <f t="shared" si="28"/>
        <v>250.28402661283531</v>
      </c>
      <c r="AP22" s="199">
        <f t="shared" si="29"/>
        <v>568.90711119783487</v>
      </c>
      <c r="AQ22" s="196">
        <f t="shared" si="64"/>
        <v>24905.686656848971</v>
      </c>
      <c r="AR22" s="197">
        <f t="shared" si="30"/>
        <v>4297.062885375005</v>
      </c>
      <c r="AS22" s="197">
        <f t="shared" si="30"/>
        <v>67205.228252889778</v>
      </c>
      <c r="AT22" s="197">
        <f t="shared" si="30"/>
        <v>-42299.541596040799</v>
      </c>
      <c r="AU22" s="199">
        <f t="shared" si="30"/>
        <v>-38002.478710665797</v>
      </c>
      <c r="AX22" s="204">
        <f t="shared" si="65"/>
        <v>11</v>
      </c>
      <c r="AY22" s="225">
        <f>'Energy NPV'!$D75</f>
        <v>11.617000000000001</v>
      </c>
      <c r="AZ22" s="197">
        <f>'Energy margins'!$S$12</f>
        <v>269.5</v>
      </c>
      <c r="BA22" s="197">
        <f t="shared" si="31"/>
        <v>3130.7815000000001</v>
      </c>
      <c r="BB22" s="197">
        <f>'Margins summary'!$U$14</f>
        <v>471.64</v>
      </c>
      <c r="BC22" s="197">
        <f t="shared" si="32"/>
        <v>3602.4214999999999</v>
      </c>
      <c r="BD22" s="197"/>
      <c r="BE22" s="913">
        <f>'Energy NPV'!U75</f>
        <v>1840.1999999999998</v>
      </c>
      <c r="BF22" s="197"/>
      <c r="BG22" s="197">
        <f t="shared" si="5"/>
        <v>920.09999999999991</v>
      </c>
      <c r="BH22" s="197">
        <f t="shared" si="6"/>
        <v>2210.6815000000001</v>
      </c>
      <c r="BI22" s="197">
        <f t="shared" si="7"/>
        <v>2682.3215</v>
      </c>
      <c r="BJ22" s="196">
        <f t="shared" si="33"/>
        <v>2115.0438018226869</v>
      </c>
      <c r="BK22" s="197">
        <f t="shared" si="34"/>
        <v>318.62308458499962</v>
      </c>
      <c r="BL22" s="197">
        <f t="shared" si="35"/>
        <v>621.58659173661715</v>
      </c>
      <c r="BM22" s="197">
        <f t="shared" si="36"/>
        <v>1493.4572100860696</v>
      </c>
      <c r="BN22" s="199">
        <f t="shared" si="37"/>
        <v>1812.0802946710692</v>
      </c>
      <c r="BO22" s="196">
        <f t="shared" si="66"/>
        <v>24905.686656848971</v>
      </c>
      <c r="BP22" s="197">
        <f t="shared" si="38"/>
        <v>4297.062885375005</v>
      </c>
      <c r="BQ22" s="197">
        <f t="shared" si="38"/>
        <v>22401.742750963262</v>
      </c>
      <c r="BR22" s="197">
        <f t="shared" si="38"/>
        <v>2503.9439058857133</v>
      </c>
      <c r="BS22" s="199">
        <f t="shared" si="38"/>
        <v>6801.0067912607174</v>
      </c>
      <c r="BV22" s="204">
        <f t="shared" si="67"/>
        <v>11</v>
      </c>
      <c r="BW22" s="225">
        <f>'Energy NPV'!$D75</f>
        <v>11.617000000000001</v>
      </c>
      <c r="BX22" s="197">
        <f>'Energy margins'!$S$12</f>
        <v>269.5</v>
      </c>
      <c r="BY22" s="197">
        <f t="shared" si="39"/>
        <v>3130.7815000000001</v>
      </c>
      <c r="BZ22" s="197">
        <f>'Margins summary'!$U$14</f>
        <v>471.64</v>
      </c>
      <c r="CA22" s="197">
        <f t="shared" si="40"/>
        <v>3602.4214999999999</v>
      </c>
      <c r="CB22" s="197"/>
      <c r="CC22" s="913">
        <f>'Energy NPV'!U75</f>
        <v>1840.1999999999998</v>
      </c>
      <c r="CD22" s="197"/>
      <c r="CE22" s="197">
        <f t="shared" si="8"/>
        <v>3680.3999999999996</v>
      </c>
      <c r="CF22" s="197">
        <f t="shared" si="9"/>
        <v>-549.61849999999959</v>
      </c>
      <c r="CG22" s="197">
        <f t="shared" si="10"/>
        <v>-77.978499999999713</v>
      </c>
      <c r="CH22" s="196">
        <f t="shared" si="41"/>
        <v>2115.0438018226869</v>
      </c>
      <c r="CI22" s="197">
        <f t="shared" si="42"/>
        <v>318.62308458499962</v>
      </c>
      <c r="CJ22" s="197">
        <f t="shared" si="43"/>
        <v>2486.3463669464686</v>
      </c>
      <c r="CK22" s="197">
        <f t="shared" si="44"/>
        <v>-371.3025651237819</v>
      </c>
      <c r="CL22" s="199">
        <f t="shared" si="45"/>
        <v>-52.679480538782336</v>
      </c>
      <c r="CM22" s="196">
        <f t="shared" si="68"/>
        <v>24905.686656848971</v>
      </c>
      <c r="CN22" s="197">
        <f t="shared" si="46"/>
        <v>4297.062885375005</v>
      </c>
      <c r="CO22" s="197">
        <f t="shared" si="47"/>
        <v>89606.971003853047</v>
      </c>
      <c r="CP22" s="197">
        <f t="shared" si="48"/>
        <v>-64701.284347004068</v>
      </c>
      <c r="CQ22" s="199">
        <f t="shared" si="49"/>
        <v>-60404.221461629051</v>
      </c>
      <c r="CT22" s="204">
        <f t="shared" si="69"/>
        <v>11</v>
      </c>
      <c r="CU22" s="225">
        <f>'Energy NPV'!$D75</f>
        <v>11.617000000000001</v>
      </c>
      <c r="CV22" s="197">
        <f>'Energy margins'!$S$12</f>
        <v>269.5</v>
      </c>
      <c r="CW22" s="197">
        <f t="shared" si="50"/>
        <v>3130.7815000000001</v>
      </c>
      <c r="CX22" s="197">
        <f>'Margins summary'!$U$14</f>
        <v>471.64</v>
      </c>
      <c r="CY22" s="197">
        <f t="shared" si="51"/>
        <v>3602.4214999999999</v>
      </c>
      <c r="CZ22" s="197"/>
      <c r="DA22" s="913">
        <f>'Energy NPV'!U75</f>
        <v>1840.1999999999998</v>
      </c>
      <c r="DB22" s="197"/>
      <c r="DC22" s="197">
        <f t="shared" si="11"/>
        <v>0</v>
      </c>
      <c r="DD22" s="197">
        <f t="shared" si="12"/>
        <v>3130.7815000000001</v>
      </c>
      <c r="DE22" s="197">
        <f t="shared" si="13"/>
        <v>3602.4214999999999</v>
      </c>
      <c r="DF22" s="196">
        <f t="shared" si="52"/>
        <v>2115.0438018226869</v>
      </c>
      <c r="DG22" s="197">
        <f t="shared" si="53"/>
        <v>318.62308458499962</v>
      </c>
      <c r="DH22" s="197">
        <f t="shared" si="54"/>
        <v>0</v>
      </c>
      <c r="DI22" s="197">
        <f t="shared" si="55"/>
        <v>2115.0438018226869</v>
      </c>
      <c r="DJ22" s="199">
        <f t="shared" si="56"/>
        <v>2433.6668864076864</v>
      </c>
      <c r="DK22" s="196">
        <f t="shared" si="70"/>
        <v>24905.686656848971</v>
      </c>
      <c r="DL22" s="197">
        <f t="shared" si="57"/>
        <v>4297.062885375005</v>
      </c>
      <c r="DM22" s="197">
        <f t="shared" si="58"/>
        <v>0</v>
      </c>
      <c r="DN22" s="197">
        <f t="shared" si="59"/>
        <v>24905.686656848971</v>
      </c>
      <c r="DO22" s="199">
        <f t="shared" si="60"/>
        <v>29202.749542223977</v>
      </c>
    </row>
    <row r="23" spans="2:119" x14ac:dyDescent="0.3">
      <c r="B23" s="204">
        <f t="shared" si="61"/>
        <v>12</v>
      </c>
      <c r="C23" s="225">
        <f>'Energy NPV'!$D76</f>
        <v>11.617000000000001</v>
      </c>
      <c r="D23" s="197">
        <f>'Energy margins'!$S$12</f>
        <v>269.5</v>
      </c>
      <c r="E23" s="197">
        <f t="shared" si="14"/>
        <v>3130.7815000000001</v>
      </c>
      <c r="F23" s="197">
        <f>'Margins summary'!$U$14</f>
        <v>471.64</v>
      </c>
      <c r="G23" s="197">
        <f t="shared" si="15"/>
        <v>3602.4214999999999</v>
      </c>
      <c r="H23" s="197"/>
      <c r="I23" s="913">
        <f>'Energy NPV'!U76</f>
        <v>1840.1999999999998</v>
      </c>
      <c r="J23" s="197"/>
      <c r="K23" s="197">
        <f t="shared" si="16"/>
        <v>1840.1999999999998</v>
      </c>
      <c r="L23" s="197">
        <f t="shared" si="0"/>
        <v>1290.5815000000002</v>
      </c>
      <c r="M23" s="197">
        <f t="shared" si="1"/>
        <v>1762.2215000000001</v>
      </c>
      <c r="N23" s="196">
        <f t="shared" si="17"/>
        <v>2033.6959632910452</v>
      </c>
      <c r="O23" s="197">
        <f t="shared" si="18"/>
        <v>306.36835056249964</v>
      </c>
      <c r="P23" s="197">
        <f t="shared" si="19"/>
        <v>1195.3588302627254</v>
      </c>
      <c r="Q23" s="197">
        <f t="shared" si="20"/>
        <v>838.33713302831973</v>
      </c>
      <c r="R23" s="199">
        <f t="shared" si="21"/>
        <v>1144.7054835908193</v>
      </c>
      <c r="S23" s="196">
        <f t="shared" si="62"/>
        <v>26939.382620140015</v>
      </c>
      <c r="T23" s="197">
        <f t="shared" si="22"/>
        <v>4603.4312359375044</v>
      </c>
      <c r="U23" s="197">
        <f t="shared" si="22"/>
        <v>45998.844332189248</v>
      </c>
      <c r="V23" s="197">
        <f t="shared" si="22"/>
        <v>-19059.461712049226</v>
      </c>
      <c r="W23" s="199">
        <f t="shared" si="22"/>
        <v>-14456.030476111719</v>
      </c>
      <c r="Z23" s="204">
        <f t="shared" si="63"/>
        <v>12</v>
      </c>
      <c r="AA23" s="225">
        <f>'Energy NPV'!$D76</f>
        <v>11.617000000000001</v>
      </c>
      <c r="AB23" s="197">
        <f>'Energy margins'!$S$12</f>
        <v>269.5</v>
      </c>
      <c r="AC23" s="197">
        <f t="shared" si="23"/>
        <v>3130.7815000000001</v>
      </c>
      <c r="AD23" s="197">
        <f>'Margins summary'!$U$14</f>
        <v>471.64</v>
      </c>
      <c r="AE23" s="197">
        <f t="shared" si="24"/>
        <v>3602.4214999999999</v>
      </c>
      <c r="AF23" s="197"/>
      <c r="AG23" s="913">
        <f>'Energy NPV'!U76</f>
        <v>1840.1999999999998</v>
      </c>
      <c r="AH23" s="197"/>
      <c r="AI23" s="197">
        <f t="shared" si="2"/>
        <v>2760.2999999999997</v>
      </c>
      <c r="AJ23" s="197">
        <f t="shared" si="3"/>
        <v>370.48150000000032</v>
      </c>
      <c r="AK23" s="197">
        <f t="shared" si="4"/>
        <v>842.1215000000002</v>
      </c>
      <c r="AL23" s="196">
        <f t="shared" si="25"/>
        <v>2033.6959632910452</v>
      </c>
      <c r="AM23" s="197">
        <f t="shared" si="26"/>
        <v>306.36835056249964</v>
      </c>
      <c r="AN23" s="197">
        <f t="shared" si="27"/>
        <v>1793.0382453940881</v>
      </c>
      <c r="AO23" s="197">
        <f t="shared" si="28"/>
        <v>240.65771789695705</v>
      </c>
      <c r="AP23" s="199">
        <f t="shared" si="29"/>
        <v>547.02606845945661</v>
      </c>
      <c r="AQ23" s="196">
        <f t="shared" si="64"/>
        <v>26939.382620140015</v>
      </c>
      <c r="AR23" s="197">
        <f t="shared" si="30"/>
        <v>4603.4312359375044</v>
      </c>
      <c r="AS23" s="197">
        <f t="shared" si="30"/>
        <v>68998.266498283861</v>
      </c>
      <c r="AT23" s="197">
        <f t="shared" si="30"/>
        <v>-42058.883878143839</v>
      </c>
      <c r="AU23" s="199">
        <f t="shared" si="30"/>
        <v>-37455.452642206343</v>
      </c>
      <c r="AX23" s="204">
        <f t="shared" si="65"/>
        <v>12</v>
      </c>
      <c r="AY23" s="225">
        <f>'Energy NPV'!$D76</f>
        <v>11.617000000000001</v>
      </c>
      <c r="AZ23" s="197">
        <f>'Energy margins'!$S$12</f>
        <v>269.5</v>
      </c>
      <c r="BA23" s="197">
        <f t="shared" si="31"/>
        <v>3130.7815000000001</v>
      </c>
      <c r="BB23" s="197">
        <f>'Margins summary'!$U$14</f>
        <v>471.64</v>
      </c>
      <c r="BC23" s="197">
        <f t="shared" si="32"/>
        <v>3602.4214999999999</v>
      </c>
      <c r="BD23" s="197"/>
      <c r="BE23" s="913">
        <f>'Energy NPV'!U76</f>
        <v>1840.1999999999998</v>
      </c>
      <c r="BF23" s="197"/>
      <c r="BG23" s="197">
        <f t="shared" si="5"/>
        <v>920.09999999999991</v>
      </c>
      <c r="BH23" s="197">
        <f t="shared" si="6"/>
        <v>2210.6815000000001</v>
      </c>
      <c r="BI23" s="197">
        <f t="shared" si="7"/>
        <v>2682.3215</v>
      </c>
      <c r="BJ23" s="196">
        <f t="shared" si="33"/>
        <v>2033.6959632910452</v>
      </c>
      <c r="BK23" s="197">
        <f t="shared" si="34"/>
        <v>306.36835056249964</v>
      </c>
      <c r="BL23" s="197">
        <f t="shared" si="35"/>
        <v>597.6794151313627</v>
      </c>
      <c r="BM23" s="197">
        <f t="shared" si="36"/>
        <v>1436.0165481596825</v>
      </c>
      <c r="BN23" s="199">
        <f t="shared" si="37"/>
        <v>1742.384898722182</v>
      </c>
      <c r="BO23" s="196">
        <f t="shared" si="66"/>
        <v>26939.382620140015</v>
      </c>
      <c r="BP23" s="197">
        <f t="shared" si="38"/>
        <v>4603.4312359375044</v>
      </c>
      <c r="BQ23" s="197">
        <f t="shared" si="38"/>
        <v>22999.422166094624</v>
      </c>
      <c r="BR23" s="197">
        <f t="shared" si="38"/>
        <v>3939.9604540453956</v>
      </c>
      <c r="BS23" s="199">
        <f t="shared" si="38"/>
        <v>8543.3916899829001</v>
      </c>
      <c r="BV23" s="204">
        <f t="shared" si="67"/>
        <v>12</v>
      </c>
      <c r="BW23" s="225">
        <f>'Energy NPV'!$D76</f>
        <v>11.617000000000001</v>
      </c>
      <c r="BX23" s="197">
        <f>'Energy margins'!$S$12</f>
        <v>269.5</v>
      </c>
      <c r="BY23" s="197">
        <f t="shared" si="39"/>
        <v>3130.7815000000001</v>
      </c>
      <c r="BZ23" s="197">
        <f>'Margins summary'!$U$14</f>
        <v>471.64</v>
      </c>
      <c r="CA23" s="197">
        <f t="shared" si="40"/>
        <v>3602.4214999999999</v>
      </c>
      <c r="CB23" s="197"/>
      <c r="CC23" s="913">
        <f>'Energy NPV'!U76</f>
        <v>1840.1999999999998</v>
      </c>
      <c r="CD23" s="197"/>
      <c r="CE23" s="197">
        <f t="shared" si="8"/>
        <v>3680.3999999999996</v>
      </c>
      <c r="CF23" s="197">
        <f t="shared" si="9"/>
        <v>-549.61849999999959</v>
      </c>
      <c r="CG23" s="197">
        <f t="shared" si="10"/>
        <v>-77.978499999999713</v>
      </c>
      <c r="CH23" s="196">
        <f t="shared" si="41"/>
        <v>2033.6959632910452</v>
      </c>
      <c r="CI23" s="197">
        <f t="shared" si="42"/>
        <v>306.36835056249964</v>
      </c>
      <c r="CJ23" s="197">
        <f t="shared" si="43"/>
        <v>2390.7176605254508</v>
      </c>
      <c r="CK23" s="197">
        <f t="shared" si="44"/>
        <v>-357.02169723440568</v>
      </c>
      <c r="CL23" s="199">
        <f t="shared" si="45"/>
        <v>-50.6533466719061</v>
      </c>
      <c r="CM23" s="196">
        <f t="shared" si="68"/>
        <v>26939.382620140015</v>
      </c>
      <c r="CN23" s="197">
        <f t="shared" si="46"/>
        <v>4603.4312359375044</v>
      </c>
      <c r="CO23" s="197">
        <f t="shared" si="47"/>
        <v>91997.688664378496</v>
      </c>
      <c r="CP23" s="197">
        <f t="shared" si="48"/>
        <v>-65058.306044238474</v>
      </c>
      <c r="CQ23" s="199">
        <f t="shared" si="49"/>
        <v>-60454.874808300956</v>
      </c>
      <c r="CT23" s="204">
        <f t="shared" si="69"/>
        <v>12</v>
      </c>
      <c r="CU23" s="225">
        <f>'Energy NPV'!$D76</f>
        <v>11.617000000000001</v>
      </c>
      <c r="CV23" s="197">
        <f>'Energy margins'!$S$12</f>
        <v>269.5</v>
      </c>
      <c r="CW23" s="197">
        <f t="shared" si="50"/>
        <v>3130.7815000000001</v>
      </c>
      <c r="CX23" s="197">
        <f>'Margins summary'!$U$14</f>
        <v>471.64</v>
      </c>
      <c r="CY23" s="197">
        <f t="shared" si="51"/>
        <v>3602.4214999999999</v>
      </c>
      <c r="CZ23" s="197"/>
      <c r="DA23" s="913">
        <f>'Energy NPV'!U76</f>
        <v>1840.1999999999998</v>
      </c>
      <c r="DB23" s="197"/>
      <c r="DC23" s="197">
        <f t="shared" si="11"/>
        <v>0</v>
      </c>
      <c r="DD23" s="197">
        <f t="shared" si="12"/>
        <v>3130.7815000000001</v>
      </c>
      <c r="DE23" s="197">
        <f t="shared" si="13"/>
        <v>3602.4214999999999</v>
      </c>
      <c r="DF23" s="196">
        <f t="shared" si="52"/>
        <v>2033.6959632910452</v>
      </c>
      <c r="DG23" s="197">
        <f t="shared" si="53"/>
        <v>306.36835056249964</v>
      </c>
      <c r="DH23" s="197">
        <f t="shared" si="54"/>
        <v>0</v>
      </c>
      <c r="DI23" s="197">
        <f t="shared" si="55"/>
        <v>2033.6959632910452</v>
      </c>
      <c r="DJ23" s="199">
        <f t="shared" si="56"/>
        <v>2340.0643138535447</v>
      </c>
      <c r="DK23" s="196">
        <f t="shared" si="70"/>
        <v>26939.382620140015</v>
      </c>
      <c r="DL23" s="197">
        <f t="shared" si="57"/>
        <v>4603.4312359375044</v>
      </c>
      <c r="DM23" s="197">
        <f t="shared" si="58"/>
        <v>0</v>
      </c>
      <c r="DN23" s="197">
        <f t="shared" si="59"/>
        <v>26939.382620140015</v>
      </c>
      <c r="DO23" s="199">
        <f t="shared" si="60"/>
        <v>31542.813856077522</v>
      </c>
    </row>
    <row r="24" spans="2:119" x14ac:dyDescent="0.3">
      <c r="B24" s="204">
        <f t="shared" si="61"/>
        <v>13</v>
      </c>
      <c r="C24" s="225">
        <f>'Energy NPV'!$D77</f>
        <v>11.617000000000001</v>
      </c>
      <c r="D24" s="197">
        <f>'Energy margins'!$S$12</f>
        <v>269.5</v>
      </c>
      <c r="E24" s="197">
        <f t="shared" si="14"/>
        <v>3130.7815000000001</v>
      </c>
      <c r="F24" s="197">
        <f>'Margins summary'!$U$14</f>
        <v>471.64</v>
      </c>
      <c r="G24" s="197">
        <f t="shared" si="15"/>
        <v>3602.4214999999999</v>
      </c>
      <c r="H24" s="197"/>
      <c r="I24" s="913">
        <f>'Energy NPV'!U77</f>
        <v>1840.1999999999998</v>
      </c>
      <c r="J24" s="197"/>
      <c r="K24" s="197">
        <f t="shared" si="16"/>
        <v>1840.1999999999998</v>
      </c>
      <c r="L24" s="197">
        <f t="shared" si="0"/>
        <v>1290.5815000000002</v>
      </c>
      <c r="M24" s="197">
        <f t="shared" si="1"/>
        <v>1762.2215000000001</v>
      </c>
      <c r="N24" s="196">
        <f t="shared" si="17"/>
        <v>1955.4768877798508</v>
      </c>
      <c r="O24" s="197">
        <f t="shared" si="18"/>
        <v>294.58495246394193</v>
      </c>
      <c r="P24" s="197">
        <f t="shared" si="19"/>
        <v>1149.3834906372358</v>
      </c>
      <c r="Q24" s="197">
        <f t="shared" si="20"/>
        <v>806.093397142615</v>
      </c>
      <c r="R24" s="199">
        <f t="shared" si="21"/>
        <v>1100.6783496065568</v>
      </c>
      <c r="S24" s="196">
        <f t="shared" si="62"/>
        <v>28894.859507919868</v>
      </c>
      <c r="T24" s="197">
        <f t="shared" si="22"/>
        <v>4898.016188401446</v>
      </c>
      <c r="U24" s="197">
        <f t="shared" si="22"/>
        <v>47148.227822826484</v>
      </c>
      <c r="V24" s="197">
        <f t="shared" si="22"/>
        <v>-18253.368314906609</v>
      </c>
      <c r="W24" s="199">
        <f t="shared" si="22"/>
        <v>-13355.352126505162</v>
      </c>
      <c r="Z24" s="204">
        <f t="shared" si="63"/>
        <v>13</v>
      </c>
      <c r="AA24" s="225">
        <f>'Energy NPV'!$D77</f>
        <v>11.617000000000001</v>
      </c>
      <c r="AB24" s="197">
        <f>'Energy margins'!$S$12</f>
        <v>269.5</v>
      </c>
      <c r="AC24" s="197">
        <f t="shared" si="23"/>
        <v>3130.7815000000001</v>
      </c>
      <c r="AD24" s="197">
        <f>'Margins summary'!$U$14</f>
        <v>471.64</v>
      </c>
      <c r="AE24" s="197">
        <f t="shared" si="24"/>
        <v>3602.4214999999999</v>
      </c>
      <c r="AF24" s="197"/>
      <c r="AG24" s="913">
        <f>'Energy NPV'!U77</f>
        <v>1840.1999999999998</v>
      </c>
      <c r="AH24" s="197"/>
      <c r="AI24" s="197">
        <f t="shared" si="2"/>
        <v>2760.2999999999997</v>
      </c>
      <c r="AJ24" s="197">
        <f t="shared" si="3"/>
        <v>370.48150000000032</v>
      </c>
      <c r="AK24" s="197">
        <f t="shared" si="4"/>
        <v>842.1215000000002</v>
      </c>
      <c r="AL24" s="196">
        <f t="shared" si="25"/>
        <v>1955.4768877798508</v>
      </c>
      <c r="AM24" s="197">
        <f t="shared" si="26"/>
        <v>294.58495246394193</v>
      </c>
      <c r="AN24" s="197">
        <f t="shared" si="27"/>
        <v>1724.0752359558537</v>
      </c>
      <c r="AO24" s="197">
        <f t="shared" si="28"/>
        <v>231.4016518239971</v>
      </c>
      <c r="AP24" s="199">
        <f t="shared" si="29"/>
        <v>525.98660428793892</v>
      </c>
      <c r="AQ24" s="196">
        <f t="shared" si="64"/>
        <v>28894.859507919868</v>
      </c>
      <c r="AR24" s="197">
        <f t="shared" si="30"/>
        <v>4898.016188401446</v>
      </c>
      <c r="AS24" s="197">
        <f t="shared" si="30"/>
        <v>70722.341734239715</v>
      </c>
      <c r="AT24" s="197">
        <f t="shared" si="30"/>
        <v>-41827.482226319844</v>
      </c>
      <c r="AU24" s="199">
        <f t="shared" si="30"/>
        <v>-36929.466037918406</v>
      </c>
      <c r="AX24" s="204">
        <f t="shared" si="65"/>
        <v>13</v>
      </c>
      <c r="AY24" s="225">
        <f>'Energy NPV'!$D77</f>
        <v>11.617000000000001</v>
      </c>
      <c r="AZ24" s="197">
        <f>'Energy margins'!$S$12</f>
        <v>269.5</v>
      </c>
      <c r="BA24" s="197">
        <f t="shared" si="31"/>
        <v>3130.7815000000001</v>
      </c>
      <c r="BB24" s="197">
        <f>'Margins summary'!$U$14</f>
        <v>471.64</v>
      </c>
      <c r="BC24" s="197">
        <f t="shared" si="32"/>
        <v>3602.4214999999999</v>
      </c>
      <c r="BD24" s="197"/>
      <c r="BE24" s="913">
        <f>'Energy NPV'!U77</f>
        <v>1840.1999999999998</v>
      </c>
      <c r="BF24" s="197"/>
      <c r="BG24" s="197">
        <f t="shared" si="5"/>
        <v>920.09999999999991</v>
      </c>
      <c r="BH24" s="197">
        <f t="shared" si="6"/>
        <v>2210.6815000000001</v>
      </c>
      <c r="BI24" s="197">
        <f t="shared" si="7"/>
        <v>2682.3215</v>
      </c>
      <c r="BJ24" s="196">
        <f t="shared" si="33"/>
        <v>1955.4768877798508</v>
      </c>
      <c r="BK24" s="197">
        <f t="shared" si="34"/>
        <v>294.58495246394193</v>
      </c>
      <c r="BL24" s="197">
        <f t="shared" si="35"/>
        <v>574.6917453186179</v>
      </c>
      <c r="BM24" s="197">
        <f t="shared" si="36"/>
        <v>1380.7851424612329</v>
      </c>
      <c r="BN24" s="199">
        <f t="shared" si="37"/>
        <v>1675.3700949251747</v>
      </c>
      <c r="BO24" s="196">
        <f t="shared" si="66"/>
        <v>28894.859507919868</v>
      </c>
      <c r="BP24" s="197">
        <f t="shared" si="38"/>
        <v>4898.016188401446</v>
      </c>
      <c r="BQ24" s="197">
        <f t="shared" si="38"/>
        <v>23574.113911413242</v>
      </c>
      <c r="BR24" s="197">
        <f t="shared" si="38"/>
        <v>5320.7455965066283</v>
      </c>
      <c r="BS24" s="199">
        <f t="shared" si="38"/>
        <v>10218.761784908074</v>
      </c>
      <c r="BV24" s="204">
        <f t="shared" si="67"/>
        <v>13</v>
      </c>
      <c r="BW24" s="225">
        <f>'Energy NPV'!$D77</f>
        <v>11.617000000000001</v>
      </c>
      <c r="BX24" s="197">
        <f>'Energy margins'!$S$12</f>
        <v>269.5</v>
      </c>
      <c r="BY24" s="197">
        <f t="shared" si="39"/>
        <v>3130.7815000000001</v>
      </c>
      <c r="BZ24" s="197">
        <f>'Margins summary'!$U$14</f>
        <v>471.64</v>
      </c>
      <c r="CA24" s="197">
        <f t="shared" si="40"/>
        <v>3602.4214999999999</v>
      </c>
      <c r="CB24" s="197"/>
      <c r="CC24" s="913">
        <f>'Energy NPV'!U77</f>
        <v>1840.1999999999998</v>
      </c>
      <c r="CD24" s="197"/>
      <c r="CE24" s="197">
        <f t="shared" si="8"/>
        <v>3680.3999999999996</v>
      </c>
      <c r="CF24" s="197">
        <f t="shared" si="9"/>
        <v>-549.61849999999959</v>
      </c>
      <c r="CG24" s="197">
        <f t="shared" si="10"/>
        <v>-77.978499999999713</v>
      </c>
      <c r="CH24" s="196">
        <f t="shared" si="41"/>
        <v>1955.4768877798508</v>
      </c>
      <c r="CI24" s="197">
        <f t="shared" si="42"/>
        <v>294.58495246394193</v>
      </c>
      <c r="CJ24" s="197">
        <f t="shared" si="43"/>
        <v>2298.7669812744716</v>
      </c>
      <c r="CK24" s="197">
        <f t="shared" si="44"/>
        <v>-343.29009349462075</v>
      </c>
      <c r="CL24" s="199">
        <f t="shared" si="45"/>
        <v>-48.705141030678931</v>
      </c>
      <c r="CM24" s="196">
        <f t="shared" si="68"/>
        <v>28894.859507919868</v>
      </c>
      <c r="CN24" s="197">
        <f t="shared" si="46"/>
        <v>4898.016188401446</v>
      </c>
      <c r="CO24" s="197">
        <f t="shared" si="47"/>
        <v>94296.455645652968</v>
      </c>
      <c r="CP24" s="197">
        <f t="shared" si="48"/>
        <v>-65401.596137733097</v>
      </c>
      <c r="CQ24" s="199">
        <f t="shared" si="49"/>
        <v>-60503.579949331637</v>
      </c>
      <c r="CT24" s="204">
        <f t="shared" si="69"/>
        <v>13</v>
      </c>
      <c r="CU24" s="225">
        <f>'Energy NPV'!$D77</f>
        <v>11.617000000000001</v>
      </c>
      <c r="CV24" s="197">
        <f>'Energy margins'!$S$12</f>
        <v>269.5</v>
      </c>
      <c r="CW24" s="197">
        <f t="shared" si="50"/>
        <v>3130.7815000000001</v>
      </c>
      <c r="CX24" s="197">
        <f>'Margins summary'!$U$14</f>
        <v>471.64</v>
      </c>
      <c r="CY24" s="197">
        <f t="shared" si="51"/>
        <v>3602.4214999999999</v>
      </c>
      <c r="CZ24" s="197"/>
      <c r="DA24" s="913">
        <f>'Energy NPV'!U77</f>
        <v>1840.1999999999998</v>
      </c>
      <c r="DB24" s="197"/>
      <c r="DC24" s="197">
        <f t="shared" si="11"/>
        <v>0</v>
      </c>
      <c r="DD24" s="197">
        <f t="shared" si="12"/>
        <v>3130.7815000000001</v>
      </c>
      <c r="DE24" s="197">
        <f t="shared" si="13"/>
        <v>3602.4214999999999</v>
      </c>
      <c r="DF24" s="196">
        <f t="shared" si="52"/>
        <v>1955.4768877798508</v>
      </c>
      <c r="DG24" s="197">
        <f t="shared" si="53"/>
        <v>294.58495246394193</v>
      </c>
      <c r="DH24" s="197">
        <f t="shared" si="54"/>
        <v>0</v>
      </c>
      <c r="DI24" s="197">
        <f t="shared" si="55"/>
        <v>1955.4768877798508</v>
      </c>
      <c r="DJ24" s="199">
        <f t="shared" si="56"/>
        <v>2250.0618402437926</v>
      </c>
      <c r="DK24" s="196">
        <f t="shared" si="70"/>
        <v>28894.859507919868</v>
      </c>
      <c r="DL24" s="197">
        <f t="shared" si="57"/>
        <v>4898.016188401446</v>
      </c>
      <c r="DM24" s="197">
        <f t="shared" si="58"/>
        <v>0</v>
      </c>
      <c r="DN24" s="197">
        <f t="shared" si="59"/>
        <v>28894.859507919868</v>
      </c>
      <c r="DO24" s="199">
        <f t="shared" si="60"/>
        <v>33792.875696321316</v>
      </c>
    </row>
    <row r="25" spans="2:119" x14ac:dyDescent="0.3">
      <c r="B25" s="204">
        <f t="shared" si="61"/>
        <v>14</v>
      </c>
      <c r="C25" s="225">
        <f>'Energy NPV'!$D78</f>
        <v>11.617000000000001</v>
      </c>
      <c r="D25" s="197">
        <f>'Energy margins'!$S$12</f>
        <v>269.5</v>
      </c>
      <c r="E25" s="197">
        <f t="shared" si="14"/>
        <v>3130.7815000000001</v>
      </c>
      <c r="F25" s="197">
        <f>'Margins summary'!$U$14</f>
        <v>471.64</v>
      </c>
      <c r="G25" s="197">
        <f t="shared" si="15"/>
        <v>3602.4214999999999</v>
      </c>
      <c r="H25" s="197"/>
      <c r="I25" s="913">
        <f>'Energy NPV'!U78</f>
        <v>1840.1999999999998</v>
      </c>
      <c r="J25" s="197"/>
      <c r="K25" s="197">
        <f t="shared" si="16"/>
        <v>1840.1999999999998</v>
      </c>
      <c r="L25" s="197">
        <f t="shared" si="0"/>
        <v>1290.5815000000002</v>
      </c>
      <c r="M25" s="197">
        <f t="shared" si="1"/>
        <v>1762.2215000000001</v>
      </c>
      <c r="N25" s="196">
        <f t="shared" si="17"/>
        <v>1880.2662382498565</v>
      </c>
      <c r="O25" s="197">
        <f t="shared" si="18"/>
        <v>283.25476198455954</v>
      </c>
      <c r="P25" s="197">
        <f t="shared" si="19"/>
        <v>1105.1764333050344</v>
      </c>
      <c r="Q25" s="197">
        <f t="shared" si="20"/>
        <v>775.08980494482205</v>
      </c>
      <c r="R25" s="199">
        <f t="shared" si="21"/>
        <v>1058.3445669293815</v>
      </c>
      <c r="S25" s="196">
        <f t="shared" si="62"/>
        <v>30775.125746169724</v>
      </c>
      <c r="T25" s="197">
        <f t="shared" si="22"/>
        <v>5181.270950386006</v>
      </c>
      <c r="U25" s="197">
        <f t="shared" si="22"/>
        <v>48253.404256131522</v>
      </c>
      <c r="V25" s="197">
        <f t="shared" si="22"/>
        <v>-17478.278509961787</v>
      </c>
      <c r="W25" s="199">
        <f t="shared" si="22"/>
        <v>-12297.007559575781</v>
      </c>
      <c r="Z25" s="204">
        <f t="shared" si="63"/>
        <v>14</v>
      </c>
      <c r="AA25" s="225">
        <f>'Energy NPV'!$D78</f>
        <v>11.617000000000001</v>
      </c>
      <c r="AB25" s="197">
        <f>'Energy margins'!$S$12</f>
        <v>269.5</v>
      </c>
      <c r="AC25" s="197">
        <f t="shared" si="23"/>
        <v>3130.7815000000001</v>
      </c>
      <c r="AD25" s="197">
        <f>'Margins summary'!$U$14</f>
        <v>471.64</v>
      </c>
      <c r="AE25" s="197">
        <f t="shared" si="24"/>
        <v>3602.4214999999999</v>
      </c>
      <c r="AF25" s="197"/>
      <c r="AG25" s="913">
        <f>'Energy NPV'!U78</f>
        <v>1840.1999999999998</v>
      </c>
      <c r="AH25" s="197"/>
      <c r="AI25" s="197">
        <f t="shared" si="2"/>
        <v>2760.2999999999997</v>
      </c>
      <c r="AJ25" s="197">
        <f t="shared" si="3"/>
        <v>370.48150000000032</v>
      </c>
      <c r="AK25" s="197">
        <f t="shared" si="4"/>
        <v>842.1215000000002</v>
      </c>
      <c r="AL25" s="196">
        <f t="shared" si="25"/>
        <v>1880.2662382498565</v>
      </c>
      <c r="AM25" s="197">
        <f t="shared" si="26"/>
        <v>283.25476198455954</v>
      </c>
      <c r="AN25" s="197">
        <f t="shared" si="27"/>
        <v>1657.7646499575515</v>
      </c>
      <c r="AO25" s="197">
        <f t="shared" si="28"/>
        <v>222.50158829230492</v>
      </c>
      <c r="AP25" s="199">
        <f t="shared" si="29"/>
        <v>505.75635027686434</v>
      </c>
      <c r="AQ25" s="196">
        <f t="shared" si="64"/>
        <v>30775.125746169724</v>
      </c>
      <c r="AR25" s="197">
        <f t="shared" si="30"/>
        <v>5181.270950386006</v>
      </c>
      <c r="AS25" s="197">
        <f t="shared" si="30"/>
        <v>72380.106384197265</v>
      </c>
      <c r="AT25" s="197">
        <f t="shared" si="30"/>
        <v>-41604.98063802754</v>
      </c>
      <c r="AU25" s="199">
        <f t="shared" si="30"/>
        <v>-36423.709687641545</v>
      </c>
      <c r="AX25" s="204">
        <f t="shared" si="65"/>
        <v>14</v>
      </c>
      <c r="AY25" s="225">
        <f>'Energy NPV'!$D78</f>
        <v>11.617000000000001</v>
      </c>
      <c r="AZ25" s="197">
        <f>'Energy margins'!$S$12</f>
        <v>269.5</v>
      </c>
      <c r="BA25" s="197">
        <f t="shared" si="31"/>
        <v>3130.7815000000001</v>
      </c>
      <c r="BB25" s="197">
        <f>'Margins summary'!$U$14</f>
        <v>471.64</v>
      </c>
      <c r="BC25" s="197">
        <f t="shared" si="32"/>
        <v>3602.4214999999999</v>
      </c>
      <c r="BD25" s="197"/>
      <c r="BE25" s="913">
        <f>'Energy NPV'!U78</f>
        <v>1840.1999999999998</v>
      </c>
      <c r="BF25" s="197"/>
      <c r="BG25" s="197">
        <f t="shared" si="5"/>
        <v>920.09999999999991</v>
      </c>
      <c r="BH25" s="197">
        <f t="shared" si="6"/>
        <v>2210.6815000000001</v>
      </c>
      <c r="BI25" s="197">
        <f t="shared" si="7"/>
        <v>2682.3215</v>
      </c>
      <c r="BJ25" s="196">
        <f t="shared" si="33"/>
        <v>1880.2662382498565</v>
      </c>
      <c r="BK25" s="197">
        <f t="shared" si="34"/>
        <v>283.25476198455954</v>
      </c>
      <c r="BL25" s="197">
        <f t="shared" si="35"/>
        <v>552.58821665251719</v>
      </c>
      <c r="BM25" s="197">
        <f t="shared" si="36"/>
        <v>1327.6780215973392</v>
      </c>
      <c r="BN25" s="199">
        <f t="shared" si="37"/>
        <v>1610.9327835818988</v>
      </c>
      <c r="BO25" s="196">
        <f t="shared" si="66"/>
        <v>30775.125746169724</v>
      </c>
      <c r="BP25" s="197">
        <f t="shared" si="38"/>
        <v>5181.270950386006</v>
      </c>
      <c r="BQ25" s="197">
        <f t="shared" si="38"/>
        <v>24126.702128065761</v>
      </c>
      <c r="BR25" s="197">
        <f t="shared" si="38"/>
        <v>6648.4236181039678</v>
      </c>
      <c r="BS25" s="199">
        <f t="shared" si="38"/>
        <v>11829.694568489973</v>
      </c>
      <c r="BV25" s="204">
        <f t="shared" si="67"/>
        <v>14</v>
      </c>
      <c r="BW25" s="225">
        <f>'Energy NPV'!$D78</f>
        <v>11.617000000000001</v>
      </c>
      <c r="BX25" s="197">
        <f>'Energy margins'!$S$12</f>
        <v>269.5</v>
      </c>
      <c r="BY25" s="197">
        <f t="shared" si="39"/>
        <v>3130.7815000000001</v>
      </c>
      <c r="BZ25" s="197">
        <f>'Margins summary'!$U$14</f>
        <v>471.64</v>
      </c>
      <c r="CA25" s="197">
        <f t="shared" si="40"/>
        <v>3602.4214999999999</v>
      </c>
      <c r="CB25" s="197"/>
      <c r="CC25" s="913">
        <f>'Energy NPV'!U78</f>
        <v>1840.1999999999998</v>
      </c>
      <c r="CD25" s="197"/>
      <c r="CE25" s="197">
        <f t="shared" si="8"/>
        <v>3680.3999999999996</v>
      </c>
      <c r="CF25" s="197">
        <f t="shared" si="9"/>
        <v>-549.61849999999959</v>
      </c>
      <c r="CG25" s="197">
        <f t="shared" si="10"/>
        <v>-77.978499999999713</v>
      </c>
      <c r="CH25" s="196">
        <f t="shared" si="41"/>
        <v>1880.2662382498565</v>
      </c>
      <c r="CI25" s="197">
        <f t="shared" si="42"/>
        <v>283.25476198455954</v>
      </c>
      <c r="CJ25" s="197">
        <f t="shared" si="43"/>
        <v>2210.3528666100688</v>
      </c>
      <c r="CK25" s="197">
        <f t="shared" si="44"/>
        <v>-330.08662836021227</v>
      </c>
      <c r="CL25" s="199">
        <f t="shared" si="45"/>
        <v>-46.831866375652815</v>
      </c>
      <c r="CM25" s="196">
        <f t="shared" si="68"/>
        <v>30775.125746169724</v>
      </c>
      <c r="CN25" s="197">
        <f t="shared" si="46"/>
        <v>5181.270950386006</v>
      </c>
      <c r="CO25" s="197">
        <f t="shared" si="47"/>
        <v>96506.808512263044</v>
      </c>
      <c r="CP25" s="197">
        <f t="shared" si="48"/>
        <v>-65731.682766093305</v>
      </c>
      <c r="CQ25" s="199">
        <f t="shared" si="49"/>
        <v>-60550.411815707288</v>
      </c>
      <c r="CT25" s="204">
        <f t="shared" si="69"/>
        <v>14</v>
      </c>
      <c r="CU25" s="225">
        <f>'Energy NPV'!$D78</f>
        <v>11.617000000000001</v>
      </c>
      <c r="CV25" s="197">
        <f>'Energy margins'!$S$12</f>
        <v>269.5</v>
      </c>
      <c r="CW25" s="197">
        <f t="shared" si="50"/>
        <v>3130.7815000000001</v>
      </c>
      <c r="CX25" s="197">
        <f>'Margins summary'!$U$14</f>
        <v>471.64</v>
      </c>
      <c r="CY25" s="197">
        <f t="shared" si="51"/>
        <v>3602.4214999999999</v>
      </c>
      <c r="CZ25" s="197"/>
      <c r="DA25" s="913">
        <f>'Energy NPV'!U78</f>
        <v>1840.1999999999998</v>
      </c>
      <c r="DB25" s="197"/>
      <c r="DC25" s="197">
        <f t="shared" si="11"/>
        <v>0</v>
      </c>
      <c r="DD25" s="197">
        <f t="shared" si="12"/>
        <v>3130.7815000000001</v>
      </c>
      <c r="DE25" s="197">
        <f t="shared" si="13"/>
        <v>3602.4214999999999</v>
      </c>
      <c r="DF25" s="196">
        <f t="shared" si="52"/>
        <v>1880.2662382498565</v>
      </c>
      <c r="DG25" s="197">
        <f t="shared" si="53"/>
        <v>283.25476198455954</v>
      </c>
      <c r="DH25" s="197">
        <f t="shared" si="54"/>
        <v>0</v>
      </c>
      <c r="DI25" s="197">
        <f t="shared" si="55"/>
        <v>1880.2662382498565</v>
      </c>
      <c r="DJ25" s="199">
        <f t="shared" si="56"/>
        <v>2163.5210002344161</v>
      </c>
      <c r="DK25" s="196">
        <f t="shared" si="70"/>
        <v>30775.125746169724</v>
      </c>
      <c r="DL25" s="197">
        <f t="shared" si="57"/>
        <v>5181.270950386006</v>
      </c>
      <c r="DM25" s="197">
        <f t="shared" si="58"/>
        <v>0</v>
      </c>
      <c r="DN25" s="197">
        <f t="shared" si="59"/>
        <v>30775.125746169724</v>
      </c>
      <c r="DO25" s="199">
        <f t="shared" si="60"/>
        <v>35956.396696555734</v>
      </c>
    </row>
    <row r="26" spans="2:119" x14ac:dyDescent="0.3">
      <c r="B26" s="204">
        <f t="shared" si="61"/>
        <v>15</v>
      </c>
      <c r="C26" s="225">
        <f>'Energy NPV'!$D79</f>
        <v>11.617000000000001</v>
      </c>
      <c r="D26" s="197">
        <f>'Energy margins'!$S$12</f>
        <v>269.5</v>
      </c>
      <c r="E26" s="197">
        <f t="shared" si="14"/>
        <v>3130.7815000000001</v>
      </c>
      <c r="F26" s="197">
        <f>'Margins summary'!$U$14</f>
        <v>471.64</v>
      </c>
      <c r="G26" s="197">
        <f t="shared" si="15"/>
        <v>3602.4214999999999</v>
      </c>
      <c r="H26" s="197"/>
      <c r="I26" s="913">
        <f>'Energy NPV'!U79</f>
        <v>1840.1999999999998</v>
      </c>
      <c r="J26" s="197"/>
      <c r="K26" s="197">
        <f t="shared" si="16"/>
        <v>1840.1999999999998</v>
      </c>
      <c r="L26" s="197">
        <f t="shared" si="0"/>
        <v>1290.5815000000002</v>
      </c>
      <c r="M26" s="197">
        <f t="shared" si="1"/>
        <v>1762.2215000000001</v>
      </c>
      <c r="N26" s="196">
        <f t="shared" si="17"/>
        <v>1807.9483060094774</v>
      </c>
      <c r="O26" s="197">
        <f t="shared" si="18"/>
        <v>272.36034806207647</v>
      </c>
      <c r="P26" s="197">
        <f t="shared" si="19"/>
        <v>1062.6696474086868</v>
      </c>
      <c r="Q26" s="197">
        <f t="shared" si="20"/>
        <v>745.27865860079044</v>
      </c>
      <c r="R26" s="199">
        <f t="shared" si="21"/>
        <v>1017.6390066628669</v>
      </c>
      <c r="S26" s="196">
        <f t="shared" si="62"/>
        <v>32583.074052179203</v>
      </c>
      <c r="T26" s="197">
        <f t="shared" si="22"/>
        <v>5453.6312984480828</v>
      </c>
      <c r="U26" s="197">
        <f t="shared" si="22"/>
        <v>49316.073903540208</v>
      </c>
      <c r="V26" s="197">
        <f t="shared" si="22"/>
        <v>-16732.999851360997</v>
      </c>
      <c r="W26" s="199">
        <f t="shared" si="22"/>
        <v>-11279.368552912914</v>
      </c>
      <c r="Z26" s="204">
        <f t="shared" si="63"/>
        <v>15</v>
      </c>
      <c r="AA26" s="225">
        <f>'Energy NPV'!$D79</f>
        <v>11.617000000000001</v>
      </c>
      <c r="AB26" s="197">
        <f>'Energy margins'!$S$12</f>
        <v>269.5</v>
      </c>
      <c r="AC26" s="197">
        <f t="shared" si="23"/>
        <v>3130.7815000000001</v>
      </c>
      <c r="AD26" s="197">
        <f>'Margins summary'!$U$14</f>
        <v>471.64</v>
      </c>
      <c r="AE26" s="197">
        <f t="shared" si="24"/>
        <v>3602.4214999999999</v>
      </c>
      <c r="AF26" s="197"/>
      <c r="AG26" s="913">
        <f>'Energy NPV'!U79</f>
        <v>1840.1999999999998</v>
      </c>
      <c r="AH26" s="197"/>
      <c r="AI26" s="197">
        <f t="shared" si="2"/>
        <v>2760.2999999999997</v>
      </c>
      <c r="AJ26" s="197">
        <f t="shared" si="3"/>
        <v>370.48150000000032</v>
      </c>
      <c r="AK26" s="197">
        <f t="shared" si="4"/>
        <v>842.1215000000002</v>
      </c>
      <c r="AL26" s="196">
        <f t="shared" si="25"/>
        <v>1807.9483060094774</v>
      </c>
      <c r="AM26" s="197">
        <f t="shared" si="26"/>
        <v>272.36034806207647</v>
      </c>
      <c r="AN26" s="197">
        <f t="shared" si="27"/>
        <v>1594.0044711130304</v>
      </c>
      <c r="AO26" s="197">
        <f t="shared" si="28"/>
        <v>213.94383489644702</v>
      </c>
      <c r="AP26" s="199">
        <f t="shared" si="29"/>
        <v>486.30418295852343</v>
      </c>
      <c r="AQ26" s="196">
        <f t="shared" si="64"/>
        <v>32583.074052179203</v>
      </c>
      <c r="AR26" s="197">
        <f t="shared" si="30"/>
        <v>5453.6312984480828</v>
      </c>
      <c r="AS26" s="197">
        <f t="shared" si="30"/>
        <v>73974.110855310297</v>
      </c>
      <c r="AT26" s="197">
        <f t="shared" si="30"/>
        <v>-41391.036803131094</v>
      </c>
      <c r="AU26" s="199">
        <f t="shared" si="30"/>
        <v>-35937.405504683025</v>
      </c>
      <c r="AX26" s="204">
        <f t="shared" si="65"/>
        <v>15</v>
      </c>
      <c r="AY26" s="225">
        <f>'Energy NPV'!$D79</f>
        <v>11.617000000000001</v>
      </c>
      <c r="AZ26" s="197">
        <f>'Energy margins'!$S$12</f>
        <v>269.5</v>
      </c>
      <c r="BA26" s="197">
        <f t="shared" si="31"/>
        <v>3130.7815000000001</v>
      </c>
      <c r="BB26" s="197">
        <f>'Margins summary'!$U$14</f>
        <v>471.64</v>
      </c>
      <c r="BC26" s="197">
        <f t="shared" si="32"/>
        <v>3602.4214999999999</v>
      </c>
      <c r="BD26" s="197"/>
      <c r="BE26" s="913">
        <f>'Energy NPV'!U79</f>
        <v>1840.1999999999998</v>
      </c>
      <c r="BF26" s="197"/>
      <c r="BG26" s="197">
        <f t="shared" si="5"/>
        <v>920.09999999999991</v>
      </c>
      <c r="BH26" s="197">
        <f t="shared" si="6"/>
        <v>2210.6815000000001</v>
      </c>
      <c r="BI26" s="197">
        <f t="shared" si="7"/>
        <v>2682.3215</v>
      </c>
      <c r="BJ26" s="196">
        <f t="shared" si="33"/>
        <v>1807.9483060094774</v>
      </c>
      <c r="BK26" s="197">
        <f t="shared" si="34"/>
        <v>272.36034806207647</v>
      </c>
      <c r="BL26" s="197">
        <f t="shared" si="35"/>
        <v>531.33482370434342</v>
      </c>
      <c r="BM26" s="197">
        <f t="shared" si="36"/>
        <v>1276.6134823051339</v>
      </c>
      <c r="BN26" s="199">
        <f t="shared" si="37"/>
        <v>1548.9738303672102</v>
      </c>
      <c r="BO26" s="196">
        <f t="shared" si="66"/>
        <v>32583.074052179203</v>
      </c>
      <c r="BP26" s="197">
        <f t="shared" si="38"/>
        <v>5453.6312984480828</v>
      </c>
      <c r="BQ26" s="197">
        <f t="shared" si="38"/>
        <v>24658.036951770104</v>
      </c>
      <c r="BR26" s="197">
        <f t="shared" si="38"/>
        <v>7925.0371004091012</v>
      </c>
      <c r="BS26" s="199">
        <f t="shared" si="38"/>
        <v>13378.668398857182</v>
      </c>
      <c r="BV26" s="204">
        <f t="shared" si="67"/>
        <v>15</v>
      </c>
      <c r="BW26" s="225">
        <f>'Energy NPV'!$D79</f>
        <v>11.617000000000001</v>
      </c>
      <c r="BX26" s="197">
        <f>'Energy margins'!$S$12</f>
        <v>269.5</v>
      </c>
      <c r="BY26" s="197">
        <f t="shared" si="39"/>
        <v>3130.7815000000001</v>
      </c>
      <c r="BZ26" s="197">
        <f>'Margins summary'!$U$14</f>
        <v>471.64</v>
      </c>
      <c r="CA26" s="197">
        <f t="shared" si="40"/>
        <v>3602.4214999999999</v>
      </c>
      <c r="CB26" s="197"/>
      <c r="CC26" s="913">
        <f>'Energy NPV'!U79</f>
        <v>1840.1999999999998</v>
      </c>
      <c r="CD26" s="197"/>
      <c r="CE26" s="197">
        <f t="shared" si="8"/>
        <v>3680.3999999999996</v>
      </c>
      <c r="CF26" s="197">
        <f t="shared" si="9"/>
        <v>-549.61849999999959</v>
      </c>
      <c r="CG26" s="197">
        <f t="shared" si="10"/>
        <v>-77.978499999999713</v>
      </c>
      <c r="CH26" s="196">
        <f t="shared" si="41"/>
        <v>1807.9483060094774</v>
      </c>
      <c r="CI26" s="197">
        <f t="shared" si="42"/>
        <v>272.36034806207647</v>
      </c>
      <c r="CJ26" s="197">
        <f t="shared" si="43"/>
        <v>2125.3392948173737</v>
      </c>
      <c r="CK26" s="197">
        <f t="shared" si="44"/>
        <v>-317.39098880789641</v>
      </c>
      <c r="CL26" s="199">
        <f t="shared" si="45"/>
        <v>-45.030640745820016</v>
      </c>
      <c r="CM26" s="196">
        <f t="shared" si="68"/>
        <v>32583.074052179203</v>
      </c>
      <c r="CN26" s="197">
        <f t="shared" si="46"/>
        <v>5453.6312984480828</v>
      </c>
      <c r="CO26" s="197">
        <f t="shared" si="47"/>
        <v>98632.147807080415</v>
      </c>
      <c r="CP26" s="197">
        <f t="shared" si="48"/>
        <v>-66049.073754901197</v>
      </c>
      <c r="CQ26" s="199">
        <f t="shared" si="49"/>
        <v>-60595.442456453107</v>
      </c>
      <c r="CT26" s="204">
        <f t="shared" si="69"/>
        <v>15</v>
      </c>
      <c r="CU26" s="225">
        <f>'Energy NPV'!$D79</f>
        <v>11.617000000000001</v>
      </c>
      <c r="CV26" s="197">
        <f>'Energy margins'!$S$12</f>
        <v>269.5</v>
      </c>
      <c r="CW26" s="197">
        <f t="shared" si="50"/>
        <v>3130.7815000000001</v>
      </c>
      <c r="CX26" s="197">
        <f>'Margins summary'!$U$14</f>
        <v>471.64</v>
      </c>
      <c r="CY26" s="197">
        <f t="shared" si="51"/>
        <v>3602.4214999999999</v>
      </c>
      <c r="CZ26" s="197"/>
      <c r="DA26" s="913">
        <f>'Energy NPV'!U79</f>
        <v>1840.1999999999998</v>
      </c>
      <c r="DB26" s="197"/>
      <c r="DC26" s="197">
        <f t="shared" si="11"/>
        <v>0</v>
      </c>
      <c r="DD26" s="197">
        <f t="shared" si="12"/>
        <v>3130.7815000000001</v>
      </c>
      <c r="DE26" s="197">
        <f t="shared" si="13"/>
        <v>3602.4214999999999</v>
      </c>
      <c r="DF26" s="196">
        <f t="shared" si="52"/>
        <v>1807.9483060094774</v>
      </c>
      <c r="DG26" s="197">
        <f t="shared" si="53"/>
        <v>272.36034806207647</v>
      </c>
      <c r="DH26" s="197">
        <f t="shared" si="54"/>
        <v>0</v>
      </c>
      <c r="DI26" s="197">
        <f t="shared" si="55"/>
        <v>1807.9483060094774</v>
      </c>
      <c r="DJ26" s="199">
        <f t="shared" si="56"/>
        <v>2080.308654071554</v>
      </c>
      <c r="DK26" s="196">
        <f t="shared" si="70"/>
        <v>32583.074052179203</v>
      </c>
      <c r="DL26" s="197">
        <f t="shared" si="57"/>
        <v>5453.6312984480828</v>
      </c>
      <c r="DM26" s="197">
        <f t="shared" si="58"/>
        <v>0</v>
      </c>
      <c r="DN26" s="197">
        <f t="shared" si="59"/>
        <v>32583.074052179203</v>
      </c>
      <c r="DO26" s="199">
        <f t="shared" si="60"/>
        <v>38036.705350627286</v>
      </c>
    </row>
    <row r="27" spans="2:119" x14ac:dyDescent="0.3">
      <c r="B27" s="206">
        <f t="shared" si="61"/>
        <v>16</v>
      </c>
      <c r="C27" s="226">
        <f>'Energy NPV'!$D80</f>
        <v>11.617000000000001</v>
      </c>
      <c r="D27" s="207">
        <f>'Energy margins'!$S$12</f>
        <v>269.5</v>
      </c>
      <c r="E27" s="207">
        <f t="shared" si="14"/>
        <v>3130.7815000000001</v>
      </c>
      <c r="F27" s="207">
        <f>'Margins summary'!$U$14</f>
        <v>471.64</v>
      </c>
      <c r="G27" s="207">
        <f t="shared" si="15"/>
        <v>3602.4214999999999</v>
      </c>
      <c r="H27" s="207"/>
      <c r="I27" s="914">
        <f>'Energy NPV'!U80</f>
        <v>1350.1999999999998</v>
      </c>
      <c r="J27" s="207">
        <f>'Energy margins'!$X$67</f>
        <v>500</v>
      </c>
      <c r="K27" s="207">
        <f t="shared" si="16"/>
        <v>1850.1999999999998</v>
      </c>
      <c r="L27" s="207">
        <f t="shared" si="0"/>
        <v>1280.5815000000002</v>
      </c>
      <c r="M27" s="207">
        <f t="shared" si="1"/>
        <v>1752.2215000000001</v>
      </c>
      <c r="N27" s="208">
        <f t="shared" si="17"/>
        <v>1738.4118327014205</v>
      </c>
      <c r="O27" s="207">
        <f t="shared" si="18"/>
        <v>261.88495005968895</v>
      </c>
      <c r="P27" s="207">
        <f t="shared" si="19"/>
        <v>1027.3503829201009</v>
      </c>
      <c r="Q27" s="207">
        <f t="shared" si="20"/>
        <v>711.06144978131965</v>
      </c>
      <c r="R27" s="209">
        <f>M27/((1+$B$4)^(B27-1))</f>
        <v>972.94639984100854</v>
      </c>
      <c r="S27" s="208">
        <f t="shared" si="62"/>
        <v>34321.485884880625</v>
      </c>
      <c r="T27" s="207">
        <f t="shared" si="22"/>
        <v>5715.5162485077717</v>
      </c>
      <c r="U27" s="207">
        <f t="shared" si="22"/>
        <v>50343.424286460307</v>
      </c>
      <c r="V27" s="207">
        <f t="shared" si="22"/>
        <v>-16021.938401579677</v>
      </c>
      <c r="W27" s="209">
        <f t="shared" si="22"/>
        <v>-10306.422153071906</v>
      </c>
      <c r="Z27" s="206">
        <f t="shared" si="63"/>
        <v>16</v>
      </c>
      <c r="AA27" s="226">
        <f>'Energy NPV'!$D80</f>
        <v>11.617000000000001</v>
      </c>
      <c r="AB27" s="207">
        <f>'Energy margins'!$S$12</f>
        <v>269.5</v>
      </c>
      <c r="AC27" s="207">
        <f>AA27*AB27</f>
        <v>3130.7815000000001</v>
      </c>
      <c r="AD27" s="207">
        <f>'Margins summary'!$U$14</f>
        <v>471.64</v>
      </c>
      <c r="AE27" s="207">
        <f t="shared" si="24"/>
        <v>3602.4214999999999</v>
      </c>
      <c r="AF27" s="207"/>
      <c r="AG27" s="914">
        <f>'Energy NPV'!U80</f>
        <v>1350.1999999999998</v>
      </c>
      <c r="AH27" s="207">
        <f>'Energy margins'!$X$67</f>
        <v>500</v>
      </c>
      <c r="AI27" s="207">
        <f t="shared" si="2"/>
        <v>2775.2999999999997</v>
      </c>
      <c r="AJ27" s="207">
        <f t="shared" si="3"/>
        <v>355.48150000000032</v>
      </c>
      <c r="AK27" s="207">
        <f t="shared" si="4"/>
        <v>827.1215000000002</v>
      </c>
      <c r="AL27" s="208">
        <f t="shared" si="25"/>
        <v>1738.4118327014205</v>
      </c>
      <c r="AM27" s="207">
        <f t="shared" si="26"/>
        <v>261.88495005968895</v>
      </c>
      <c r="AN27" s="207">
        <f t="shared" si="27"/>
        <v>1541.0255743801515</v>
      </c>
      <c r="AO27" s="207">
        <f t="shared" si="28"/>
        <v>197.38625832126917</v>
      </c>
      <c r="AP27" s="209">
        <f>AK27/((1+$B$4)^(Z27-1))</f>
        <v>459.27120838095806</v>
      </c>
      <c r="AQ27" s="208">
        <f t="shared" si="64"/>
        <v>34321.485884880625</v>
      </c>
      <c r="AR27" s="207">
        <f t="shared" si="30"/>
        <v>5715.5162485077717</v>
      </c>
      <c r="AS27" s="207">
        <f t="shared" si="30"/>
        <v>75515.13642969045</v>
      </c>
      <c r="AT27" s="207">
        <f t="shared" si="30"/>
        <v>-41193.650544809825</v>
      </c>
      <c r="AU27" s="209">
        <f t="shared" si="30"/>
        <v>-35478.134296302065</v>
      </c>
      <c r="AX27" s="206">
        <f t="shared" si="65"/>
        <v>16</v>
      </c>
      <c r="AY27" s="226">
        <f>'Energy NPV'!$D80</f>
        <v>11.617000000000001</v>
      </c>
      <c r="AZ27" s="207">
        <f>'Energy margins'!$S$12</f>
        <v>269.5</v>
      </c>
      <c r="BA27" s="207">
        <f t="shared" si="31"/>
        <v>3130.7815000000001</v>
      </c>
      <c r="BB27" s="207">
        <f>'Margins summary'!$U$14</f>
        <v>471.64</v>
      </c>
      <c r="BC27" s="207">
        <f t="shared" si="32"/>
        <v>3602.4214999999999</v>
      </c>
      <c r="BD27" s="207"/>
      <c r="BE27" s="914">
        <f>'Energy NPV'!U80</f>
        <v>1350.1999999999998</v>
      </c>
      <c r="BF27" s="207">
        <f>'Energy margins'!$X$67</f>
        <v>500</v>
      </c>
      <c r="BG27" s="207">
        <f t="shared" si="5"/>
        <v>925.09999999999991</v>
      </c>
      <c r="BH27" s="207">
        <f t="shared" si="6"/>
        <v>2205.6815000000001</v>
      </c>
      <c r="BI27" s="207">
        <f t="shared" si="7"/>
        <v>2677.3215</v>
      </c>
      <c r="BJ27" s="208">
        <f t="shared" si="33"/>
        <v>1738.4118327014205</v>
      </c>
      <c r="BK27" s="207">
        <f t="shared" si="34"/>
        <v>261.88495005968895</v>
      </c>
      <c r="BL27" s="207">
        <f t="shared" si="35"/>
        <v>513.67519146005043</v>
      </c>
      <c r="BM27" s="207">
        <f t="shared" si="36"/>
        <v>1224.7366412413701</v>
      </c>
      <c r="BN27" s="209">
        <f>BI27/((1+$B$4)^(AX27-1))</f>
        <v>1486.621591301059</v>
      </c>
      <c r="BO27" s="208">
        <f t="shared" si="66"/>
        <v>34321.485884880625</v>
      </c>
      <c r="BP27" s="207">
        <f t="shared" si="38"/>
        <v>5715.5162485077717</v>
      </c>
      <c r="BQ27" s="207">
        <f t="shared" si="38"/>
        <v>25171.712143230154</v>
      </c>
      <c r="BR27" s="207">
        <f t="shared" si="38"/>
        <v>9149.7737416504715</v>
      </c>
      <c r="BS27" s="209">
        <f t="shared" si="38"/>
        <v>14865.28999015824</v>
      </c>
      <c r="BV27" s="206">
        <f t="shared" si="67"/>
        <v>16</v>
      </c>
      <c r="BW27" s="226">
        <f>'Energy NPV'!$D80</f>
        <v>11.617000000000001</v>
      </c>
      <c r="BX27" s="207">
        <f>'Energy margins'!$S$12</f>
        <v>269.5</v>
      </c>
      <c r="BY27" s="207">
        <f t="shared" si="39"/>
        <v>3130.7815000000001</v>
      </c>
      <c r="BZ27" s="207">
        <f>'Margins summary'!$U$14</f>
        <v>471.64</v>
      </c>
      <c r="CA27" s="207">
        <f t="shared" si="40"/>
        <v>3602.4214999999999</v>
      </c>
      <c r="CB27" s="207"/>
      <c r="CC27" s="914">
        <f>'Energy NPV'!U80</f>
        <v>1350.1999999999998</v>
      </c>
      <c r="CD27" s="207">
        <f>'Energy margins'!$X$67</f>
        <v>500</v>
      </c>
      <c r="CE27" s="207">
        <f t="shared" si="8"/>
        <v>3700.3999999999996</v>
      </c>
      <c r="CF27" s="207">
        <f t="shared" si="9"/>
        <v>-569.61849999999959</v>
      </c>
      <c r="CG27" s="207">
        <f t="shared" si="10"/>
        <v>-97.978499999999713</v>
      </c>
      <c r="CH27" s="208">
        <f t="shared" si="41"/>
        <v>1738.4118327014205</v>
      </c>
      <c r="CI27" s="207">
        <f t="shared" si="42"/>
        <v>261.88495005968895</v>
      </c>
      <c r="CJ27" s="207">
        <f t="shared" si="43"/>
        <v>2054.7007658402017</v>
      </c>
      <c r="CK27" s="207">
        <f t="shared" si="44"/>
        <v>-316.28893313878132</v>
      </c>
      <c r="CL27" s="209">
        <f>CG27/((1+$B$4)^(BV27-1))</f>
        <v>-54.403983079092434</v>
      </c>
      <c r="CM27" s="208">
        <f t="shared" si="68"/>
        <v>34321.485884880625</v>
      </c>
      <c r="CN27" s="207">
        <f t="shared" si="46"/>
        <v>5715.5162485077717</v>
      </c>
      <c r="CO27" s="207">
        <f t="shared" si="47"/>
        <v>100686.84857292061</v>
      </c>
      <c r="CP27" s="207">
        <f t="shared" si="48"/>
        <v>-66365.362688039982</v>
      </c>
      <c r="CQ27" s="209">
        <f t="shared" si="49"/>
        <v>-60649.846439532201</v>
      </c>
      <c r="CT27" s="206">
        <f t="shared" si="69"/>
        <v>16</v>
      </c>
      <c r="CU27" s="226">
        <f>'Energy NPV'!$D80</f>
        <v>11.617000000000001</v>
      </c>
      <c r="CV27" s="207">
        <f>'Energy margins'!$S$12</f>
        <v>269.5</v>
      </c>
      <c r="CW27" s="207">
        <f t="shared" si="50"/>
        <v>3130.7815000000001</v>
      </c>
      <c r="CX27" s="207">
        <f>'Margins summary'!$U$14</f>
        <v>471.64</v>
      </c>
      <c r="CY27" s="207">
        <f t="shared" si="51"/>
        <v>3602.4214999999999</v>
      </c>
      <c r="CZ27" s="207"/>
      <c r="DA27" s="914">
        <f>'Energy NPV'!U80</f>
        <v>1350.1999999999998</v>
      </c>
      <c r="DB27" s="207">
        <f>'Energy margins'!$X$67</f>
        <v>500</v>
      </c>
      <c r="DC27" s="207">
        <f t="shared" si="11"/>
        <v>0</v>
      </c>
      <c r="DD27" s="207">
        <f t="shared" si="12"/>
        <v>3130.7815000000001</v>
      </c>
      <c r="DE27" s="207">
        <f t="shared" si="13"/>
        <v>3602.4214999999999</v>
      </c>
      <c r="DF27" s="208">
        <f t="shared" si="52"/>
        <v>1738.4118327014205</v>
      </c>
      <c r="DG27" s="207">
        <f t="shared" si="53"/>
        <v>261.88495005968895</v>
      </c>
      <c r="DH27" s="207">
        <f t="shared" si="54"/>
        <v>0</v>
      </c>
      <c r="DI27" s="207">
        <f t="shared" si="55"/>
        <v>1738.4118327014205</v>
      </c>
      <c r="DJ27" s="209">
        <f>DE27/((1+$B$4)^(CT27-1))</f>
        <v>2000.2967827611094</v>
      </c>
      <c r="DK27" s="208">
        <f t="shared" si="70"/>
        <v>34321.485884880625</v>
      </c>
      <c r="DL27" s="207">
        <f t="shared" si="57"/>
        <v>5715.5162485077717</v>
      </c>
      <c r="DM27" s="207">
        <f t="shared" si="58"/>
        <v>0</v>
      </c>
      <c r="DN27" s="207">
        <f t="shared" si="59"/>
        <v>34321.485884880625</v>
      </c>
      <c r="DO27" s="209">
        <f t="shared" si="60"/>
        <v>40037.002133388392</v>
      </c>
    </row>
    <row r="34" spans="2:119" x14ac:dyDescent="0.3">
      <c r="B34" s="228" t="s">
        <v>437</v>
      </c>
      <c r="C34" s="760" t="s">
        <v>406</v>
      </c>
      <c r="D34" s="269" t="s">
        <v>397</v>
      </c>
      <c r="E34" s="901">
        <v>1</v>
      </c>
      <c r="F34" s="193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Z34" s="228" t="s">
        <v>437</v>
      </c>
      <c r="AA34" s="211" t="s">
        <v>326</v>
      </c>
      <c r="AB34" s="901">
        <v>1.5</v>
      </c>
      <c r="AC34" s="194"/>
      <c r="AD34" s="193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X34" s="228" t="s">
        <v>437</v>
      </c>
      <c r="AY34" s="211" t="s">
        <v>327</v>
      </c>
      <c r="AZ34" s="901">
        <v>0.5</v>
      </c>
      <c r="BA34" s="194"/>
      <c r="BB34" s="193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  <c r="BR34" s="102"/>
      <c r="BS34" s="102"/>
      <c r="BV34" s="228" t="s">
        <v>437</v>
      </c>
      <c r="BW34" s="211" t="s">
        <v>328</v>
      </c>
      <c r="BX34" s="901">
        <v>2</v>
      </c>
      <c r="BY34" s="194"/>
      <c r="BZ34" s="193"/>
      <c r="CA34" s="102"/>
      <c r="CB34" s="102"/>
      <c r="CC34" s="102"/>
      <c r="CD34" s="102"/>
      <c r="CE34" s="102"/>
      <c r="CF34" s="102"/>
      <c r="CG34" s="102"/>
      <c r="CH34" s="102"/>
      <c r="CI34" s="102"/>
      <c r="CJ34" s="102"/>
      <c r="CK34" s="102"/>
      <c r="CL34" s="102"/>
      <c r="CM34" s="102"/>
      <c r="CN34" s="102"/>
      <c r="CO34" s="102"/>
      <c r="CP34" s="102"/>
      <c r="CQ34" s="102"/>
      <c r="CT34" s="228" t="s">
        <v>437</v>
      </c>
      <c r="CU34" s="211" t="s">
        <v>329</v>
      </c>
      <c r="CV34" s="901">
        <v>0</v>
      </c>
      <c r="CW34" s="194"/>
      <c r="CX34" s="193"/>
      <c r="CY34" s="102"/>
      <c r="CZ34" s="102"/>
      <c r="DA34" s="102"/>
      <c r="DB34" s="102"/>
      <c r="DC34" s="102"/>
      <c r="DD34" s="102"/>
      <c r="DE34" s="102"/>
      <c r="DF34" s="102"/>
      <c r="DG34" s="102"/>
      <c r="DH34" s="102"/>
      <c r="DI34" s="102"/>
      <c r="DJ34" s="102"/>
      <c r="DK34" s="102"/>
      <c r="DL34" s="102"/>
      <c r="DM34" s="102"/>
      <c r="DN34" s="102"/>
      <c r="DO34" s="102"/>
    </row>
    <row r="35" spans="2:119" x14ac:dyDescent="0.3">
      <c r="B35" s="203"/>
      <c r="C35" s="148"/>
      <c r="D35" s="148"/>
      <c r="E35" s="1082"/>
      <c r="F35" s="1082"/>
      <c r="G35" s="1082"/>
      <c r="H35" s="148"/>
      <c r="I35" s="926"/>
      <c r="J35" s="1082"/>
      <c r="K35" s="1082"/>
      <c r="L35" s="148"/>
      <c r="M35" s="148"/>
      <c r="N35" s="1083" t="s">
        <v>273</v>
      </c>
      <c r="O35" s="1084"/>
      <c r="P35" s="1084"/>
      <c r="Q35" s="1084"/>
      <c r="R35" s="1085"/>
      <c r="S35" s="1083" t="s">
        <v>274</v>
      </c>
      <c r="T35" s="1084"/>
      <c r="U35" s="1084"/>
      <c r="V35" s="1084"/>
      <c r="W35" s="1085"/>
      <c r="Z35" s="203"/>
      <c r="AA35" s="148"/>
      <c r="AB35" s="148"/>
      <c r="AC35" s="985"/>
      <c r="AD35" s="985"/>
      <c r="AE35" s="985"/>
      <c r="AF35" s="148"/>
      <c r="AG35" s="926"/>
      <c r="AH35" s="985"/>
      <c r="AI35" s="985"/>
      <c r="AJ35" s="148"/>
      <c r="AK35" s="148"/>
      <c r="AL35" s="986" t="s">
        <v>273</v>
      </c>
      <c r="AM35" s="987"/>
      <c r="AN35" s="987"/>
      <c r="AO35" s="987"/>
      <c r="AP35" s="988"/>
      <c r="AQ35" s="986" t="s">
        <v>274</v>
      </c>
      <c r="AR35" s="987"/>
      <c r="AS35" s="987"/>
      <c r="AT35" s="987"/>
      <c r="AU35" s="988"/>
      <c r="AX35" s="203"/>
      <c r="AY35" s="148"/>
      <c r="AZ35" s="148"/>
      <c r="BA35" s="985"/>
      <c r="BB35" s="985"/>
      <c r="BC35" s="985"/>
      <c r="BD35" s="148"/>
      <c r="BE35" s="926"/>
      <c r="BF35" s="985"/>
      <c r="BG35" s="985"/>
      <c r="BH35" s="148"/>
      <c r="BI35" s="148"/>
      <c r="BJ35" s="986" t="s">
        <v>273</v>
      </c>
      <c r="BK35" s="987"/>
      <c r="BL35" s="987"/>
      <c r="BM35" s="987"/>
      <c r="BN35" s="988"/>
      <c r="BO35" s="986" t="s">
        <v>274</v>
      </c>
      <c r="BP35" s="987"/>
      <c r="BQ35" s="987"/>
      <c r="BR35" s="987"/>
      <c r="BS35" s="988"/>
      <c r="BV35" s="203"/>
      <c r="BW35" s="148"/>
      <c r="BX35" s="148"/>
      <c r="BY35" s="985"/>
      <c r="BZ35" s="985"/>
      <c r="CA35" s="985"/>
      <c r="CB35" s="148"/>
      <c r="CC35" s="926"/>
      <c r="CD35" s="985"/>
      <c r="CE35" s="985"/>
      <c r="CF35" s="148"/>
      <c r="CG35" s="148"/>
      <c r="CH35" s="986" t="s">
        <v>273</v>
      </c>
      <c r="CI35" s="987"/>
      <c r="CJ35" s="987"/>
      <c r="CK35" s="987"/>
      <c r="CL35" s="988"/>
      <c r="CM35" s="986" t="s">
        <v>274</v>
      </c>
      <c r="CN35" s="987"/>
      <c r="CO35" s="987"/>
      <c r="CP35" s="987"/>
      <c r="CQ35" s="988"/>
      <c r="CT35" s="203"/>
      <c r="CU35" s="148"/>
      <c r="CV35" s="148"/>
      <c r="CW35" s="985"/>
      <c r="CX35" s="985"/>
      <c r="CY35" s="985"/>
      <c r="CZ35" s="148"/>
      <c r="DA35" s="926"/>
      <c r="DB35" s="985"/>
      <c r="DC35" s="985"/>
      <c r="DD35" s="148"/>
      <c r="DE35" s="148"/>
      <c r="DF35" s="986" t="s">
        <v>273</v>
      </c>
      <c r="DG35" s="987"/>
      <c r="DH35" s="987"/>
      <c r="DI35" s="987"/>
      <c r="DJ35" s="988"/>
      <c r="DK35" s="986" t="s">
        <v>274</v>
      </c>
      <c r="DL35" s="987"/>
      <c r="DM35" s="987"/>
      <c r="DN35" s="987"/>
      <c r="DO35" s="988"/>
    </row>
    <row r="36" spans="2:119" ht="51" x14ac:dyDescent="0.3">
      <c r="B36" s="204" t="s">
        <v>275</v>
      </c>
      <c r="C36" s="205" t="s">
        <v>293</v>
      </c>
      <c r="D36" s="205" t="s">
        <v>294</v>
      </c>
      <c r="E36" s="171" t="s">
        <v>622</v>
      </c>
      <c r="F36" s="171" t="s">
        <v>591</v>
      </c>
      <c r="G36" s="171" t="s">
        <v>623</v>
      </c>
      <c r="H36" s="205" t="s">
        <v>291</v>
      </c>
      <c r="I36" s="930" t="str">
        <f>'Energy NPV'!U89</f>
        <v>Total Recurring Costs</v>
      </c>
      <c r="J36" s="205" t="s">
        <v>295</v>
      </c>
      <c r="K36" s="171" t="s">
        <v>279</v>
      </c>
      <c r="L36" s="171" t="s">
        <v>624</v>
      </c>
      <c r="M36" s="171" t="s">
        <v>625</v>
      </c>
      <c r="N36" s="195" t="s">
        <v>280</v>
      </c>
      <c r="O36" s="171" t="s">
        <v>626</v>
      </c>
      <c r="P36" s="171" t="s">
        <v>281</v>
      </c>
      <c r="Q36" s="171" t="s">
        <v>627</v>
      </c>
      <c r="R36" s="198" t="s">
        <v>282</v>
      </c>
      <c r="S36" s="195" t="s">
        <v>283</v>
      </c>
      <c r="T36" s="171" t="s">
        <v>628</v>
      </c>
      <c r="U36" s="171" t="s">
        <v>284</v>
      </c>
      <c r="V36" s="171" t="s">
        <v>629</v>
      </c>
      <c r="W36" s="198" t="s">
        <v>285</v>
      </c>
      <c r="Z36" s="204" t="s">
        <v>275</v>
      </c>
      <c r="AA36" s="205" t="s">
        <v>293</v>
      </c>
      <c r="AB36" s="205" t="s">
        <v>294</v>
      </c>
      <c r="AC36" s="171" t="s">
        <v>622</v>
      </c>
      <c r="AD36" s="171" t="s">
        <v>591</v>
      </c>
      <c r="AE36" s="171" t="s">
        <v>623</v>
      </c>
      <c r="AF36" s="205" t="s">
        <v>291</v>
      </c>
      <c r="AG36" s="930" t="str">
        <f>'Energy NPV'!U89</f>
        <v>Total Recurring Costs</v>
      </c>
      <c r="AH36" s="205" t="s">
        <v>295</v>
      </c>
      <c r="AI36" s="171" t="s">
        <v>279</v>
      </c>
      <c r="AJ36" s="171" t="s">
        <v>624</v>
      </c>
      <c r="AK36" s="171" t="s">
        <v>625</v>
      </c>
      <c r="AL36" s="195" t="s">
        <v>280</v>
      </c>
      <c r="AM36" s="171" t="s">
        <v>626</v>
      </c>
      <c r="AN36" s="171" t="s">
        <v>281</v>
      </c>
      <c r="AO36" s="171" t="s">
        <v>627</v>
      </c>
      <c r="AP36" s="198" t="s">
        <v>282</v>
      </c>
      <c r="AQ36" s="195" t="s">
        <v>283</v>
      </c>
      <c r="AR36" s="171" t="s">
        <v>628</v>
      </c>
      <c r="AS36" s="171" t="s">
        <v>284</v>
      </c>
      <c r="AT36" s="171" t="s">
        <v>629</v>
      </c>
      <c r="AU36" s="198" t="s">
        <v>285</v>
      </c>
      <c r="AX36" s="204" t="s">
        <v>275</v>
      </c>
      <c r="AY36" s="205" t="s">
        <v>293</v>
      </c>
      <c r="AZ36" s="205" t="s">
        <v>294</v>
      </c>
      <c r="BA36" s="171" t="s">
        <v>622</v>
      </c>
      <c r="BB36" s="171" t="s">
        <v>591</v>
      </c>
      <c r="BC36" s="171" t="s">
        <v>623</v>
      </c>
      <c r="BD36" s="205" t="s">
        <v>291</v>
      </c>
      <c r="BE36" s="930" t="str">
        <f>'Energy NPV'!U89</f>
        <v>Total Recurring Costs</v>
      </c>
      <c r="BF36" s="205" t="s">
        <v>295</v>
      </c>
      <c r="BG36" s="171" t="s">
        <v>279</v>
      </c>
      <c r="BH36" s="171" t="s">
        <v>624</v>
      </c>
      <c r="BI36" s="171" t="s">
        <v>625</v>
      </c>
      <c r="BJ36" s="195" t="s">
        <v>280</v>
      </c>
      <c r="BK36" s="171" t="s">
        <v>626</v>
      </c>
      <c r="BL36" s="171" t="s">
        <v>281</v>
      </c>
      <c r="BM36" s="171" t="s">
        <v>627</v>
      </c>
      <c r="BN36" s="198" t="s">
        <v>282</v>
      </c>
      <c r="BO36" s="195" t="s">
        <v>283</v>
      </c>
      <c r="BP36" s="171" t="s">
        <v>628</v>
      </c>
      <c r="BQ36" s="171" t="s">
        <v>284</v>
      </c>
      <c r="BR36" s="171" t="s">
        <v>629</v>
      </c>
      <c r="BS36" s="198" t="s">
        <v>285</v>
      </c>
      <c r="BV36" s="204" t="s">
        <v>275</v>
      </c>
      <c r="BW36" s="205" t="s">
        <v>293</v>
      </c>
      <c r="BX36" s="205" t="s">
        <v>294</v>
      </c>
      <c r="BY36" s="171" t="s">
        <v>622</v>
      </c>
      <c r="BZ36" s="171" t="s">
        <v>591</v>
      </c>
      <c r="CA36" s="171" t="s">
        <v>623</v>
      </c>
      <c r="CB36" s="205" t="s">
        <v>291</v>
      </c>
      <c r="CC36" s="930" t="str">
        <f>'Energy NPV'!U89</f>
        <v>Total Recurring Costs</v>
      </c>
      <c r="CD36" s="205" t="s">
        <v>295</v>
      </c>
      <c r="CE36" s="171" t="s">
        <v>279</v>
      </c>
      <c r="CF36" s="171" t="s">
        <v>624</v>
      </c>
      <c r="CG36" s="171" t="s">
        <v>625</v>
      </c>
      <c r="CH36" s="195" t="s">
        <v>280</v>
      </c>
      <c r="CI36" s="171" t="s">
        <v>626</v>
      </c>
      <c r="CJ36" s="171" t="s">
        <v>281</v>
      </c>
      <c r="CK36" s="171" t="s">
        <v>627</v>
      </c>
      <c r="CL36" s="198" t="s">
        <v>282</v>
      </c>
      <c r="CM36" s="195" t="s">
        <v>283</v>
      </c>
      <c r="CN36" s="171" t="s">
        <v>628</v>
      </c>
      <c r="CO36" s="171" t="s">
        <v>284</v>
      </c>
      <c r="CP36" s="171" t="s">
        <v>629</v>
      </c>
      <c r="CQ36" s="198" t="s">
        <v>285</v>
      </c>
      <c r="CT36" s="204" t="s">
        <v>275</v>
      </c>
      <c r="CU36" s="205" t="s">
        <v>293</v>
      </c>
      <c r="CV36" s="205" t="s">
        <v>294</v>
      </c>
      <c r="CW36" s="171" t="s">
        <v>622</v>
      </c>
      <c r="CX36" s="171" t="s">
        <v>591</v>
      </c>
      <c r="CY36" s="171" t="s">
        <v>623</v>
      </c>
      <c r="CZ36" s="205" t="s">
        <v>291</v>
      </c>
      <c r="DA36" s="930" t="str">
        <f>'Energy NPV'!U89</f>
        <v>Total Recurring Costs</v>
      </c>
      <c r="DB36" s="205" t="s">
        <v>295</v>
      </c>
      <c r="DC36" s="171" t="s">
        <v>279</v>
      </c>
      <c r="DD36" s="171" t="s">
        <v>624</v>
      </c>
      <c r="DE36" s="171" t="s">
        <v>625</v>
      </c>
      <c r="DF36" s="195" t="s">
        <v>280</v>
      </c>
      <c r="DG36" s="171" t="s">
        <v>626</v>
      </c>
      <c r="DH36" s="171" t="s">
        <v>281</v>
      </c>
      <c r="DI36" s="171" t="s">
        <v>627</v>
      </c>
      <c r="DJ36" s="198" t="s">
        <v>282</v>
      </c>
      <c r="DK36" s="195" t="s">
        <v>283</v>
      </c>
      <c r="DL36" s="171" t="s">
        <v>628</v>
      </c>
      <c r="DM36" s="171" t="s">
        <v>284</v>
      </c>
      <c r="DN36" s="171" t="s">
        <v>629</v>
      </c>
      <c r="DO36" s="198" t="s">
        <v>285</v>
      </c>
    </row>
    <row r="37" spans="2:119" x14ac:dyDescent="0.3">
      <c r="B37" s="173"/>
      <c r="C37" s="226" t="s">
        <v>336</v>
      </c>
      <c r="D37" s="226" t="s">
        <v>573</v>
      </c>
      <c r="E37" s="201" t="s">
        <v>571</v>
      </c>
      <c r="F37" s="201" t="s">
        <v>571</v>
      </c>
      <c r="G37" s="201" t="s">
        <v>571</v>
      </c>
      <c r="H37" s="201" t="s">
        <v>571</v>
      </c>
      <c r="I37" s="964" t="str">
        <f>'Energy NPV'!U90</f>
        <v>(PLN ha-1)</v>
      </c>
      <c r="J37" s="201" t="s">
        <v>571</v>
      </c>
      <c r="K37" s="201" t="s">
        <v>571</v>
      </c>
      <c r="L37" s="201" t="s">
        <v>571</v>
      </c>
      <c r="M37" s="202" t="s">
        <v>571</v>
      </c>
      <c r="N37" s="201" t="s">
        <v>571</v>
      </c>
      <c r="O37" s="201" t="s">
        <v>571</v>
      </c>
      <c r="P37" s="201" t="s">
        <v>571</v>
      </c>
      <c r="Q37" s="201" t="s">
        <v>571</v>
      </c>
      <c r="R37" s="202" t="s">
        <v>571</v>
      </c>
      <c r="S37" s="201" t="s">
        <v>571</v>
      </c>
      <c r="T37" s="201" t="s">
        <v>571</v>
      </c>
      <c r="U37" s="201" t="s">
        <v>571</v>
      </c>
      <c r="V37" s="201" t="s">
        <v>571</v>
      </c>
      <c r="W37" s="202" t="s">
        <v>571</v>
      </c>
      <c r="Z37" s="173"/>
      <c r="AA37" s="226" t="s">
        <v>336</v>
      </c>
      <c r="AB37" s="226" t="s">
        <v>573</v>
      </c>
      <c r="AC37" s="201" t="s">
        <v>571</v>
      </c>
      <c r="AD37" s="201" t="s">
        <v>571</v>
      </c>
      <c r="AE37" s="201" t="s">
        <v>571</v>
      </c>
      <c r="AF37" s="201" t="s">
        <v>571</v>
      </c>
      <c r="AG37" s="964" t="str">
        <f>'Energy NPV'!U90</f>
        <v>(PLN ha-1)</v>
      </c>
      <c r="AH37" s="201" t="s">
        <v>571</v>
      </c>
      <c r="AI37" s="201" t="s">
        <v>571</v>
      </c>
      <c r="AJ37" s="201" t="s">
        <v>571</v>
      </c>
      <c r="AK37" s="202" t="s">
        <v>571</v>
      </c>
      <c r="AL37" s="201" t="s">
        <v>571</v>
      </c>
      <c r="AM37" s="201" t="s">
        <v>571</v>
      </c>
      <c r="AN37" s="201" t="s">
        <v>571</v>
      </c>
      <c r="AO37" s="201" t="s">
        <v>571</v>
      </c>
      <c r="AP37" s="202" t="s">
        <v>571</v>
      </c>
      <c r="AQ37" s="201" t="s">
        <v>571</v>
      </c>
      <c r="AR37" s="201" t="s">
        <v>571</v>
      </c>
      <c r="AS37" s="201" t="s">
        <v>571</v>
      </c>
      <c r="AT37" s="201" t="s">
        <v>571</v>
      </c>
      <c r="AU37" s="202" t="s">
        <v>571</v>
      </c>
      <c r="AX37" s="173"/>
      <c r="AY37" s="226" t="s">
        <v>336</v>
      </c>
      <c r="AZ37" s="226" t="s">
        <v>573</v>
      </c>
      <c r="BA37" s="201" t="s">
        <v>571</v>
      </c>
      <c r="BB37" s="201" t="s">
        <v>571</v>
      </c>
      <c r="BC37" s="201" t="s">
        <v>571</v>
      </c>
      <c r="BD37" s="201" t="s">
        <v>571</v>
      </c>
      <c r="BE37" s="964" t="str">
        <f>'Energy NPV'!U90</f>
        <v>(PLN ha-1)</v>
      </c>
      <c r="BF37" s="201" t="s">
        <v>571</v>
      </c>
      <c r="BG37" s="201" t="s">
        <v>571</v>
      </c>
      <c r="BH37" s="201" t="s">
        <v>571</v>
      </c>
      <c r="BI37" s="202" t="s">
        <v>571</v>
      </c>
      <c r="BJ37" s="201" t="s">
        <v>571</v>
      </c>
      <c r="BK37" s="201" t="s">
        <v>571</v>
      </c>
      <c r="BL37" s="201" t="s">
        <v>571</v>
      </c>
      <c r="BM37" s="201" t="s">
        <v>571</v>
      </c>
      <c r="BN37" s="202" t="s">
        <v>571</v>
      </c>
      <c r="BO37" s="201" t="s">
        <v>571</v>
      </c>
      <c r="BP37" s="201" t="s">
        <v>571</v>
      </c>
      <c r="BQ37" s="201" t="s">
        <v>571</v>
      </c>
      <c r="BR37" s="201" t="s">
        <v>571</v>
      </c>
      <c r="BS37" s="202" t="s">
        <v>571</v>
      </c>
      <c r="BV37" s="173"/>
      <c r="BW37" s="226" t="s">
        <v>336</v>
      </c>
      <c r="BX37" s="226" t="s">
        <v>573</v>
      </c>
      <c r="BY37" s="201" t="s">
        <v>571</v>
      </c>
      <c r="BZ37" s="201" t="s">
        <v>571</v>
      </c>
      <c r="CA37" s="201" t="s">
        <v>571</v>
      </c>
      <c r="CB37" s="201" t="s">
        <v>571</v>
      </c>
      <c r="CC37" s="964" t="str">
        <f>'Energy NPV'!U90</f>
        <v>(PLN ha-1)</v>
      </c>
      <c r="CD37" s="201" t="s">
        <v>571</v>
      </c>
      <c r="CE37" s="201" t="s">
        <v>571</v>
      </c>
      <c r="CF37" s="201" t="s">
        <v>571</v>
      </c>
      <c r="CG37" s="202" t="s">
        <v>571</v>
      </c>
      <c r="CH37" s="201" t="s">
        <v>571</v>
      </c>
      <c r="CI37" s="201" t="s">
        <v>571</v>
      </c>
      <c r="CJ37" s="201" t="s">
        <v>571</v>
      </c>
      <c r="CK37" s="201" t="s">
        <v>571</v>
      </c>
      <c r="CL37" s="202" t="s">
        <v>571</v>
      </c>
      <c r="CM37" s="201" t="s">
        <v>571</v>
      </c>
      <c r="CN37" s="201" t="s">
        <v>571</v>
      </c>
      <c r="CO37" s="201" t="s">
        <v>571</v>
      </c>
      <c r="CP37" s="201" t="s">
        <v>571</v>
      </c>
      <c r="CQ37" s="202" t="s">
        <v>571</v>
      </c>
      <c r="CT37" s="173"/>
      <c r="CU37" s="226" t="s">
        <v>336</v>
      </c>
      <c r="CV37" s="226" t="s">
        <v>573</v>
      </c>
      <c r="CW37" s="201" t="s">
        <v>571</v>
      </c>
      <c r="CX37" s="201" t="s">
        <v>571</v>
      </c>
      <c r="CY37" s="201" t="s">
        <v>571</v>
      </c>
      <c r="CZ37" s="201" t="s">
        <v>571</v>
      </c>
      <c r="DA37" s="964" t="str">
        <f>'Energy NPV'!U90</f>
        <v>(PLN ha-1)</v>
      </c>
      <c r="DB37" s="201" t="s">
        <v>571</v>
      </c>
      <c r="DC37" s="201" t="s">
        <v>571</v>
      </c>
      <c r="DD37" s="201" t="s">
        <v>571</v>
      </c>
      <c r="DE37" s="202" t="s">
        <v>571</v>
      </c>
      <c r="DF37" s="201" t="s">
        <v>571</v>
      </c>
      <c r="DG37" s="201" t="s">
        <v>571</v>
      </c>
      <c r="DH37" s="201" t="s">
        <v>571</v>
      </c>
      <c r="DI37" s="201" t="s">
        <v>571</v>
      </c>
      <c r="DJ37" s="202" t="s">
        <v>571</v>
      </c>
      <c r="DK37" s="201" t="s">
        <v>571</v>
      </c>
      <c r="DL37" s="201" t="s">
        <v>571</v>
      </c>
      <c r="DM37" s="201" t="s">
        <v>571</v>
      </c>
      <c r="DN37" s="201" t="s">
        <v>571</v>
      </c>
      <c r="DO37" s="202" t="s">
        <v>571</v>
      </c>
    </row>
    <row r="38" spans="2:119" x14ac:dyDescent="0.3">
      <c r="B38" s="204">
        <v>1</v>
      </c>
      <c r="C38" s="197">
        <f>'Energy NPV'!$D91</f>
        <v>0</v>
      </c>
      <c r="D38" s="197">
        <f>'Energy margins'!$Z$12</f>
        <v>269.5</v>
      </c>
      <c r="E38" s="197">
        <f>C38*D38</f>
        <v>0</v>
      </c>
      <c r="F38" s="197">
        <f>'Margins summary'!$W$14</f>
        <v>471.64</v>
      </c>
      <c r="G38" s="197">
        <f>E38+F38</f>
        <v>471.64</v>
      </c>
      <c r="H38" s="197">
        <f>'Margins summary'!$V$20</f>
        <v>10887.875</v>
      </c>
      <c r="I38" s="913">
        <f>'Energy NPV'!U91</f>
        <v>0</v>
      </c>
      <c r="J38" s="197"/>
      <c r="K38" s="197">
        <f>(H38+I38+J38)*$E$34</f>
        <v>10887.875</v>
      </c>
      <c r="L38" s="197">
        <f t="shared" ref="L38:L53" si="71">E38-K38</f>
        <v>-10887.875</v>
      </c>
      <c r="M38" s="197">
        <f t="shared" ref="M38:M53" si="72">G38-K38</f>
        <v>-10416.235000000001</v>
      </c>
      <c r="N38" s="1014">
        <f>E38/(1+$B$4)^(B38-1)</f>
        <v>0</v>
      </c>
      <c r="O38" s="213">
        <f>F38/(1+$B$4)^(B38-1)</f>
        <v>471.64</v>
      </c>
      <c r="P38" s="213">
        <f>K38/(1+$B$4)^(B38-1)</f>
        <v>10887.875</v>
      </c>
      <c r="Q38" s="213">
        <f>L38/(1+$B$4)^(B38-1)</f>
        <v>-10887.875</v>
      </c>
      <c r="R38" s="924">
        <f>M38/(1+$B$4)^(B38-1)</f>
        <v>-10416.235000000001</v>
      </c>
      <c r="S38" s="196">
        <f>N38</f>
        <v>0</v>
      </c>
      <c r="T38" s="197">
        <f>O38</f>
        <v>471.64</v>
      </c>
      <c r="U38" s="197">
        <f>P38</f>
        <v>10887.875</v>
      </c>
      <c r="V38" s="197">
        <f>Q38</f>
        <v>-10887.875</v>
      </c>
      <c r="W38" s="199">
        <f>R38</f>
        <v>-10416.235000000001</v>
      </c>
      <c r="Z38" s="204">
        <v>1</v>
      </c>
      <c r="AA38" s="197">
        <f>'Energy NPV'!$D91</f>
        <v>0</v>
      </c>
      <c r="AB38" s="197">
        <f>'Energy margins'!$Z$12</f>
        <v>269.5</v>
      </c>
      <c r="AC38" s="197">
        <f>AA38*AB38</f>
        <v>0</v>
      </c>
      <c r="AD38" s="197">
        <f>'Margins summary'!$W$14</f>
        <v>471.64</v>
      </c>
      <c r="AE38" s="197">
        <f>AC38+AD38</f>
        <v>471.64</v>
      </c>
      <c r="AF38" s="197">
        <f>'Margins summary'!$V$20</f>
        <v>10887.875</v>
      </c>
      <c r="AG38" s="913">
        <f>'Energy NPV'!U91</f>
        <v>0</v>
      </c>
      <c r="AH38" s="197"/>
      <c r="AI38" s="197">
        <f t="shared" ref="AI38:AI53" si="73">(AF38+AG38+AH38)*$AB$34</f>
        <v>16331.8125</v>
      </c>
      <c r="AJ38" s="197">
        <f t="shared" ref="AJ38:AJ53" si="74">AC38-AI38</f>
        <v>-16331.8125</v>
      </c>
      <c r="AK38" s="197">
        <f t="shared" ref="AK38:AK53" si="75">AE38-AI38</f>
        <v>-15860.172500000001</v>
      </c>
      <c r="AL38" s="1014">
        <f>AC38/(1+$B$4)^(Z38-1)</f>
        <v>0</v>
      </c>
      <c r="AM38" s="213">
        <f>AD38/(1+$B$4)^(Z38-1)</f>
        <v>471.64</v>
      </c>
      <c r="AN38" s="213">
        <f>AI38/(1+$B$4)^(Z38-1)</f>
        <v>16331.8125</v>
      </c>
      <c r="AO38" s="213">
        <f>AJ38/(1+$B$4)^(Z38-1)</f>
        <v>-16331.8125</v>
      </c>
      <c r="AP38" s="924">
        <f>AK38/(1+$B$4)^(Z38-1)</f>
        <v>-15860.172500000001</v>
      </c>
      <c r="AQ38" s="196">
        <f>AL38</f>
        <v>0</v>
      </c>
      <c r="AR38" s="197">
        <f>AM38</f>
        <v>471.64</v>
      </c>
      <c r="AS38" s="197">
        <f>AN38</f>
        <v>16331.8125</v>
      </c>
      <c r="AT38" s="197">
        <f>AO38</f>
        <v>-16331.8125</v>
      </c>
      <c r="AU38" s="199">
        <f>AP38</f>
        <v>-15860.172500000001</v>
      </c>
      <c r="AX38" s="204">
        <v>1</v>
      </c>
      <c r="AY38" s="197">
        <f>'Energy NPV'!$D91</f>
        <v>0</v>
      </c>
      <c r="AZ38" s="197">
        <f>'Energy margins'!$Z$12</f>
        <v>269.5</v>
      </c>
      <c r="BA38" s="197">
        <f>AY38*AZ38</f>
        <v>0</v>
      </c>
      <c r="BB38" s="197">
        <f>'Margins summary'!$W$14</f>
        <v>471.64</v>
      </c>
      <c r="BC38" s="197">
        <f>BA38+BB38</f>
        <v>471.64</v>
      </c>
      <c r="BD38" s="197">
        <f>'Margins summary'!$V$20</f>
        <v>10887.875</v>
      </c>
      <c r="BE38" s="913">
        <f>'Energy NPV'!U91</f>
        <v>0</v>
      </c>
      <c r="BF38" s="197"/>
      <c r="BG38" s="197">
        <f t="shared" ref="BG38:BG53" si="76">(BD38+BE38+BF38)*$AZ$34</f>
        <v>5443.9375</v>
      </c>
      <c r="BH38" s="197">
        <f t="shared" ref="BH38:BH53" si="77">BA38-BG38</f>
        <v>-5443.9375</v>
      </c>
      <c r="BI38" s="197">
        <f t="shared" ref="BI38:BI53" si="78">BC38-BG38</f>
        <v>-4972.2974999999997</v>
      </c>
      <c r="BJ38" s="1014">
        <f>BA38/(1+$B$4)^(AX38-1)</f>
        <v>0</v>
      </c>
      <c r="BK38" s="213">
        <f>BB38/(1+$B$4)^(AX38-1)</f>
        <v>471.64</v>
      </c>
      <c r="BL38" s="213">
        <f>BG38/(1+$B$4)^(AX38-1)</f>
        <v>5443.9375</v>
      </c>
      <c r="BM38" s="213">
        <f>BH38/(1+$B$4)^(AX38-1)</f>
        <v>-5443.9375</v>
      </c>
      <c r="BN38" s="924">
        <f>BI38/(1+$B$4)^(AX38-1)</f>
        <v>-4972.2974999999997</v>
      </c>
      <c r="BO38" s="196">
        <f>BJ38</f>
        <v>0</v>
      </c>
      <c r="BP38" s="197">
        <f>BK38</f>
        <v>471.64</v>
      </c>
      <c r="BQ38" s="197">
        <f>BL38</f>
        <v>5443.9375</v>
      </c>
      <c r="BR38" s="197">
        <f>BM38</f>
        <v>-5443.9375</v>
      </c>
      <c r="BS38" s="199">
        <f>BN38</f>
        <v>-4972.2974999999997</v>
      </c>
      <c r="BV38" s="204">
        <v>1</v>
      </c>
      <c r="BW38" s="197">
        <f>'Energy NPV'!$D91</f>
        <v>0</v>
      </c>
      <c r="BX38" s="197">
        <f>'Energy margins'!$Z$12</f>
        <v>269.5</v>
      </c>
      <c r="BY38" s="197">
        <f>BW38*BX38</f>
        <v>0</v>
      </c>
      <c r="BZ38" s="197">
        <f>'Margins summary'!$W$14</f>
        <v>471.64</v>
      </c>
      <c r="CA38" s="197">
        <f>BY38+BZ38</f>
        <v>471.64</v>
      </c>
      <c r="CB38" s="197">
        <f>'Margins summary'!$V$20</f>
        <v>10887.875</v>
      </c>
      <c r="CC38" s="913">
        <f>'Energy NPV'!U91</f>
        <v>0</v>
      </c>
      <c r="CD38" s="197"/>
      <c r="CE38" s="197">
        <f t="shared" ref="CE38:CE53" si="79">(CB38+CC38+CD38)*$BX$34</f>
        <v>21775.75</v>
      </c>
      <c r="CF38" s="197">
        <f t="shared" ref="CF38:CF53" si="80">BY38-CE38</f>
        <v>-21775.75</v>
      </c>
      <c r="CG38" s="197">
        <f t="shared" ref="CG38:CG53" si="81">CA38-CE38</f>
        <v>-21304.11</v>
      </c>
      <c r="CH38" s="1014">
        <f>BY38/(1+$B$4)^(BV38-1)</f>
        <v>0</v>
      </c>
      <c r="CI38" s="213">
        <f>BZ38/(1+$B$4)^(BV38-1)</f>
        <v>471.64</v>
      </c>
      <c r="CJ38" s="213">
        <f>CE38/(1+$B$4)^(BV38-1)</f>
        <v>21775.75</v>
      </c>
      <c r="CK38" s="213">
        <f>CF38/(1+$B$4)^(BV38-1)</f>
        <v>-21775.75</v>
      </c>
      <c r="CL38" s="924">
        <f>CG38/(1+$B$4)^(BV38-1)</f>
        <v>-21304.11</v>
      </c>
      <c r="CM38" s="196">
        <f>CH38</f>
        <v>0</v>
      </c>
      <c r="CN38" s="197">
        <f>CI38</f>
        <v>471.64</v>
      </c>
      <c r="CO38" s="197">
        <f>CJ38</f>
        <v>21775.75</v>
      </c>
      <c r="CP38" s="197">
        <f>CK38</f>
        <v>-21775.75</v>
      </c>
      <c r="CQ38" s="199">
        <f>CL38</f>
        <v>-21304.11</v>
      </c>
      <c r="CT38" s="204">
        <v>1</v>
      </c>
      <c r="CU38" s="197">
        <f>'Energy NPV'!$D91</f>
        <v>0</v>
      </c>
      <c r="CV38" s="197">
        <f>'Energy margins'!$Z$12</f>
        <v>269.5</v>
      </c>
      <c r="CW38" s="197">
        <f>CU38*CV38</f>
        <v>0</v>
      </c>
      <c r="CX38" s="197">
        <f>'Margins summary'!$W$14</f>
        <v>471.64</v>
      </c>
      <c r="CY38" s="197">
        <f>CW38+CX38</f>
        <v>471.64</v>
      </c>
      <c r="CZ38" s="197">
        <f>'Margins summary'!$V$20</f>
        <v>10887.875</v>
      </c>
      <c r="DA38" s="913">
        <f>'Energy NPV'!U91</f>
        <v>0</v>
      </c>
      <c r="DB38" s="197"/>
      <c r="DC38" s="197">
        <f t="shared" ref="DC38:DC53" si="82">(CZ38+DA38+DB38)*$CV$34</f>
        <v>0</v>
      </c>
      <c r="DD38" s="197">
        <f t="shared" ref="DD38:DD53" si="83">CW38-DC38</f>
        <v>0</v>
      </c>
      <c r="DE38" s="197">
        <f t="shared" ref="DE38:DE53" si="84">CY38-DC38</f>
        <v>471.64</v>
      </c>
      <c r="DF38" s="1014">
        <f>CW38/(1+$B$4)^(CT38-1)</f>
        <v>0</v>
      </c>
      <c r="DG38" s="213">
        <f>CX38/(1+$B$4)^(CT38-1)</f>
        <v>471.64</v>
      </c>
      <c r="DH38" s="213">
        <f>DC38/(1+$B$4)^(CT38-1)</f>
        <v>0</v>
      </c>
      <c r="DI38" s="213">
        <f>DD38/(1+$B$4)^(CT38-1)</f>
        <v>0</v>
      </c>
      <c r="DJ38" s="924">
        <f>DE38/(1+$B$4)^(CT38-1)</f>
        <v>471.64</v>
      </c>
      <c r="DK38" s="196">
        <f>DF38</f>
        <v>0</v>
      </c>
      <c r="DL38" s="197">
        <f>DG38</f>
        <v>471.64</v>
      </c>
      <c r="DM38" s="197">
        <f>DH38</f>
        <v>0</v>
      </c>
      <c r="DN38" s="197">
        <f>DI38</f>
        <v>0</v>
      </c>
      <c r="DO38" s="199">
        <f>DJ38</f>
        <v>471.64</v>
      </c>
    </row>
    <row r="39" spans="2:119" x14ac:dyDescent="0.3">
      <c r="B39" s="204">
        <v>2</v>
      </c>
      <c r="C39" s="197">
        <f>'Energy NPV'!$D92</f>
        <v>9.9333333333333336</v>
      </c>
      <c r="D39" s="197">
        <f>'Energy margins'!$Z$12</f>
        <v>269.5</v>
      </c>
      <c r="E39" s="197">
        <f>C39*D39</f>
        <v>2677.0333333333333</v>
      </c>
      <c r="F39" s="197">
        <f>'Margins summary'!$W$14</f>
        <v>471.64</v>
      </c>
      <c r="G39" s="197">
        <f t="shared" ref="G39:G53" si="85">E39+F39</f>
        <v>3148.6733333333332</v>
      </c>
      <c r="H39" s="197"/>
      <c r="I39" s="913">
        <f>'Energy NPV'!U92</f>
        <v>2996.6</v>
      </c>
      <c r="J39" s="197"/>
      <c r="K39" s="197">
        <f t="shared" ref="K39:K53" si="86">(H39+I39+J39)*$E$34</f>
        <v>2996.6</v>
      </c>
      <c r="L39" s="197">
        <f t="shared" si="71"/>
        <v>-319.56666666666661</v>
      </c>
      <c r="M39" s="197">
        <f t="shared" si="72"/>
        <v>152.07333333333327</v>
      </c>
      <c r="N39" s="196">
        <f t="shared" ref="N39:N53" si="87">E39/(1+$B$4)^(B39-1)</f>
        <v>2574.0705128205127</v>
      </c>
      <c r="O39" s="197">
        <f t="shared" ref="O39:O53" si="88">F39/(1+$B$4)^(B39-1)</f>
        <v>453.49999999999994</v>
      </c>
      <c r="P39" s="197">
        <f t="shared" ref="P39:P53" si="89">K39/(1+$B$4)^(B39-1)</f>
        <v>2881.3461538461538</v>
      </c>
      <c r="Q39" s="197">
        <f t="shared" ref="Q39:Q53" si="90">L39/(1+$B$4)^(B39-1)</f>
        <v>-307.27564102564094</v>
      </c>
      <c r="R39" s="199">
        <f t="shared" ref="R39:R52" si="91">M39/(1+$B$4)^(B39-1)</f>
        <v>146.22435897435889</v>
      </c>
      <c r="S39" s="196">
        <f>S38+N39</f>
        <v>2574.0705128205127</v>
      </c>
      <c r="T39" s="197">
        <f t="shared" ref="T39:W53" si="92">T38+O39</f>
        <v>925.13999999999987</v>
      </c>
      <c r="U39" s="197">
        <f t="shared" si="92"/>
        <v>13769.221153846154</v>
      </c>
      <c r="V39" s="197">
        <f t="shared" si="92"/>
        <v>-11195.150641025641</v>
      </c>
      <c r="W39" s="199">
        <f t="shared" si="92"/>
        <v>-10270.010641025641</v>
      </c>
      <c r="Z39" s="204">
        <v>2</v>
      </c>
      <c r="AA39" s="197">
        <f>'Energy NPV'!$D92</f>
        <v>9.9333333333333336</v>
      </c>
      <c r="AB39" s="197">
        <f>'Energy margins'!$Z$12</f>
        <v>269.5</v>
      </c>
      <c r="AC39" s="197">
        <f>AA39*AB39</f>
        <v>2677.0333333333333</v>
      </c>
      <c r="AD39" s="197">
        <f>'Margins summary'!$W$14</f>
        <v>471.64</v>
      </c>
      <c r="AE39" s="197">
        <f t="shared" ref="AE39:AE53" si="93">AC39+AD39</f>
        <v>3148.6733333333332</v>
      </c>
      <c r="AF39" s="197"/>
      <c r="AG39" s="913">
        <f>'Energy NPV'!U92</f>
        <v>2996.6</v>
      </c>
      <c r="AH39" s="197"/>
      <c r="AI39" s="197">
        <f t="shared" si="73"/>
        <v>4494.8999999999996</v>
      </c>
      <c r="AJ39" s="197">
        <f t="shared" si="74"/>
        <v>-1817.8666666666663</v>
      </c>
      <c r="AK39" s="197">
        <f t="shared" si="75"/>
        <v>-1346.2266666666665</v>
      </c>
      <c r="AL39" s="196">
        <f t="shared" ref="AL39:AL53" si="94">AC39/(1+$B$4)^(Z39-1)</f>
        <v>2574.0705128205127</v>
      </c>
      <c r="AM39" s="197">
        <f t="shared" ref="AM39:AM53" si="95">AD39/(1+$B$4)^(Z39-1)</f>
        <v>453.49999999999994</v>
      </c>
      <c r="AN39" s="197">
        <f t="shared" ref="AN39:AN53" si="96">AI39/(1+$B$4)^(Z39-1)</f>
        <v>4322.0192307692305</v>
      </c>
      <c r="AO39" s="197">
        <f t="shared" ref="AO39:AO53" si="97">AJ39/(1+$B$4)^(Z39-1)</f>
        <v>-1747.9487179487176</v>
      </c>
      <c r="AP39" s="199">
        <f t="shared" ref="AP39:AP52" si="98">AK39/(1+$B$4)^(Z39-1)</f>
        <v>-1294.4487179487178</v>
      </c>
      <c r="AQ39" s="196">
        <f>AQ38+AL39</f>
        <v>2574.0705128205127</v>
      </c>
      <c r="AR39" s="197">
        <f t="shared" ref="AR39:AU53" si="99">AR38+AM39</f>
        <v>925.13999999999987</v>
      </c>
      <c r="AS39" s="197">
        <f t="shared" si="99"/>
        <v>20653.83173076923</v>
      </c>
      <c r="AT39" s="197">
        <f t="shared" si="99"/>
        <v>-18079.761217948719</v>
      </c>
      <c r="AU39" s="199">
        <f t="shared" si="99"/>
        <v>-17154.621217948719</v>
      </c>
      <c r="AX39" s="204">
        <v>2</v>
      </c>
      <c r="AY39" s="197">
        <f>'Energy NPV'!$D92</f>
        <v>9.9333333333333336</v>
      </c>
      <c r="AZ39" s="197">
        <f>'Energy margins'!$Z$12</f>
        <v>269.5</v>
      </c>
      <c r="BA39" s="197">
        <f>AY39*AZ39</f>
        <v>2677.0333333333333</v>
      </c>
      <c r="BB39" s="197">
        <f>'Margins summary'!$W$14</f>
        <v>471.64</v>
      </c>
      <c r="BC39" s="197">
        <f t="shared" ref="BC39:BC53" si="100">BA39+BB39</f>
        <v>3148.6733333333332</v>
      </c>
      <c r="BD39" s="197"/>
      <c r="BE39" s="913">
        <f>'Energy NPV'!U92</f>
        <v>2996.6</v>
      </c>
      <c r="BF39" s="197"/>
      <c r="BG39" s="197">
        <f t="shared" si="76"/>
        <v>1498.3</v>
      </c>
      <c r="BH39" s="197">
        <f t="shared" si="77"/>
        <v>1178.7333333333333</v>
      </c>
      <c r="BI39" s="197">
        <f t="shared" si="78"/>
        <v>1650.3733333333332</v>
      </c>
      <c r="BJ39" s="196">
        <f t="shared" ref="BJ39:BJ53" si="101">BA39/(1+$B$4)^(AX39-1)</f>
        <v>2574.0705128205127</v>
      </c>
      <c r="BK39" s="197">
        <f t="shared" ref="BK39:BK53" si="102">BB39/(1+$B$4)^(AX39-1)</f>
        <v>453.49999999999994</v>
      </c>
      <c r="BL39" s="197">
        <f t="shared" ref="BL39:BL53" si="103">BG39/(1+$B$4)^(AX39-1)</f>
        <v>1440.6730769230769</v>
      </c>
      <c r="BM39" s="197">
        <f t="shared" ref="BM39:BM53" si="104">BH39/(1+$B$4)^(AX39-1)</f>
        <v>1133.3974358974358</v>
      </c>
      <c r="BN39" s="199">
        <f t="shared" ref="BN39:BN52" si="105">BI39/(1+$B$4)^(AX39-1)</f>
        <v>1586.8974358974358</v>
      </c>
      <c r="BO39" s="196">
        <f>BO38+BJ39</f>
        <v>2574.0705128205127</v>
      </c>
      <c r="BP39" s="197">
        <f t="shared" ref="BP39:BP53" si="106">BP38+BK39</f>
        <v>925.13999999999987</v>
      </c>
      <c r="BQ39" s="197">
        <f t="shared" ref="BQ39:BQ53" si="107">BQ38+BL39</f>
        <v>6884.6105769230771</v>
      </c>
      <c r="BR39" s="197">
        <f t="shared" ref="BR39:BR53" si="108">BR38+BM39</f>
        <v>-4310.5400641025644</v>
      </c>
      <c r="BS39" s="199">
        <f t="shared" ref="BS39:BS53" si="109">BS38+BN39</f>
        <v>-3385.4000641025641</v>
      </c>
      <c r="BV39" s="204">
        <v>2</v>
      </c>
      <c r="BW39" s="197">
        <f>'Energy NPV'!$D92</f>
        <v>9.9333333333333336</v>
      </c>
      <c r="BX39" s="197">
        <f>'Energy margins'!$Z$12</f>
        <v>269.5</v>
      </c>
      <c r="BY39" s="197">
        <f>BW39*BX39</f>
        <v>2677.0333333333333</v>
      </c>
      <c r="BZ39" s="197">
        <f>'Margins summary'!$W$14</f>
        <v>471.64</v>
      </c>
      <c r="CA39" s="197">
        <f t="shared" ref="CA39:CA53" si="110">BY39+BZ39</f>
        <v>3148.6733333333332</v>
      </c>
      <c r="CB39" s="197"/>
      <c r="CC39" s="913">
        <f>'Energy NPV'!U92</f>
        <v>2996.6</v>
      </c>
      <c r="CD39" s="197"/>
      <c r="CE39" s="197">
        <f t="shared" si="79"/>
        <v>5993.2</v>
      </c>
      <c r="CF39" s="197">
        <f t="shared" si="80"/>
        <v>-3316.1666666666665</v>
      </c>
      <c r="CG39" s="197">
        <f t="shared" si="81"/>
        <v>-2844.5266666666666</v>
      </c>
      <c r="CH39" s="196">
        <f t="shared" ref="CH39:CH53" si="111">BY39/(1+$B$4)^(BV39-1)</f>
        <v>2574.0705128205127</v>
      </c>
      <c r="CI39" s="197">
        <f t="shared" ref="CI39:CI53" si="112">BZ39/(1+$B$4)^(BV39-1)</f>
        <v>453.49999999999994</v>
      </c>
      <c r="CJ39" s="197">
        <f t="shared" ref="CJ39:CJ53" si="113">CE39/(1+$B$4)^(BV39-1)</f>
        <v>5762.6923076923076</v>
      </c>
      <c r="CK39" s="197">
        <f t="shared" ref="CK39:CK53" si="114">CF39/(1+$B$4)^(BV39-1)</f>
        <v>-3188.6217948717945</v>
      </c>
      <c r="CL39" s="199">
        <f t="shared" ref="CL39:CL52" si="115">CG39/(1+$B$4)^(BV39-1)</f>
        <v>-2735.1217948717949</v>
      </c>
      <c r="CM39" s="196">
        <f>CM38+CH39</f>
        <v>2574.0705128205127</v>
      </c>
      <c r="CN39" s="197">
        <f t="shared" ref="CN39:CN53" si="116">CN38+CI39</f>
        <v>925.13999999999987</v>
      </c>
      <c r="CO39" s="197">
        <f t="shared" ref="CO39:CO53" si="117">CO38+CJ39</f>
        <v>27538.442307692309</v>
      </c>
      <c r="CP39" s="197">
        <f t="shared" ref="CP39:CP53" si="118">CP38+CK39</f>
        <v>-24964.371794871793</v>
      </c>
      <c r="CQ39" s="199">
        <f t="shared" ref="CQ39:CQ53" si="119">CQ38+CL39</f>
        <v>-24039.231794871797</v>
      </c>
      <c r="CT39" s="204">
        <v>2</v>
      </c>
      <c r="CU39" s="197">
        <f>'Energy NPV'!$D92</f>
        <v>9.9333333333333336</v>
      </c>
      <c r="CV39" s="197">
        <f>'Energy margins'!$Z$12</f>
        <v>269.5</v>
      </c>
      <c r="CW39" s="197">
        <f>CU39*CV39</f>
        <v>2677.0333333333333</v>
      </c>
      <c r="CX39" s="197">
        <f>'Margins summary'!$W$14</f>
        <v>471.64</v>
      </c>
      <c r="CY39" s="197">
        <f t="shared" ref="CY39:CY53" si="120">CW39+CX39</f>
        <v>3148.6733333333332</v>
      </c>
      <c r="CZ39" s="197"/>
      <c r="DA39" s="913">
        <f>'Energy NPV'!U92</f>
        <v>2996.6</v>
      </c>
      <c r="DB39" s="197"/>
      <c r="DC39" s="197">
        <f t="shared" si="82"/>
        <v>0</v>
      </c>
      <c r="DD39" s="197">
        <f t="shared" si="83"/>
        <v>2677.0333333333333</v>
      </c>
      <c r="DE39" s="197">
        <f t="shared" si="84"/>
        <v>3148.6733333333332</v>
      </c>
      <c r="DF39" s="196">
        <f t="shared" ref="DF39:DF53" si="121">CW39/(1+$B$4)^(CT39-1)</f>
        <v>2574.0705128205127</v>
      </c>
      <c r="DG39" s="197">
        <f t="shared" ref="DG39:DG53" si="122">CX39/(1+$B$4)^(CT39-1)</f>
        <v>453.49999999999994</v>
      </c>
      <c r="DH39" s="197">
        <f t="shared" ref="DH39:DH53" si="123">DC39/(1+$B$4)^(CT39-1)</f>
        <v>0</v>
      </c>
      <c r="DI39" s="197">
        <f t="shared" ref="DI39:DI53" si="124">DD39/(1+$B$4)^(CT39-1)</f>
        <v>2574.0705128205127</v>
      </c>
      <c r="DJ39" s="199">
        <f t="shared" ref="DJ39:DJ52" si="125">DE39/(1+$B$4)^(CT39-1)</f>
        <v>3027.5705128205127</v>
      </c>
      <c r="DK39" s="196">
        <f>DK38+DF39</f>
        <v>2574.0705128205127</v>
      </c>
      <c r="DL39" s="197">
        <f t="shared" ref="DL39:DL53" si="126">DL38+DG39</f>
        <v>925.13999999999987</v>
      </c>
      <c r="DM39" s="197">
        <f t="shared" ref="DM39:DM53" si="127">DM38+DH39</f>
        <v>0</v>
      </c>
      <c r="DN39" s="197">
        <f t="shared" ref="DN39:DN53" si="128">DN38+DI39</f>
        <v>2574.0705128205127</v>
      </c>
      <c r="DO39" s="199">
        <f t="shared" ref="DO39:DO53" si="129">DO38+DJ39</f>
        <v>3499.2105128205126</v>
      </c>
    </row>
    <row r="40" spans="2:119" x14ac:dyDescent="0.3">
      <c r="B40" s="204">
        <f t="shared" ref="B40:B53" si="130">B39+1</f>
        <v>3</v>
      </c>
      <c r="C40" s="197">
        <f>'Energy NPV'!$D93</f>
        <v>14.700000000000001</v>
      </c>
      <c r="D40" s="197">
        <f>'Energy margins'!$Z$12</f>
        <v>269.5</v>
      </c>
      <c r="E40" s="197">
        <f t="shared" ref="E40:E53" si="131">C40*D40</f>
        <v>3961.65</v>
      </c>
      <c r="F40" s="197">
        <f>'Margins summary'!$W$14</f>
        <v>471.64</v>
      </c>
      <c r="G40" s="197">
        <f t="shared" si="85"/>
        <v>4433.29</v>
      </c>
      <c r="H40" s="197"/>
      <c r="I40" s="913">
        <f>'Energy NPV'!U93</f>
        <v>2996.6</v>
      </c>
      <c r="J40" s="197"/>
      <c r="K40" s="197">
        <f t="shared" si="86"/>
        <v>2996.6</v>
      </c>
      <c r="L40" s="197">
        <f t="shared" si="71"/>
        <v>965.05000000000018</v>
      </c>
      <c r="M40" s="197">
        <f t="shared" si="72"/>
        <v>1436.69</v>
      </c>
      <c r="N40" s="196">
        <f t="shared" si="87"/>
        <v>3662.768121301775</v>
      </c>
      <c r="O40" s="197">
        <f t="shared" si="88"/>
        <v>436.05769230769226</v>
      </c>
      <c r="P40" s="197">
        <f t="shared" si="89"/>
        <v>2770.5251479289936</v>
      </c>
      <c r="Q40" s="197">
        <f t="shared" si="90"/>
        <v>892.24297337278119</v>
      </c>
      <c r="R40" s="199">
        <f t="shared" si="91"/>
        <v>1328.3006656804732</v>
      </c>
      <c r="S40" s="196">
        <f t="shared" ref="S40:S53" si="132">S39+N40</f>
        <v>6236.8386341222877</v>
      </c>
      <c r="T40" s="197">
        <f t="shared" si="92"/>
        <v>1361.1976923076923</v>
      </c>
      <c r="U40" s="197">
        <f t="shared" si="92"/>
        <v>16539.746301775147</v>
      </c>
      <c r="V40" s="197">
        <f t="shared" si="92"/>
        <v>-10302.90766765286</v>
      </c>
      <c r="W40" s="199">
        <f t="shared" si="92"/>
        <v>-8941.7099753451675</v>
      </c>
      <c r="Z40" s="204">
        <f t="shared" ref="Z40:Z53" si="133">Z39+1</f>
        <v>3</v>
      </c>
      <c r="AA40" s="197">
        <f>'Energy NPV'!$D93</f>
        <v>14.700000000000001</v>
      </c>
      <c r="AB40" s="197">
        <f>'Energy margins'!$Z$12</f>
        <v>269.5</v>
      </c>
      <c r="AC40" s="197">
        <f t="shared" ref="AC40:AC53" si="134">AA40*AB40</f>
        <v>3961.65</v>
      </c>
      <c r="AD40" s="197">
        <f>'Margins summary'!$W$14</f>
        <v>471.64</v>
      </c>
      <c r="AE40" s="197">
        <f t="shared" si="93"/>
        <v>4433.29</v>
      </c>
      <c r="AF40" s="197"/>
      <c r="AG40" s="913">
        <f>'Energy NPV'!U93</f>
        <v>2996.6</v>
      </c>
      <c r="AH40" s="197"/>
      <c r="AI40" s="197">
        <f t="shared" si="73"/>
        <v>4494.8999999999996</v>
      </c>
      <c r="AJ40" s="197">
        <f t="shared" si="74"/>
        <v>-533.24999999999955</v>
      </c>
      <c r="AK40" s="197">
        <f t="shared" si="75"/>
        <v>-61.609999999999673</v>
      </c>
      <c r="AL40" s="196">
        <f t="shared" si="94"/>
        <v>3662.768121301775</v>
      </c>
      <c r="AM40" s="197">
        <f t="shared" si="95"/>
        <v>436.05769230769226</v>
      </c>
      <c r="AN40" s="197">
        <f t="shared" si="96"/>
        <v>4155.78772189349</v>
      </c>
      <c r="AO40" s="197">
        <f t="shared" si="97"/>
        <v>-493.01960059171552</v>
      </c>
      <c r="AP40" s="199">
        <f t="shared" si="98"/>
        <v>-56.961908284023359</v>
      </c>
      <c r="AQ40" s="196">
        <f t="shared" ref="AQ40:AQ53" si="135">AQ39+AL40</f>
        <v>6236.8386341222877</v>
      </c>
      <c r="AR40" s="197">
        <f t="shared" si="99"/>
        <v>1361.1976923076923</v>
      </c>
      <c r="AS40" s="197">
        <f t="shared" si="99"/>
        <v>24809.619452662722</v>
      </c>
      <c r="AT40" s="197">
        <f t="shared" si="99"/>
        <v>-18572.780818540436</v>
      </c>
      <c r="AU40" s="199">
        <f t="shared" si="99"/>
        <v>-17211.583126232741</v>
      </c>
      <c r="AX40" s="204">
        <f t="shared" ref="AX40:AX53" si="136">AX39+1</f>
        <v>3</v>
      </c>
      <c r="AY40" s="197">
        <f>'Energy NPV'!$D93</f>
        <v>14.700000000000001</v>
      </c>
      <c r="AZ40" s="197">
        <f>'Energy margins'!$Z$12</f>
        <v>269.5</v>
      </c>
      <c r="BA40" s="197">
        <f t="shared" ref="BA40:BA53" si="137">AY40*AZ40</f>
        <v>3961.65</v>
      </c>
      <c r="BB40" s="197">
        <f>'Margins summary'!$W$14</f>
        <v>471.64</v>
      </c>
      <c r="BC40" s="197">
        <f t="shared" si="100"/>
        <v>4433.29</v>
      </c>
      <c r="BD40" s="197"/>
      <c r="BE40" s="913">
        <f>'Energy NPV'!U93</f>
        <v>2996.6</v>
      </c>
      <c r="BF40" s="197"/>
      <c r="BG40" s="197">
        <f t="shared" si="76"/>
        <v>1498.3</v>
      </c>
      <c r="BH40" s="197">
        <f t="shared" si="77"/>
        <v>2463.3500000000004</v>
      </c>
      <c r="BI40" s="197">
        <f t="shared" si="78"/>
        <v>2934.99</v>
      </c>
      <c r="BJ40" s="196">
        <f t="shared" si="101"/>
        <v>3662.768121301775</v>
      </c>
      <c r="BK40" s="197">
        <f t="shared" si="102"/>
        <v>436.05769230769226</v>
      </c>
      <c r="BL40" s="197">
        <f t="shared" si="103"/>
        <v>1385.2625739644968</v>
      </c>
      <c r="BM40" s="197">
        <f t="shared" si="104"/>
        <v>2277.5055473372781</v>
      </c>
      <c r="BN40" s="199">
        <f t="shared" si="105"/>
        <v>2713.5632396449701</v>
      </c>
      <c r="BO40" s="196">
        <f t="shared" ref="BO40:BO53" si="138">BO39+BJ40</f>
        <v>6236.8386341222877</v>
      </c>
      <c r="BP40" s="197">
        <f t="shared" si="106"/>
        <v>1361.1976923076923</v>
      </c>
      <c r="BQ40" s="197">
        <f t="shared" si="107"/>
        <v>8269.8731508875735</v>
      </c>
      <c r="BR40" s="197">
        <f t="shared" si="108"/>
        <v>-2033.0345167652863</v>
      </c>
      <c r="BS40" s="199">
        <f t="shared" si="109"/>
        <v>-671.83682445759405</v>
      </c>
      <c r="BV40" s="204">
        <f t="shared" ref="BV40:BV53" si="139">BV39+1</f>
        <v>3</v>
      </c>
      <c r="BW40" s="197">
        <f>'Energy NPV'!$D93</f>
        <v>14.700000000000001</v>
      </c>
      <c r="BX40" s="197">
        <f>'Energy margins'!$Z$12</f>
        <v>269.5</v>
      </c>
      <c r="BY40" s="197">
        <f t="shared" ref="BY40:BY53" si="140">BW40*BX40</f>
        <v>3961.65</v>
      </c>
      <c r="BZ40" s="197">
        <f>'Margins summary'!$W$14</f>
        <v>471.64</v>
      </c>
      <c r="CA40" s="197">
        <f t="shared" si="110"/>
        <v>4433.29</v>
      </c>
      <c r="CB40" s="197"/>
      <c r="CC40" s="913">
        <f>'Energy NPV'!U93</f>
        <v>2996.6</v>
      </c>
      <c r="CD40" s="197"/>
      <c r="CE40" s="197">
        <f t="shared" si="79"/>
        <v>5993.2</v>
      </c>
      <c r="CF40" s="197">
        <f t="shared" si="80"/>
        <v>-2031.5499999999997</v>
      </c>
      <c r="CG40" s="197">
        <f t="shared" si="81"/>
        <v>-1559.9099999999999</v>
      </c>
      <c r="CH40" s="196">
        <f t="shared" si="111"/>
        <v>3662.768121301775</v>
      </c>
      <c r="CI40" s="197">
        <f t="shared" si="112"/>
        <v>436.05769230769226</v>
      </c>
      <c r="CJ40" s="197">
        <f t="shared" si="113"/>
        <v>5541.0502958579873</v>
      </c>
      <c r="CK40" s="197">
        <f t="shared" si="114"/>
        <v>-1878.2821745562126</v>
      </c>
      <c r="CL40" s="199">
        <f t="shared" si="115"/>
        <v>-1442.2244822485204</v>
      </c>
      <c r="CM40" s="196">
        <f t="shared" ref="CM40:CM53" si="141">CM39+CH40</f>
        <v>6236.8386341222877</v>
      </c>
      <c r="CN40" s="197">
        <f t="shared" si="116"/>
        <v>1361.1976923076923</v>
      </c>
      <c r="CO40" s="197">
        <f t="shared" si="117"/>
        <v>33079.492603550294</v>
      </c>
      <c r="CP40" s="197">
        <f t="shared" si="118"/>
        <v>-26842.653969428007</v>
      </c>
      <c r="CQ40" s="199">
        <f t="shared" si="119"/>
        <v>-25481.456277120316</v>
      </c>
      <c r="CT40" s="204">
        <f t="shared" ref="CT40:CT53" si="142">CT39+1</f>
        <v>3</v>
      </c>
      <c r="CU40" s="197">
        <f>'Energy NPV'!$D93</f>
        <v>14.700000000000001</v>
      </c>
      <c r="CV40" s="197">
        <f>'Energy margins'!$Z$12</f>
        <v>269.5</v>
      </c>
      <c r="CW40" s="197">
        <f t="shared" ref="CW40:CW53" si="143">CU40*CV40</f>
        <v>3961.65</v>
      </c>
      <c r="CX40" s="197">
        <f>'Margins summary'!$W$14</f>
        <v>471.64</v>
      </c>
      <c r="CY40" s="197">
        <f t="shared" si="120"/>
        <v>4433.29</v>
      </c>
      <c r="CZ40" s="197"/>
      <c r="DA40" s="913">
        <f>'Energy NPV'!U93</f>
        <v>2996.6</v>
      </c>
      <c r="DB40" s="197"/>
      <c r="DC40" s="197">
        <f t="shared" si="82"/>
        <v>0</v>
      </c>
      <c r="DD40" s="197">
        <f t="shared" si="83"/>
        <v>3961.65</v>
      </c>
      <c r="DE40" s="197">
        <f t="shared" si="84"/>
        <v>4433.29</v>
      </c>
      <c r="DF40" s="196">
        <f t="shared" si="121"/>
        <v>3662.768121301775</v>
      </c>
      <c r="DG40" s="197">
        <f t="shared" si="122"/>
        <v>436.05769230769226</v>
      </c>
      <c r="DH40" s="197">
        <f t="shared" si="123"/>
        <v>0</v>
      </c>
      <c r="DI40" s="197">
        <f t="shared" si="124"/>
        <v>3662.768121301775</v>
      </c>
      <c r="DJ40" s="199">
        <f t="shared" si="125"/>
        <v>4098.8258136094673</v>
      </c>
      <c r="DK40" s="196">
        <f t="shared" ref="DK40:DK53" si="144">DK39+DF40</f>
        <v>6236.8386341222877</v>
      </c>
      <c r="DL40" s="197">
        <f t="shared" si="126"/>
        <v>1361.1976923076923</v>
      </c>
      <c r="DM40" s="197">
        <f t="shared" si="127"/>
        <v>0</v>
      </c>
      <c r="DN40" s="197">
        <f t="shared" si="128"/>
        <v>6236.8386341222877</v>
      </c>
      <c r="DO40" s="199">
        <f t="shared" si="129"/>
        <v>7598.0363264299795</v>
      </c>
    </row>
    <row r="41" spans="2:119" x14ac:dyDescent="0.3">
      <c r="B41" s="204">
        <f t="shared" si="130"/>
        <v>4</v>
      </c>
      <c r="C41" s="197">
        <f>'Energy NPV'!$D94</f>
        <v>15.733333333333334</v>
      </c>
      <c r="D41" s="197">
        <f>'Energy margins'!$Z$12</f>
        <v>269.5</v>
      </c>
      <c r="E41" s="197">
        <f t="shared" si="131"/>
        <v>4240.1333333333332</v>
      </c>
      <c r="F41" s="197">
        <f>'Margins summary'!$W$14</f>
        <v>471.64</v>
      </c>
      <c r="G41" s="197">
        <f t="shared" si="85"/>
        <v>4711.7733333333335</v>
      </c>
      <c r="H41" s="197"/>
      <c r="I41" s="913">
        <f>'Energy NPV'!U94</f>
        <v>2207.6999999999998</v>
      </c>
      <c r="J41" s="197"/>
      <c r="K41" s="197">
        <f t="shared" si="86"/>
        <v>2207.6999999999998</v>
      </c>
      <c r="L41" s="197">
        <f t="shared" si="71"/>
        <v>2032.4333333333334</v>
      </c>
      <c r="M41" s="197">
        <f t="shared" si="72"/>
        <v>2504.0733333333337</v>
      </c>
      <c r="N41" s="196">
        <f t="shared" si="87"/>
        <v>3769.4630936125013</v>
      </c>
      <c r="O41" s="197">
        <f t="shared" si="88"/>
        <v>419.28624260355025</v>
      </c>
      <c r="P41" s="197">
        <f t="shared" si="89"/>
        <v>1962.6372610377784</v>
      </c>
      <c r="Q41" s="197">
        <f t="shared" si="90"/>
        <v>1806.8258325747231</v>
      </c>
      <c r="R41" s="199">
        <f t="shared" si="91"/>
        <v>2226.1120751782737</v>
      </c>
      <c r="S41" s="196">
        <f t="shared" si="132"/>
        <v>10006.30172773479</v>
      </c>
      <c r="T41" s="197">
        <f t="shared" si="92"/>
        <v>1780.4839349112426</v>
      </c>
      <c r="U41" s="197">
        <f t="shared" si="92"/>
        <v>18502.383562812924</v>
      </c>
      <c r="V41" s="197">
        <f t="shared" si="92"/>
        <v>-8496.0818350781374</v>
      </c>
      <c r="W41" s="199">
        <f t="shared" si="92"/>
        <v>-6715.5979001668939</v>
      </c>
      <c r="Z41" s="204">
        <f t="shared" si="133"/>
        <v>4</v>
      </c>
      <c r="AA41" s="197">
        <f>'Energy NPV'!$D94</f>
        <v>15.733333333333334</v>
      </c>
      <c r="AB41" s="197">
        <f>'Energy margins'!$Z$12</f>
        <v>269.5</v>
      </c>
      <c r="AC41" s="197">
        <f t="shared" si="134"/>
        <v>4240.1333333333332</v>
      </c>
      <c r="AD41" s="197">
        <f>'Margins summary'!$W$14</f>
        <v>471.64</v>
      </c>
      <c r="AE41" s="197">
        <f t="shared" si="93"/>
        <v>4711.7733333333335</v>
      </c>
      <c r="AF41" s="197"/>
      <c r="AG41" s="913">
        <f>'Energy NPV'!U94</f>
        <v>2207.6999999999998</v>
      </c>
      <c r="AH41" s="197"/>
      <c r="AI41" s="197">
        <f t="shared" si="73"/>
        <v>3311.5499999999997</v>
      </c>
      <c r="AJ41" s="197">
        <f t="shared" si="74"/>
        <v>928.58333333333348</v>
      </c>
      <c r="AK41" s="197">
        <f t="shared" si="75"/>
        <v>1400.2233333333338</v>
      </c>
      <c r="AL41" s="196">
        <f t="shared" si="94"/>
        <v>3769.4630936125013</v>
      </c>
      <c r="AM41" s="197">
        <f t="shared" si="95"/>
        <v>419.28624260355025</v>
      </c>
      <c r="AN41" s="197">
        <f t="shared" si="96"/>
        <v>2943.9558915566677</v>
      </c>
      <c r="AO41" s="197">
        <f t="shared" si="97"/>
        <v>825.50720205583377</v>
      </c>
      <c r="AP41" s="199">
        <f t="shared" si="98"/>
        <v>1244.7934446593842</v>
      </c>
      <c r="AQ41" s="196">
        <f t="shared" si="135"/>
        <v>10006.30172773479</v>
      </c>
      <c r="AR41" s="197">
        <f t="shared" si="99"/>
        <v>1780.4839349112426</v>
      </c>
      <c r="AS41" s="197">
        <f t="shared" si="99"/>
        <v>27753.575344219389</v>
      </c>
      <c r="AT41" s="197">
        <f t="shared" si="99"/>
        <v>-17747.273616484603</v>
      </c>
      <c r="AU41" s="199">
        <f t="shared" si="99"/>
        <v>-15966.789681573357</v>
      </c>
      <c r="AX41" s="204">
        <f t="shared" si="136"/>
        <v>4</v>
      </c>
      <c r="AY41" s="197">
        <f>'Energy NPV'!$D94</f>
        <v>15.733333333333334</v>
      </c>
      <c r="AZ41" s="197">
        <f>'Energy margins'!$Z$12</f>
        <v>269.5</v>
      </c>
      <c r="BA41" s="197">
        <f t="shared" si="137"/>
        <v>4240.1333333333332</v>
      </c>
      <c r="BB41" s="197">
        <f>'Margins summary'!$W$14</f>
        <v>471.64</v>
      </c>
      <c r="BC41" s="197">
        <f t="shared" si="100"/>
        <v>4711.7733333333335</v>
      </c>
      <c r="BD41" s="197"/>
      <c r="BE41" s="913">
        <f>'Energy NPV'!U94</f>
        <v>2207.6999999999998</v>
      </c>
      <c r="BF41" s="197"/>
      <c r="BG41" s="197">
        <f t="shared" si="76"/>
        <v>1103.8499999999999</v>
      </c>
      <c r="BH41" s="197">
        <f t="shared" si="77"/>
        <v>3136.2833333333333</v>
      </c>
      <c r="BI41" s="197">
        <f t="shared" si="78"/>
        <v>3607.9233333333336</v>
      </c>
      <c r="BJ41" s="196">
        <f t="shared" si="101"/>
        <v>3769.4630936125013</v>
      </c>
      <c r="BK41" s="197">
        <f t="shared" si="102"/>
        <v>419.28624260355025</v>
      </c>
      <c r="BL41" s="197">
        <f t="shared" si="103"/>
        <v>981.31863051888922</v>
      </c>
      <c r="BM41" s="197">
        <f t="shared" si="104"/>
        <v>2788.1444630936121</v>
      </c>
      <c r="BN41" s="199">
        <f t="shared" si="105"/>
        <v>3207.4307056971629</v>
      </c>
      <c r="BO41" s="196">
        <f t="shared" si="138"/>
        <v>10006.30172773479</v>
      </c>
      <c r="BP41" s="197">
        <f t="shared" si="106"/>
        <v>1780.4839349112426</v>
      </c>
      <c r="BQ41" s="197">
        <f t="shared" si="107"/>
        <v>9251.1917814064618</v>
      </c>
      <c r="BR41" s="197">
        <f t="shared" si="108"/>
        <v>755.1099463283258</v>
      </c>
      <c r="BS41" s="199">
        <f t="shared" si="109"/>
        <v>2535.5938812395689</v>
      </c>
      <c r="BV41" s="204">
        <f t="shared" si="139"/>
        <v>4</v>
      </c>
      <c r="BW41" s="197">
        <f>'Energy NPV'!$D94</f>
        <v>15.733333333333334</v>
      </c>
      <c r="BX41" s="197">
        <f>'Energy margins'!$Z$12</f>
        <v>269.5</v>
      </c>
      <c r="BY41" s="197">
        <f t="shared" si="140"/>
        <v>4240.1333333333332</v>
      </c>
      <c r="BZ41" s="197">
        <f>'Margins summary'!$W$14</f>
        <v>471.64</v>
      </c>
      <c r="CA41" s="197">
        <f t="shared" si="110"/>
        <v>4711.7733333333335</v>
      </c>
      <c r="CB41" s="197"/>
      <c r="CC41" s="913">
        <f>'Energy NPV'!U94</f>
        <v>2207.6999999999998</v>
      </c>
      <c r="CD41" s="197"/>
      <c r="CE41" s="197">
        <f t="shared" si="79"/>
        <v>4415.3999999999996</v>
      </c>
      <c r="CF41" s="197">
        <f t="shared" si="80"/>
        <v>-175.26666666666642</v>
      </c>
      <c r="CG41" s="197">
        <f t="shared" si="81"/>
        <v>296.3733333333339</v>
      </c>
      <c r="CH41" s="196">
        <f t="shared" si="111"/>
        <v>3769.4630936125013</v>
      </c>
      <c r="CI41" s="197">
        <f t="shared" si="112"/>
        <v>419.28624260355025</v>
      </c>
      <c r="CJ41" s="197">
        <f t="shared" si="113"/>
        <v>3925.2745220755569</v>
      </c>
      <c r="CK41" s="197">
        <f t="shared" si="114"/>
        <v>-155.81142846305545</v>
      </c>
      <c r="CL41" s="199">
        <f t="shared" si="115"/>
        <v>263.47481414049508</v>
      </c>
      <c r="CM41" s="196">
        <f t="shared" si="141"/>
        <v>10006.30172773479</v>
      </c>
      <c r="CN41" s="197">
        <f t="shared" si="116"/>
        <v>1780.4839349112426</v>
      </c>
      <c r="CO41" s="197">
        <f t="shared" si="117"/>
        <v>37004.767125625847</v>
      </c>
      <c r="CP41" s="197">
        <f t="shared" si="118"/>
        <v>-26998.465397891061</v>
      </c>
      <c r="CQ41" s="199">
        <f t="shared" si="119"/>
        <v>-25217.98146297982</v>
      </c>
      <c r="CT41" s="204">
        <f t="shared" si="142"/>
        <v>4</v>
      </c>
      <c r="CU41" s="197">
        <f>'Energy NPV'!$D94</f>
        <v>15.733333333333334</v>
      </c>
      <c r="CV41" s="197">
        <f>'Energy margins'!$Z$12</f>
        <v>269.5</v>
      </c>
      <c r="CW41" s="197">
        <f t="shared" si="143"/>
        <v>4240.1333333333332</v>
      </c>
      <c r="CX41" s="197">
        <f>'Margins summary'!$W$14</f>
        <v>471.64</v>
      </c>
      <c r="CY41" s="197">
        <f t="shared" si="120"/>
        <v>4711.7733333333335</v>
      </c>
      <c r="CZ41" s="197"/>
      <c r="DA41" s="913">
        <f>'Energy NPV'!U94</f>
        <v>2207.6999999999998</v>
      </c>
      <c r="DB41" s="197"/>
      <c r="DC41" s="197">
        <f t="shared" si="82"/>
        <v>0</v>
      </c>
      <c r="DD41" s="197">
        <f t="shared" si="83"/>
        <v>4240.1333333333332</v>
      </c>
      <c r="DE41" s="197">
        <f t="shared" si="84"/>
        <v>4711.7733333333335</v>
      </c>
      <c r="DF41" s="196">
        <f t="shared" si="121"/>
        <v>3769.4630936125013</v>
      </c>
      <c r="DG41" s="197">
        <f t="shared" si="122"/>
        <v>419.28624260355025</v>
      </c>
      <c r="DH41" s="197">
        <f t="shared" si="123"/>
        <v>0</v>
      </c>
      <c r="DI41" s="197">
        <f t="shared" si="124"/>
        <v>3769.4630936125013</v>
      </c>
      <c r="DJ41" s="199">
        <f t="shared" si="125"/>
        <v>4188.7493362160521</v>
      </c>
      <c r="DK41" s="196">
        <f t="shared" si="144"/>
        <v>10006.30172773479</v>
      </c>
      <c r="DL41" s="197">
        <f t="shared" si="126"/>
        <v>1780.4839349112426</v>
      </c>
      <c r="DM41" s="197">
        <f t="shared" si="127"/>
        <v>0</v>
      </c>
      <c r="DN41" s="197">
        <f t="shared" si="128"/>
        <v>10006.30172773479</v>
      </c>
      <c r="DO41" s="199">
        <f t="shared" si="129"/>
        <v>11786.785662646031</v>
      </c>
    </row>
    <row r="42" spans="2:119" x14ac:dyDescent="0.3">
      <c r="B42" s="204">
        <f t="shared" si="130"/>
        <v>5</v>
      </c>
      <c r="C42" s="197">
        <f>'Energy NPV'!$D95</f>
        <v>16.3</v>
      </c>
      <c r="D42" s="197">
        <f>'Energy margins'!$Z$12</f>
        <v>269.5</v>
      </c>
      <c r="E42" s="197">
        <f t="shared" si="131"/>
        <v>4392.8500000000004</v>
      </c>
      <c r="F42" s="197">
        <f>'Margins summary'!$W$14</f>
        <v>471.64</v>
      </c>
      <c r="G42" s="197">
        <f t="shared" si="85"/>
        <v>4864.4900000000007</v>
      </c>
      <c r="H42" s="197"/>
      <c r="I42" s="913">
        <f>'Energy NPV'!U95</f>
        <v>2207.6999999999998</v>
      </c>
      <c r="J42" s="197"/>
      <c r="K42" s="197">
        <f t="shared" si="86"/>
        <v>2207.6999999999998</v>
      </c>
      <c r="L42" s="197">
        <f t="shared" si="71"/>
        <v>2185.1500000000005</v>
      </c>
      <c r="M42" s="197">
        <f t="shared" si="72"/>
        <v>2656.7900000000009</v>
      </c>
      <c r="N42" s="196">
        <f t="shared" si="87"/>
        <v>3755.0265905649308</v>
      </c>
      <c r="O42" s="197">
        <f t="shared" si="88"/>
        <v>403.15984865725983</v>
      </c>
      <c r="P42" s="197">
        <f t="shared" si="89"/>
        <v>1887.1512125363251</v>
      </c>
      <c r="Q42" s="197">
        <f t="shared" si="90"/>
        <v>1867.8753780286056</v>
      </c>
      <c r="R42" s="199">
        <f t="shared" si="91"/>
        <v>2271.0352266858658</v>
      </c>
      <c r="S42" s="196">
        <f t="shared" si="132"/>
        <v>13761.32831829972</v>
      </c>
      <c r="T42" s="197">
        <f t="shared" si="92"/>
        <v>2183.6437835685024</v>
      </c>
      <c r="U42" s="197">
        <f t="shared" si="92"/>
        <v>20389.53477534925</v>
      </c>
      <c r="V42" s="197">
        <f t="shared" si="92"/>
        <v>-6628.2064570495313</v>
      </c>
      <c r="W42" s="199">
        <f t="shared" si="92"/>
        <v>-4444.5626734810285</v>
      </c>
      <c r="Z42" s="204">
        <f t="shared" si="133"/>
        <v>5</v>
      </c>
      <c r="AA42" s="197">
        <f>'Energy NPV'!$D95</f>
        <v>16.3</v>
      </c>
      <c r="AB42" s="197">
        <f>'Energy margins'!$Z$12</f>
        <v>269.5</v>
      </c>
      <c r="AC42" s="197">
        <f t="shared" si="134"/>
        <v>4392.8500000000004</v>
      </c>
      <c r="AD42" s="197">
        <f>'Margins summary'!$W$14</f>
        <v>471.64</v>
      </c>
      <c r="AE42" s="197">
        <f t="shared" si="93"/>
        <v>4864.4900000000007</v>
      </c>
      <c r="AF42" s="197"/>
      <c r="AG42" s="913">
        <f>'Energy NPV'!U95</f>
        <v>2207.6999999999998</v>
      </c>
      <c r="AH42" s="197"/>
      <c r="AI42" s="197">
        <f t="shared" si="73"/>
        <v>3311.5499999999997</v>
      </c>
      <c r="AJ42" s="197">
        <f t="shared" si="74"/>
        <v>1081.3000000000006</v>
      </c>
      <c r="AK42" s="197">
        <f t="shared" si="75"/>
        <v>1552.940000000001</v>
      </c>
      <c r="AL42" s="196">
        <f t="shared" si="94"/>
        <v>3755.0265905649308</v>
      </c>
      <c r="AM42" s="197">
        <f t="shared" si="95"/>
        <v>403.15984865725983</v>
      </c>
      <c r="AN42" s="197">
        <f t="shared" si="96"/>
        <v>2830.7268188044877</v>
      </c>
      <c r="AO42" s="197">
        <f t="shared" si="97"/>
        <v>924.29977176044292</v>
      </c>
      <c r="AP42" s="199">
        <f t="shared" si="98"/>
        <v>1327.459620417703</v>
      </c>
      <c r="AQ42" s="196">
        <f t="shared" si="135"/>
        <v>13761.32831829972</v>
      </c>
      <c r="AR42" s="197">
        <f t="shared" si="99"/>
        <v>2183.6437835685024</v>
      </c>
      <c r="AS42" s="197">
        <f t="shared" si="99"/>
        <v>30584.302163023876</v>
      </c>
      <c r="AT42" s="197">
        <f t="shared" si="99"/>
        <v>-16822.973844724162</v>
      </c>
      <c r="AU42" s="199">
        <f t="shared" si="99"/>
        <v>-14639.330061155653</v>
      </c>
      <c r="AX42" s="204">
        <f t="shared" si="136"/>
        <v>5</v>
      </c>
      <c r="AY42" s="197">
        <f>'Energy NPV'!$D95</f>
        <v>16.3</v>
      </c>
      <c r="AZ42" s="197">
        <f>'Energy margins'!$Z$12</f>
        <v>269.5</v>
      </c>
      <c r="BA42" s="197">
        <f t="shared" si="137"/>
        <v>4392.8500000000004</v>
      </c>
      <c r="BB42" s="197">
        <f>'Margins summary'!$W$14</f>
        <v>471.64</v>
      </c>
      <c r="BC42" s="197">
        <f t="shared" si="100"/>
        <v>4864.4900000000007</v>
      </c>
      <c r="BD42" s="197"/>
      <c r="BE42" s="913">
        <f>'Energy NPV'!U95</f>
        <v>2207.6999999999998</v>
      </c>
      <c r="BF42" s="197"/>
      <c r="BG42" s="197">
        <f t="shared" si="76"/>
        <v>1103.8499999999999</v>
      </c>
      <c r="BH42" s="197">
        <f t="shared" si="77"/>
        <v>3289.0000000000005</v>
      </c>
      <c r="BI42" s="197">
        <f t="shared" si="78"/>
        <v>3760.6400000000008</v>
      </c>
      <c r="BJ42" s="196">
        <f t="shared" si="101"/>
        <v>3755.0265905649308</v>
      </c>
      <c r="BK42" s="197">
        <f t="shared" si="102"/>
        <v>403.15984865725983</v>
      </c>
      <c r="BL42" s="197">
        <f t="shared" si="103"/>
        <v>943.57560626816257</v>
      </c>
      <c r="BM42" s="197">
        <f t="shared" si="104"/>
        <v>2811.4509842967682</v>
      </c>
      <c r="BN42" s="199">
        <f t="shared" si="105"/>
        <v>3214.6108329540284</v>
      </c>
      <c r="BO42" s="196">
        <f t="shared" si="138"/>
        <v>13761.32831829972</v>
      </c>
      <c r="BP42" s="197">
        <f t="shared" si="106"/>
        <v>2183.6437835685024</v>
      </c>
      <c r="BQ42" s="197">
        <f t="shared" si="107"/>
        <v>10194.767387674625</v>
      </c>
      <c r="BR42" s="197">
        <f t="shared" si="108"/>
        <v>3566.560930625094</v>
      </c>
      <c r="BS42" s="199">
        <f t="shared" si="109"/>
        <v>5750.2047141935973</v>
      </c>
      <c r="BV42" s="204">
        <f t="shared" si="139"/>
        <v>5</v>
      </c>
      <c r="BW42" s="197">
        <f>'Energy NPV'!$D95</f>
        <v>16.3</v>
      </c>
      <c r="BX42" s="197">
        <f>'Energy margins'!$Z$12</f>
        <v>269.5</v>
      </c>
      <c r="BY42" s="197">
        <f t="shared" si="140"/>
        <v>4392.8500000000004</v>
      </c>
      <c r="BZ42" s="197">
        <f>'Margins summary'!$W$14</f>
        <v>471.64</v>
      </c>
      <c r="CA42" s="197">
        <f t="shared" si="110"/>
        <v>4864.4900000000007</v>
      </c>
      <c r="CB42" s="197"/>
      <c r="CC42" s="913">
        <f>'Energy NPV'!U95</f>
        <v>2207.6999999999998</v>
      </c>
      <c r="CD42" s="197"/>
      <c r="CE42" s="197">
        <f t="shared" si="79"/>
        <v>4415.3999999999996</v>
      </c>
      <c r="CF42" s="197">
        <f t="shared" si="80"/>
        <v>-22.549999999999272</v>
      </c>
      <c r="CG42" s="197">
        <f t="shared" si="81"/>
        <v>449.09000000000106</v>
      </c>
      <c r="CH42" s="196">
        <f t="shared" si="111"/>
        <v>3755.0265905649308</v>
      </c>
      <c r="CI42" s="197">
        <f t="shared" si="112"/>
        <v>403.15984865725983</v>
      </c>
      <c r="CJ42" s="197">
        <f t="shared" si="113"/>
        <v>3774.3024250726503</v>
      </c>
      <c r="CK42" s="197">
        <f t="shared" si="114"/>
        <v>-19.275834507719694</v>
      </c>
      <c r="CL42" s="199">
        <f t="shared" si="115"/>
        <v>383.88401414954041</v>
      </c>
      <c r="CM42" s="196">
        <f t="shared" si="141"/>
        <v>13761.32831829972</v>
      </c>
      <c r="CN42" s="197">
        <f t="shared" si="116"/>
        <v>2183.6437835685024</v>
      </c>
      <c r="CO42" s="197">
        <f t="shared" si="117"/>
        <v>40779.069550698499</v>
      </c>
      <c r="CP42" s="197">
        <f t="shared" si="118"/>
        <v>-27017.741232398781</v>
      </c>
      <c r="CQ42" s="199">
        <f t="shared" si="119"/>
        <v>-24834.097448830278</v>
      </c>
      <c r="CT42" s="204">
        <f t="shared" si="142"/>
        <v>5</v>
      </c>
      <c r="CU42" s="197">
        <f>'Energy NPV'!$D95</f>
        <v>16.3</v>
      </c>
      <c r="CV42" s="197">
        <f>'Energy margins'!$Z$12</f>
        <v>269.5</v>
      </c>
      <c r="CW42" s="197">
        <f t="shared" si="143"/>
        <v>4392.8500000000004</v>
      </c>
      <c r="CX42" s="197">
        <f>'Margins summary'!$W$14</f>
        <v>471.64</v>
      </c>
      <c r="CY42" s="197">
        <f t="shared" si="120"/>
        <v>4864.4900000000007</v>
      </c>
      <c r="CZ42" s="197"/>
      <c r="DA42" s="913">
        <f>'Energy NPV'!U95</f>
        <v>2207.6999999999998</v>
      </c>
      <c r="DB42" s="197"/>
      <c r="DC42" s="197">
        <f t="shared" si="82"/>
        <v>0</v>
      </c>
      <c r="DD42" s="197">
        <f t="shared" si="83"/>
        <v>4392.8500000000004</v>
      </c>
      <c r="DE42" s="197">
        <f t="shared" si="84"/>
        <v>4864.4900000000007</v>
      </c>
      <c r="DF42" s="196">
        <f t="shared" si="121"/>
        <v>3755.0265905649308</v>
      </c>
      <c r="DG42" s="197">
        <f t="shared" si="122"/>
        <v>403.15984865725983</v>
      </c>
      <c r="DH42" s="197">
        <f t="shared" si="123"/>
        <v>0</v>
      </c>
      <c r="DI42" s="197">
        <f t="shared" si="124"/>
        <v>3755.0265905649308</v>
      </c>
      <c r="DJ42" s="199">
        <f t="shared" si="125"/>
        <v>4158.1864392221905</v>
      </c>
      <c r="DK42" s="196">
        <f t="shared" si="144"/>
        <v>13761.32831829972</v>
      </c>
      <c r="DL42" s="197">
        <f t="shared" si="126"/>
        <v>2183.6437835685024</v>
      </c>
      <c r="DM42" s="197">
        <f t="shared" si="127"/>
        <v>0</v>
      </c>
      <c r="DN42" s="197">
        <f t="shared" si="128"/>
        <v>13761.32831829972</v>
      </c>
      <c r="DO42" s="199">
        <f t="shared" si="129"/>
        <v>15944.972101868221</v>
      </c>
    </row>
    <row r="43" spans="2:119" x14ac:dyDescent="0.3">
      <c r="B43" s="204">
        <f t="shared" si="130"/>
        <v>6</v>
      </c>
      <c r="C43" s="197">
        <f>'Energy NPV'!$D96</f>
        <v>16.3</v>
      </c>
      <c r="D43" s="197">
        <f>'Energy margins'!$Z$12</f>
        <v>269.5</v>
      </c>
      <c r="E43" s="197">
        <f t="shared" si="131"/>
        <v>4392.8500000000004</v>
      </c>
      <c r="F43" s="197">
        <f>'Margins summary'!$W$14</f>
        <v>471.64</v>
      </c>
      <c r="G43" s="197">
        <f t="shared" si="85"/>
        <v>4864.4900000000007</v>
      </c>
      <c r="H43" s="197"/>
      <c r="I43" s="913">
        <f>'Energy NPV'!U96</f>
        <v>2207.6999999999998</v>
      </c>
      <c r="J43" s="197"/>
      <c r="K43" s="197">
        <f t="shared" si="86"/>
        <v>2207.6999999999998</v>
      </c>
      <c r="L43" s="197">
        <f t="shared" si="71"/>
        <v>2185.1500000000005</v>
      </c>
      <c r="M43" s="197">
        <f t="shared" si="72"/>
        <v>2656.7900000000009</v>
      </c>
      <c r="N43" s="196">
        <f t="shared" si="87"/>
        <v>3610.6024909278176</v>
      </c>
      <c r="O43" s="197">
        <f t="shared" si="88"/>
        <v>387.65370063198054</v>
      </c>
      <c r="P43" s="197">
        <f t="shared" si="89"/>
        <v>1814.5684735926202</v>
      </c>
      <c r="Q43" s="197">
        <f t="shared" si="90"/>
        <v>1796.0340173351974</v>
      </c>
      <c r="R43" s="199">
        <f t="shared" si="91"/>
        <v>2183.6877179671783</v>
      </c>
      <c r="S43" s="196">
        <f t="shared" si="132"/>
        <v>17371.930809227539</v>
      </c>
      <c r="T43" s="197">
        <f t="shared" si="92"/>
        <v>2571.2974842004828</v>
      </c>
      <c r="U43" s="197">
        <f t="shared" si="92"/>
        <v>22204.103248941869</v>
      </c>
      <c r="V43" s="197">
        <f t="shared" si="92"/>
        <v>-4832.1724397143334</v>
      </c>
      <c r="W43" s="199">
        <f t="shared" si="92"/>
        <v>-2260.8749555138502</v>
      </c>
      <c r="Z43" s="204">
        <f t="shared" si="133"/>
        <v>6</v>
      </c>
      <c r="AA43" s="197">
        <f>'Energy NPV'!$D96</f>
        <v>16.3</v>
      </c>
      <c r="AB43" s="197">
        <f>'Energy margins'!$Z$12</f>
        <v>269.5</v>
      </c>
      <c r="AC43" s="197">
        <f t="shared" si="134"/>
        <v>4392.8500000000004</v>
      </c>
      <c r="AD43" s="197">
        <f>'Margins summary'!$W$14</f>
        <v>471.64</v>
      </c>
      <c r="AE43" s="197">
        <f t="shared" si="93"/>
        <v>4864.4900000000007</v>
      </c>
      <c r="AF43" s="197"/>
      <c r="AG43" s="913">
        <f>'Energy NPV'!U96</f>
        <v>2207.6999999999998</v>
      </c>
      <c r="AH43" s="197"/>
      <c r="AI43" s="197">
        <f t="shared" si="73"/>
        <v>3311.5499999999997</v>
      </c>
      <c r="AJ43" s="197">
        <f t="shared" si="74"/>
        <v>1081.3000000000006</v>
      </c>
      <c r="AK43" s="197">
        <f t="shared" si="75"/>
        <v>1552.940000000001</v>
      </c>
      <c r="AL43" s="196">
        <f t="shared" si="94"/>
        <v>3610.6024909278176</v>
      </c>
      <c r="AM43" s="197">
        <f t="shared" si="95"/>
        <v>387.65370063198054</v>
      </c>
      <c r="AN43" s="197">
        <f t="shared" si="96"/>
        <v>2721.8527103889305</v>
      </c>
      <c r="AO43" s="197">
        <f t="shared" si="97"/>
        <v>888.74978053888731</v>
      </c>
      <c r="AP43" s="199">
        <f t="shared" si="98"/>
        <v>1276.4034811708682</v>
      </c>
      <c r="AQ43" s="196">
        <f t="shared" si="135"/>
        <v>17371.930809227539</v>
      </c>
      <c r="AR43" s="197">
        <f t="shared" si="99"/>
        <v>2571.2974842004828</v>
      </c>
      <c r="AS43" s="197">
        <f t="shared" si="99"/>
        <v>33306.154873412808</v>
      </c>
      <c r="AT43" s="197">
        <f t="shared" si="99"/>
        <v>-15934.224064185275</v>
      </c>
      <c r="AU43" s="199">
        <f t="shared" si="99"/>
        <v>-13362.926579984785</v>
      </c>
      <c r="AX43" s="204">
        <f t="shared" si="136"/>
        <v>6</v>
      </c>
      <c r="AY43" s="197">
        <f>'Energy NPV'!$D96</f>
        <v>16.3</v>
      </c>
      <c r="AZ43" s="197">
        <f>'Energy margins'!$Z$12</f>
        <v>269.5</v>
      </c>
      <c r="BA43" s="197">
        <f t="shared" si="137"/>
        <v>4392.8500000000004</v>
      </c>
      <c r="BB43" s="197">
        <f>'Margins summary'!$W$14</f>
        <v>471.64</v>
      </c>
      <c r="BC43" s="197">
        <f t="shared" si="100"/>
        <v>4864.4900000000007</v>
      </c>
      <c r="BD43" s="197"/>
      <c r="BE43" s="913">
        <f>'Energy NPV'!U96</f>
        <v>2207.6999999999998</v>
      </c>
      <c r="BF43" s="197"/>
      <c r="BG43" s="197">
        <f t="shared" si="76"/>
        <v>1103.8499999999999</v>
      </c>
      <c r="BH43" s="197">
        <f t="shared" si="77"/>
        <v>3289.0000000000005</v>
      </c>
      <c r="BI43" s="197">
        <f t="shared" si="78"/>
        <v>3760.6400000000008</v>
      </c>
      <c r="BJ43" s="196">
        <f t="shared" si="101"/>
        <v>3610.6024909278176</v>
      </c>
      <c r="BK43" s="197">
        <f t="shared" si="102"/>
        <v>387.65370063198054</v>
      </c>
      <c r="BL43" s="197">
        <f t="shared" si="103"/>
        <v>907.2842367963101</v>
      </c>
      <c r="BM43" s="197">
        <f t="shared" si="104"/>
        <v>2703.3182541315077</v>
      </c>
      <c r="BN43" s="199">
        <f t="shared" si="105"/>
        <v>3090.9719547634886</v>
      </c>
      <c r="BO43" s="196">
        <f t="shared" si="138"/>
        <v>17371.930809227539</v>
      </c>
      <c r="BP43" s="197">
        <f t="shared" si="106"/>
        <v>2571.2974842004828</v>
      </c>
      <c r="BQ43" s="197">
        <f t="shared" si="107"/>
        <v>11102.051624470934</v>
      </c>
      <c r="BR43" s="197">
        <f t="shared" si="108"/>
        <v>6269.8791847566017</v>
      </c>
      <c r="BS43" s="199">
        <f t="shared" si="109"/>
        <v>8841.1766689570868</v>
      </c>
      <c r="BV43" s="204">
        <f t="shared" si="139"/>
        <v>6</v>
      </c>
      <c r="BW43" s="197">
        <f>'Energy NPV'!$D96</f>
        <v>16.3</v>
      </c>
      <c r="BX43" s="197">
        <f>'Energy margins'!$Z$12</f>
        <v>269.5</v>
      </c>
      <c r="BY43" s="197">
        <f t="shared" si="140"/>
        <v>4392.8500000000004</v>
      </c>
      <c r="BZ43" s="197">
        <f>'Margins summary'!$W$14</f>
        <v>471.64</v>
      </c>
      <c r="CA43" s="197">
        <f t="shared" si="110"/>
        <v>4864.4900000000007</v>
      </c>
      <c r="CB43" s="197"/>
      <c r="CC43" s="913">
        <f>'Energy NPV'!U96</f>
        <v>2207.6999999999998</v>
      </c>
      <c r="CD43" s="197"/>
      <c r="CE43" s="197">
        <f t="shared" si="79"/>
        <v>4415.3999999999996</v>
      </c>
      <c r="CF43" s="197">
        <f t="shared" si="80"/>
        <v>-22.549999999999272</v>
      </c>
      <c r="CG43" s="197">
        <f t="shared" si="81"/>
        <v>449.09000000000106</v>
      </c>
      <c r="CH43" s="196">
        <f t="shared" si="111"/>
        <v>3610.6024909278176</v>
      </c>
      <c r="CI43" s="197">
        <f t="shared" si="112"/>
        <v>387.65370063198054</v>
      </c>
      <c r="CJ43" s="197">
        <f t="shared" si="113"/>
        <v>3629.1369471852404</v>
      </c>
      <c r="CK43" s="197">
        <f t="shared" si="114"/>
        <v>-18.534456257422779</v>
      </c>
      <c r="CL43" s="199">
        <f t="shared" si="115"/>
        <v>369.11924437455804</v>
      </c>
      <c r="CM43" s="196">
        <f t="shared" si="141"/>
        <v>17371.930809227539</v>
      </c>
      <c r="CN43" s="197">
        <f t="shared" si="116"/>
        <v>2571.2974842004828</v>
      </c>
      <c r="CO43" s="197">
        <f t="shared" si="117"/>
        <v>44408.206497883737</v>
      </c>
      <c r="CP43" s="197">
        <f t="shared" si="118"/>
        <v>-27036.275688656202</v>
      </c>
      <c r="CQ43" s="199">
        <f t="shared" si="119"/>
        <v>-24464.978204455721</v>
      </c>
      <c r="CT43" s="204">
        <f t="shared" si="142"/>
        <v>6</v>
      </c>
      <c r="CU43" s="197">
        <f>'Energy NPV'!$D96</f>
        <v>16.3</v>
      </c>
      <c r="CV43" s="197">
        <f>'Energy margins'!$Z$12</f>
        <v>269.5</v>
      </c>
      <c r="CW43" s="197">
        <f t="shared" si="143"/>
        <v>4392.8500000000004</v>
      </c>
      <c r="CX43" s="197">
        <f>'Margins summary'!$W$14</f>
        <v>471.64</v>
      </c>
      <c r="CY43" s="197">
        <f t="shared" si="120"/>
        <v>4864.4900000000007</v>
      </c>
      <c r="CZ43" s="197"/>
      <c r="DA43" s="913">
        <f>'Energy NPV'!U96</f>
        <v>2207.6999999999998</v>
      </c>
      <c r="DB43" s="197"/>
      <c r="DC43" s="197">
        <f t="shared" si="82"/>
        <v>0</v>
      </c>
      <c r="DD43" s="197">
        <f t="shared" si="83"/>
        <v>4392.8500000000004</v>
      </c>
      <c r="DE43" s="197">
        <f t="shared" si="84"/>
        <v>4864.4900000000007</v>
      </c>
      <c r="DF43" s="196">
        <f t="shared" si="121"/>
        <v>3610.6024909278176</v>
      </c>
      <c r="DG43" s="197">
        <f t="shared" si="122"/>
        <v>387.65370063198054</v>
      </c>
      <c r="DH43" s="197">
        <f t="shared" si="123"/>
        <v>0</v>
      </c>
      <c r="DI43" s="197">
        <f t="shared" si="124"/>
        <v>3610.6024909278176</v>
      </c>
      <c r="DJ43" s="199">
        <f t="shared" si="125"/>
        <v>3998.2561915597985</v>
      </c>
      <c r="DK43" s="196">
        <f t="shared" si="144"/>
        <v>17371.930809227539</v>
      </c>
      <c r="DL43" s="197">
        <f t="shared" si="126"/>
        <v>2571.2974842004828</v>
      </c>
      <c r="DM43" s="197">
        <f t="shared" si="127"/>
        <v>0</v>
      </c>
      <c r="DN43" s="197">
        <f t="shared" si="128"/>
        <v>17371.930809227539</v>
      </c>
      <c r="DO43" s="199">
        <f t="shared" si="129"/>
        <v>19943.228293428019</v>
      </c>
    </row>
    <row r="44" spans="2:119" x14ac:dyDescent="0.3">
      <c r="B44" s="204">
        <f t="shared" si="130"/>
        <v>7</v>
      </c>
      <c r="C44" s="197">
        <f>'Energy NPV'!$D97</f>
        <v>16.3</v>
      </c>
      <c r="D44" s="197">
        <f>'Energy margins'!$Z$12</f>
        <v>269.5</v>
      </c>
      <c r="E44" s="197">
        <f t="shared" si="131"/>
        <v>4392.8500000000004</v>
      </c>
      <c r="F44" s="197">
        <f>'Margins summary'!$W$14</f>
        <v>471.64</v>
      </c>
      <c r="G44" s="197">
        <f t="shared" si="85"/>
        <v>4864.4900000000007</v>
      </c>
      <c r="H44" s="197"/>
      <c r="I44" s="913">
        <f>'Energy NPV'!U97</f>
        <v>2207.6999999999998</v>
      </c>
      <c r="J44" s="197"/>
      <c r="K44" s="197">
        <f t="shared" si="86"/>
        <v>2207.6999999999998</v>
      </c>
      <c r="L44" s="197">
        <f t="shared" si="71"/>
        <v>2185.1500000000005</v>
      </c>
      <c r="M44" s="197">
        <f t="shared" si="72"/>
        <v>2656.7900000000009</v>
      </c>
      <c r="N44" s="196">
        <f t="shared" si="87"/>
        <v>3471.7331643536709</v>
      </c>
      <c r="O44" s="197">
        <f t="shared" si="88"/>
        <v>372.74394291536589</v>
      </c>
      <c r="P44" s="197">
        <f t="shared" si="89"/>
        <v>1744.7773784544424</v>
      </c>
      <c r="Q44" s="197">
        <f t="shared" si="90"/>
        <v>1726.9557858992284</v>
      </c>
      <c r="R44" s="199">
        <f t="shared" si="91"/>
        <v>2099.6997288145944</v>
      </c>
      <c r="S44" s="196">
        <f t="shared" si="132"/>
        <v>20843.66397358121</v>
      </c>
      <c r="T44" s="197">
        <f t="shared" si="92"/>
        <v>2944.0414271158488</v>
      </c>
      <c r="U44" s="197">
        <f t="shared" si="92"/>
        <v>23948.880627396313</v>
      </c>
      <c r="V44" s="197">
        <f t="shared" si="92"/>
        <v>-3105.216653815105</v>
      </c>
      <c r="W44" s="199">
        <f t="shared" si="92"/>
        <v>-161.17522669925575</v>
      </c>
      <c r="Z44" s="204">
        <f t="shared" si="133"/>
        <v>7</v>
      </c>
      <c r="AA44" s="197">
        <f>'Energy NPV'!$D97</f>
        <v>16.3</v>
      </c>
      <c r="AB44" s="197">
        <f>'Energy margins'!$Z$12</f>
        <v>269.5</v>
      </c>
      <c r="AC44" s="197">
        <f t="shared" si="134"/>
        <v>4392.8500000000004</v>
      </c>
      <c r="AD44" s="197">
        <f>'Margins summary'!$W$14</f>
        <v>471.64</v>
      </c>
      <c r="AE44" s="197">
        <f t="shared" si="93"/>
        <v>4864.4900000000007</v>
      </c>
      <c r="AF44" s="197"/>
      <c r="AG44" s="913">
        <f>'Energy NPV'!U97</f>
        <v>2207.6999999999998</v>
      </c>
      <c r="AH44" s="197"/>
      <c r="AI44" s="197">
        <f t="shared" si="73"/>
        <v>3311.5499999999997</v>
      </c>
      <c r="AJ44" s="197">
        <f t="shared" si="74"/>
        <v>1081.3000000000006</v>
      </c>
      <c r="AK44" s="197">
        <f t="shared" si="75"/>
        <v>1552.940000000001</v>
      </c>
      <c r="AL44" s="196">
        <f t="shared" si="94"/>
        <v>3471.7331643536709</v>
      </c>
      <c r="AM44" s="197">
        <f t="shared" si="95"/>
        <v>372.74394291536589</v>
      </c>
      <c r="AN44" s="197">
        <f t="shared" si="96"/>
        <v>2617.1660676816637</v>
      </c>
      <c r="AO44" s="197">
        <f t="shared" si="97"/>
        <v>854.5670966720071</v>
      </c>
      <c r="AP44" s="199">
        <f t="shared" si="98"/>
        <v>1227.3110395873732</v>
      </c>
      <c r="AQ44" s="196">
        <f t="shared" si="135"/>
        <v>20843.66397358121</v>
      </c>
      <c r="AR44" s="197">
        <f t="shared" si="99"/>
        <v>2944.0414271158488</v>
      </c>
      <c r="AS44" s="197">
        <f t="shared" si="99"/>
        <v>35923.320941094469</v>
      </c>
      <c r="AT44" s="197">
        <f t="shared" si="99"/>
        <v>-15079.656967513269</v>
      </c>
      <c r="AU44" s="199">
        <f t="shared" si="99"/>
        <v>-12135.615540397412</v>
      </c>
      <c r="AX44" s="204">
        <f t="shared" si="136"/>
        <v>7</v>
      </c>
      <c r="AY44" s="197">
        <f>'Energy NPV'!$D97</f>
        <v>16.3</v>
      </c>
      <c r="AZ44" s="197">
        <f>'Energy margins'!$Z$12</f>
        <v>269.5</v>
      </c>
      <c r="BA44" s="197">
        <f t="shared" si="137"/>
        <v>4392.8500000000004</v>
      </c>
      <c r="BB44" s="197">
        <f>'Margins summary'!$W$14</f>
        <v>471.64</v>
      </c>
      <c r="BC44" s="197">
        <f t="shared" si="100"/>
        <v>4864.4900000000007</v>
      </c>
      <c r="BD44" s="197"/>
      <c r="BE44" s="913">
        <f>'Energy NPV'!U97</f>
        <v>2207.6999999999998</v>
      </c>
      <c r="BF44" s="197"/>
      <c r="BG44" s="197">
        <f t="shared" si="76"/>
        <v>1103.8499999999999</v>
      </c>
      <c r="BH44" s="197">
        <f t="shared" si="77"/>
        <v>3289.0000000000005</v>
      </c>
      <c r="BI44" s="197">
        <f t="shared" si="78"/>
        <v>3760.6400000000008</v>
      </c>
      <c r="BJ44" s="196">
        <f t="shared" si="101"/>
        <v>3471.7331643536709</v>
      </c>
      <c r="BK44" s="197">
        <f t="shared" si="102"/>
        <v>372.74394291536589</v>
      </c>
      <c r="BL44" s="197">
        <f t="shared" si="103"/>
        <v>872.38868922722122</v>
      </c>
      <c r="BM44" s="197">
        <f t="shared" si="104"/>
        <v>2599.3444751264497</v>
      </c>
      <c r="BN44" s="199">
        <f t="shared" si="105"/>
        <v>2972.0884180418157</v>
      </c>
      <c r="BO44" s="196">
        <f t="shared" si="138"/>
        <v>20843.66397358121</v>
      </c>
      <c r="BP44" s="197">
        <f t="shared" si="106"/>
        <v>2944.0414271158488</v>
      </c>
      <c r="BQ44" s="197">
        <f t="shared" si="107"/>
        <v>11974.440313698156</v>
      </c>
      <c r="BR44" s="197">
        <f t="shared" si="108"/>
        <v>8869.2236598830514</v>
      </c>
      <c r="BS44" s="199">
        <f t="shared" si="109"/>
        <v>11813.265086998903</v>
      </c>
      <c r="BV44" s="204">
        <f t="shared" si="139"/>
        <v>7</v>
      </c>
      <c r="BW44" s="197">
        <f>'Energy NPV'!$D97</f>
        <v>16.3</v>
      </c>
      <c r="BX44" s="197">
        <f>'Energy margins'!$Z$12</f>
        <v>269.5</v>
      </c>
      <c r="BY44" s="197">
        <f t="shared" si="140"/>
        <v>4392.8500000000004</v>
      </c>
      <c r="BZ44" s="197">
        <f>'Margins summary'!$W$14</f>
        <v>471.64</v>
      </c>
      <c r="CA44" s="197">
        <f t="shared" si="110"/>
        <v>4864.4900000000007</v>
      </c>
      <c r="CB44" s="197"/>
      <c r="CC44" s="913">
        <f>'Energy NPV'!U97</f>
        <v>2207.6999999999998</v>
      </c>
      <c r="CD44" s="197"/>
      <c r="CE44" s="197">
        <f t="shared" si="79"/>
        <v>4415.3999999999996</v>
      </c>
      <c r="CF44" s="197">
        <f t="shared" si="80"/>
        <v>-22.549999999999272</v>
      </c>
      <c r="CG44" s="197">
        <f t="shared" si="81"/>
        <v>449.09000000000106</v>
      </c>
      <c r="CH44" s="196">
        <f t="shared" si="111"/>
        <v>3471.7331643536709</v>
      </c>
      <c r="CI44" s="197">
        <f t="shared" si="112"/>
        <v>372.74394291536589</v>
      </c>
      <c r="CJ44" s="197">
        <f t="shared" si="113"/>
        <v>3489.5547569088849</v>
      </c>
      <c r="CK44" s="197">
        <f t="shared" si="114"/>
        <v>-17.82159255521421</v>
      </c>
      <c r="CL44" s="199">
        <f t="shared" si="115"/>
        <v>354.922350360152</v>
      </c>
      <c r="CM44" s="196">
        <f t="shared" si="141"/>
        <v>20843.66397358121</v>
      </c>
      <c r="CN44" s="197">
        <f t="shared" si="116"/>
        <v>2944.0414271158488</v>
      </c>
      <c r="CO44" s="197">
        <f t="shared" si="117"/>
        <v>47897.761254792626</v>
      </c>
      <c r="CP44" s="197">
        <f t="shared" si="118"/>
        <v>-27054.097281211416</v>
      </c>
      <c r="CQ44" s="199">
        <f t="shared" si="119"/>
        <v>-24110.055854095568</v>
      </c>
      <c r="CT44" s="204">
        <f t="shared" si="142"/>
        <v>7</v>
      </c>
      <c r="CU44" s="197">
        <f>'Energy NPV'!$D97</f>
        <v>16.3</v>
      </c>
      <c r="CV44" s="197">
        <f>'Energy margins'!$Z$12</f>
        <v>269.5</v>
      </c>
      <c r="CW44" s="197">
        <f t="shared" si="143"/>
        <v>4392.8500000000004</v>
      </c>
      <c r="CX44" s="197">
        <f>'Margins summary'!$W$14</f>
        <v>471.64</v>
      </c>
      <c r="CY44" s="197">
        <f t="shared" si="120"/>
        <v>4864.4900000000007</v>
      </c>
      <c r="CZ44" s="197"/>
      <c r="DA44" s="913">
        <f>'Energy NPV'!U97</f>
        <v>2207.6999999999998</v>
      </c>
      <c r="DB44" s="197"/>
      <c r="DC44" s="197">
        <f t="shared" si="82"/>
        <v>0</v>
      </c>
      <c r="DD44" s="197">
        <f t="shared" si="83"/>
        <v>4392.8500000000004</v>
      </c>
      <c r="DE44" s="197">
        <f t="shared" si="84"/>
        <v>4864.4900000000007</v>
      </c>
      <c r="DF44" s="196">
        <f t="shared" si="121"/>
        <v>3471.7331643536709</v>
      </c>
      <c r="DG44" s="197">
        <f t="shared" si="122"/>
        <v>372.74394291536589</v>
      </c>
      <c r="DH44" s="197">
        <f t="shared" si="123"/>
        <v>0</v>
      </c>
      <c r="DI44" s="197">
        <f t="shared" si="124"/>
        <v>3471.7331643536709</v>
      </c>
      <c r="DJ44" s="199">
        <f t="shared" si="125"/>
        <v>3844.4771072690369</v>
      </c>
      <c r="DK44" s="196">
        <f t="shared" si="144"/>
        <v>20843.66397358121</v>
      </c>
      <c r="DL44" s="197">
        <f t="shared" si="126"/>
        <v>2944.0414271158488</v>
      </c>
      <c r="DM44" s="197">
        <f t="shared" si="127"/>
        <v>0</v>
      </c>
      <c r="DN44" s="197">
        <f t="shared" si="128"/>
        <v>20843.66397358121</v>
      </c>
      <c r="DO44" s="199">
        <f t="shared" si="129"/>
        <v>23787.705400697057</v>
      </c>
    </row>
    <row r="45" spans="2:119" x14ac:dyDescent="0.3">
      <c r="B45" s="204">
        <f t="shared" si="130"/>
        <v>8</v>
      </c>
      <c r="C45" s="197">
        <f>'Energy NPV'!$D98</f>
        <v>16.3</v>
      </c>
      <c r="D45" s="197">
        <f>'Energy margins'!$Z$12</f>
        <v>269.5</v>
      </c>
      <c r="E45" s="197">
        <f t="shared" si="131"/>
        <v>4392.8500000000004</v>
      </c>
      <c r="F45" s="197">
        <f>'Margins summary'!$W$14</f>
        <v>471.64</v>
      </c>
      <c r="G45" s="197">
        <f t="shared" si="85"/>
        <v>4864.4900000000007</v>
      </c>
      <c r="H45" s="197"/>
      <c r="I45" s="913">
        <f>'Energy NPV'!U98</f>
        <v>2207.6999999999998</v>
      </c>
      <c r="J45" s="197"/>
      <c r="K45" s="197">
        <f t="shared" si="86"/>
        <v>2207.6999999999998</v>
      </c>
      <c r="L45" s="197">
        <f t="shared" si="71"/>
        <v>2185.1500000000005</v>
      </c>
      <c r="M45" s="197">
        <f t="shared" si="72"/>
        <v>2656.7900000000009</v>
      </c>
      <c r="N45" s="196">
        <f t="shared" si="87"/>
        <v>3338.2049657246839</v>
      </c>
      <c r="O45" s="197">
        <f t="shared" si="88"/>
        <v>358.40763741862111</v>
      </c>
      <c r="P45" s="197">
        <f t="shared" si="89"/>
        <v>1677.670556206195</v>
      </c>
      <c r="Q45" s="197">
        <f t="shared" si="90"/>
        <v>1660.5344095184889</v>
      </c>
      <c r="R45" s="199">
        <f t="shared" si="91"/>
        <v>2018.9420469371103</v>
      </c>
      <c r="S45" s="196">
        <f t="shared" si="132"/>
        <v>24181.868939305892</v>
      </c>
      <c r="T45" s="197">
        <f t="shared" si="92"/>
        <v>3302.4490645344699</v>
      </c>
      <c r="U45" s="197">
        <f t="shared" si="92"/>
        <v>25626.551183602507</v>
      </c>
      <c r="V45" s="197">
        <f t="shared" si="92"/>
        <v>-1444.6822442966161</v>
      </c>
      <c r="W45" s="199">
        <f t="shared" si="92"/>
        <v>1857.7668202378545</v>
      </c>
      <c r="Z45" s="204">
        <f t="shared" si="133"/>
        <v>8</v>
      </c>
      <c r="AA45" s="197">
        <f>'Energy NPV'!$D98</f>
        <v>16.3</v>
      </c>
      <c r="AB45" s="197">
        <f>'Energy margins'!$Z$12</f>
        <v>269.5</v>
      </c>
      <c r="AC45" s="197">
        <f t="shared" si="134"/>
        <v>4392.8500000000004</v>
      </c>
      <c r="AD45" s="197">
        <f>'Margins summary'!$W$14</f>
        <v>471.64</v>
      </c>
      <c r="AE45" s="197">
        <f t="shared" si="93"/>
        <v>4864.4900000000007</v>
      </c>
      <c r="AF45" s="197"/>
      <c r="AG45" s="913">
        <f>'Energy NPV'!U98</f>
        <v>2207.6999999999998</v>
      </c>
      <c r="AH45" s="197"/>
      <c r="AI45" s="197">
        <f t="shared" si="73"/>
        <v>3311.5499999999997</v>
      </c>
      <c r="AJ45" s="197">
        <f t="shared" si="74"/>
        <v>1081.3000000000006</v>
      </c>
      <c r="AK45" s="197">
        <f t="shared" si="75"/>
        <v>1552.940000000001</v>
      </c>
      <c r="AL45" s="196">
        <f t="shared" si="94"/>
        <v>3338.2049657246839</v>
      </c>
      <c r="AM45" s="197">
        <f t="shared" si="95"/>
        <v>358.40763741862111</v>
      </c>
      <c r="AN45" s="197">
        <f t="shared" si="96"/>
        <v>2516.5058343092924</v>
      </c>
      <c r="AO45" s="197">
        <f t="shared" si="97"/>
        <v>821.69913141539143</v>
      </c>
      <c r="AP45" s="199">
        <f t="shared" si="98"/>
        <v>1180.1067688340129</v>
      </c>
      <c r="AQ45" s="196">
        <f t="shared" si="135"/>
        <v>24181.868939305892</v>
      </c>
      <c r="AR45" s="197">
        <f t="shared" si="99"/>
        <v>3302.4490645344699</v>
      </c>
      <c r="AS45" s="197">
        <f t="shared" si="99"/>
        <v>38439.826775403759</v>
      </c>
      <c r="AT45" s="197">
        <f t="shared" si="99"/>
        <v>-14257.957836097878</v>
      </c>
      <c r="AU45" s="199">
        <f t="shared" si="99"/>
        <v>-10955.508771563398</v>
      </c>
      <c r="AX45" s="204">
        <f t="shared" si="136"/>
        <v>8</v>
      </c>
      <c r="AY45" s="197">
        <f>'Energy NPV'!$D98</f>
        <v>16.3</v>
      </c>
      <c r="AZ45" s="197">
        <f>'Energy margins'!$Z$12</f>
        <v>269.5</v>
      </c>
      <c r="BA45" s="197">
        <f t="shared" si="137"/>
        <v>4392.8500000000004</v>
      </c>
      <c r="BB45" s="197">
        <f>'Margins summary'!$W$14</f>
        <v>471.64</v>
      </c>
      <c r="BC45" s="197">
        <f t="shared" si="100"/>
        <v>4864.4900000000007</v>
      </c>
      <c r="BD45" s="197"/>
      <c r="BE45" s="913">
        <f>'Energy NPV'!U98</f>
        <v>2207.6999999999998</v>
      </c>
      <c r="BF45" s="197"/>
      <c r="BG45" s="197">
        <f t="shared" si="76"/>
        <v>1103.8499999999999</v>
      </c>
      <c r="BH45" s="197">
        <f t="shared" si="77"/>
        <v>3289.0000000000005</v>
      </c>
      <c r="BI45" s="197">
        <f t="shared" si="78"/>
        <v>3760.6400000000008</v>
      </c>
      <c r="BJ45" s="196">
        <f t="shared" si="101"/>
        <v>3338.2049657246839</v>
      </c>
      <c r="BK45" s="197">
        <f t="shared" si="102"/>
        <v>358.40763741862111</v>
      </c>
      <c r="BL45" s="197">
        <f t="shared" si="103"/>
        <v>838.83527810309749</v>
      </c>
      <c r="BM45" s="197">
        <f t="shared" si="104"/>
        <v>2499.3696876215863</v>
      </c>
      <c r="BN45" s="199">
        <f t="shared" si="105"/>
        <v>2857.7773250402079</v>
      </c>
      <c r="BO45" s="196">
        <f t="shared" si="138"/>
        <v>24181.868939305892</v>
      </c>
      <c r="BP45" s="197">
        <f t="shared" si="106"/>
        <v>3302.4490645344699</v>
      </c>
      <c r="BQ45" s="197">
        <f t="shared" si="107"/>
        <v>12813.275591801254</v>
      </c>
      <c r="BR45" s="197">
        <f t="shared" si="108"/>
        <v>11368.593347504637</v>
      </c>
      <c r="BS45" s="199">
        <f t="shared" si="109"/>
        <v>14671.042412039111</v>
      </c>
      <c r="BV45" s="204">
        <f t="shared" si="139"/>
        <v>8</v>
      </c>
      <c r="BW45" s="197">
        <f>'Energy NPV'!$D98</f>
        <v>16.3</v>
      </c>
      <c r="BX45" s="197">
        <f>'Energy margins'!$Z$12</f>
        <v>269.5</v>
      </c>
      <c r="BY45" s="197">
        <f t="shared" si="140"/>
        <v>4392.8500000000004</v>
      </c>
      <c r="BZ45" s="197">
        <f>'Margins summary'!$W$14</f>
        <v>471.64</v>
      </c>
      <c r="CA45" s="197">
        <f t="shared" si="110"/>
        <v>4864.4900000000007</v>
      </c>
      <c r="CB45" s="197"/>
      <c r="CC45" s="913">
        <f>'Energy NPV'!U98</f>
        <v>2207.6999999999998</v>
      </c>
      <c r="CD45" s="197"/>
      <c r="CE45" s="197">
        <f t="shared" si="79"/>
        <v>4415.3999999999996</v>
      </c>
      <c r="CF45" s="197">
        <f t="shared" si="80"/>
        <v>-22.549999999999272</v>
      </c>
      <c r="CG45" s="197">
        <f t="shared" si="81"/>
        <v>449.09000000000106</v>
      </c>
      <c r="CH45" s="196">
        <f t="shared" si="111"/>
        <v>3338.2049657246839</v>
      </c>
      <c r="CI45" s="197">
        <f t="shared" si="112"/>
        <v>358.40763741862111</v>
      </c>
      <c r="CJ45" s="197">
        <f t="shared" si="113"/>
        <v>3355.34111241239</v>
      </c>
      <c r="CK45" s="197">
        <f t="shared" si="114"/>
        <v>-17.136146687705974</v>
      </c>
      <c r="CL45" s="199">
        <f t="shared" si="115"/>
        <v>341.27149073091539</v>
      </c>
      <c r="CM45" s="196">
        <f t="shared" si="141"/>
        <v>24181.868939305892</v>
      </c>
      <c r="CN45" s="197">
        <f t="shared" si="116"/>
        <v>3302.4490645344699</v>
      </c>
      <c r="CO45" s="197">
        <f t="shared" si="117"/>
        <v>51253.102367205014</v>
      </c>
      <c r="CP45" s="197">
        <f t="shared" si="118"/>
        <v>-27071.233427899122</v>
      </c>
      <c r="CQ45" s="199">
        <f t="shared" si="119"/>
        <v>-23768.784363364652</v>
      </c>
      <c r="CT45" s="204">
        <f t="shared" si="142"/>
        <v>8</v>
      </c>
      <c r="CU45" s="197">
        <f>'Energy NPV'!$D98</f>
        <v>16.3</v>
      </c>
      <c r="CV45" s="197">
        <f>'Energy margins'!$Z$12</f>
        <v>269.5</v>
      </c>
      <c r="CW45" s="197">
        <f t="shared" si="143"/>
        <v>4392.8500000000004</v>
      </c>
      <c r="CX45" s="197">
        <f>'Margins summary'!$W$14</f>
        <v>471.64</v>
      </c>
      <c r="CY45" s="197">
        <f t="shared" si="120"/>
        <v>4864.4900000000007</v>
      </c>
      <c r="CZ45" s="197"/>
      <c r="DA45" s="913">
        <f>'Energy NPV'!U98</f>
        <v>2207.6999999999998</v>
      </c>
      <c r="DB45" s="197"/>
      <c r="DC45" s="197">
        <f t="shared" si="82"/>
        <v>0</v>
      </c>
      <c r="DD45" s="197">
        <f t="shared" si="83"/>
        <v>4392.8500000000004</v>
      </c>
      <c r="DE45" s="197">
        <f t="shared" si="84"/>
        <v>4864.4900000000007</v>
      </c>
      <c r="DF45" s="196">
        <f t="shared" si="121"/>
        <v>3338.2049657246839</v>
      </c>
      <c r="DG45" s="197">
        <f t="shared" si="122"/>
        <v>358.40763741862111</v>
      </c>
      <c r="DH45" s="197">
        <f t="shared" si="123"/>
        <v>0</v>
      </c>
      <c r="DI45" s="197">
        <f t="shared" si="124"/>
        <v>3338.2049657246839</v>
      </c>
      <c r="DJ45" s="199">
        <f t="shared" si="125"/>
        <v>3696.612603143305</v>
      </c>
      <c r="DK45" s="196">
        <f t="shared" si="144"/>
        <v>24181.868939305892</v>
      </c>
      <c r="DL45" s="197">
        <f t="shared" si="126"/>
        <v>3302.4490645344699</v>
      </c>
      <c r="DM45" s="197">
        <f t="shared" si="127"/>
        <v>0</v>
      </c>
      <c r="DN45" s="197">
        <f t="shared" si="128"/>
        <v>24181.868939305892</v>
      </c>
      <c r="DO45" s="199">
        <f t="shared" si="129"/>
        <v>27484.318003840363</v>
      </c>
    </row>
    <row r="46" spans="2:119" x14ac:dyDescent="0.3">
      <c r="B46" s="204">
        <f t="shared" si="130"/>
        <v>9</v>
      </c>
      <c r="C46" s="197">
        <f>'Energy NPV'!$D99</f>
        <v>16.3</v>
      </c>
      <c r="D46" s="197">
        <f>'Energy margins'!$Z$12</f>
        <v>269.5</v>
      </c>
      <c r="E46" s="197">
        <f t="shared" si="131"/>
        <v>4392.8500000000004</v>
      </c>
      <c r="F46" s="197">
        <f>'Margins summary'!$W$14</f>
        <v>471.64</v>
      </c>
      <c r="G46" s="197">
        <f t="shared" si="85"/>
        <v>4864.4900000000007</v>
      </c>
      <c r="H46" s="197"/>
      <c r="I46" s="913">
        <f>'Energy NPV'!U99</f>
        <v>2207.6999999999998</v>
      </c>
      <c r="J46" s="197"/>
      <c r="K46" s="197">
        <f t="shared" si="86"/>
        <v>2207.6999999999998</v>
      </c>
      <c r="L46" s="197">
        <f t="shared" si="71"/>
        <v>2185.1500000000005</v>
      </c>
      <c r="M46" s="197">
        <f t="shared" si="72"/>
        <v>2656.7900000000009</v>
      </c>
      <c r="N46" s="196">
        <f t="shared" si="87"/>
        <v>3209.8124670429647</v>
      </c>
      <c r="O46" s="197">
        <f t="shared" si="88"/>
        <v>344.6227282871356</v>
      </c>
      <c r="P46" s="197">
        <f t="shared" si="89"/>
        <v>1613.1447655828795</v>
      </c>
      <c r="Q46" s="197">
        <f t="shared" si="90"/>
        <v>1596.6677014600853</v>
      </c>
      <c r="R46" s="199">
        <f t="shared" si="91"/>
        <v>1941.2904297472212</v>
      </c>
      <c r="S46" s="196">
        <f t="shared" si="132"/>
        <v>27391.681406348856</v>
      </c>
      <c r="T46" s="197">
        <f t="shared" si="92"/>
        <v>3647.0717928216054</v>
      </c>
      <c r="U46" s="197">
        <f t="shared" si="92"/>
        <v>27239.695949185385</v>
      </c>
      <c r="V46" s="197">
        <f t="shared" si="92"/>
        <v>151.98545716346916</v>
      </c>
      <c r="W46" s="199">
        <f t="shared" si="92"/>
        <v>3799.0572499850759</v>
      </c>
      <c r="Z46" s="204">
        <f t="shared" si="133"/>
        <v>9</v>
      </c>
      <c r="AA46" s="197">
        <f>'Energy NPV'!$D99</f>
        <v>16.3</v>
      </c>
      <c r="AB46" s="197">
        <f>'Energy margins'!$Z$12</f>
        <v>269.5</v>
      </c>
      <c r="AC46" s="197">
        <f t="shared" si="134"/>
        <v>4392.8500000000004</v>
      </c>
      <c r="AD46" s="197">
        <f>'Margins summary'!$W$14</f>
        <v>471.64</v>
      </c>
      <c r="AE46" s="197">
        <f t="shared" si="93"/>
        <v>4864.4900000000007</v>
      </c>
      <c r="AF46" s="197"/>
      <c r="AG46" s="913">
        <f>'Energy NPV'!U99</f>
        <v>2207.6999999999998</v>
      </c>
      <c r="AH46" s="197"/>
      <c r="AI46" s="197">
        <f t="shared" si="73"/>
        <v>3311.5499999999997</v>
      </c>
      <c r="AJ46" s="197">
        <f t="shared" si="74"/>
        <v>1081.3000000000006</v>
      </c>
      <c r="AK46" s="197">
        <f t="shared" si="75"/>
        <v>1552.940000000001</v>
      </c>
      <c r="AL46" s="196">
        <f t="shared" si="94"/>
        <v>3209.8124670429647</v>
      </c>
      <c r="AM46" s="197">
        <f t="shared" si="95"/>
        <v>344.6227282871356</v>
      </c>
      <c r="AN46" s="197">
        <f t="shared" si="96"/>
        <v>2419.7171483743191</v>
      </c>
      <c r="AO46" s="197">
        <f t="shared" si="97"/>
        <v>790.09531866864552</v>
      </c>
      <c r="AP46" s="199">
        <f t="shared" si="98"/>
        <v>1134.7180469557813</v>
      </c>
      <c r="AQ46" s="196">
        <f t="shared" si="135"/>
        <v>27391.681406348856</v>
      </c>
      <c r="AR46" s="197">
        <f t="shared" si="99"/>
        <v>3647.0717928216054</v>
      </c>
      <c r="AS46" s="197">
        <f t="shared" si="99"/>
        <v>40859.543923778081</v>
      </c>
      <c r="AT46" s="197">
        <f t="shared" si="99"/>
        <v>-13467.862517429232</v>
      </c>
      <c r="AU46" s="199">
        <f t="shared" si="99"/>
        <v>-9820.7907246076174</v>
      </c>
      <c r="AX46" s="204">
        <f t="shared" si="136"/>
        <v>9</v>
      </c>
      <c r="AY46" s="197">
        <f>'Energy NPV'!$D99</f>
        <v>16.3</v>
      </c>
      <c r="AZ46" s="197">
        <f>'Energy margins'!$Z$12</f>
        <v>269.5</v>
      </c>
      <c r="BA46" s="197">
        <f t="shared" si="137"/>
        <v>4392.8500000000004</v>
      </c>
      <c r="BB46" s="197">
        <f>'Margins summary'!$W$14</f>
        <v>471.64</v>
      </c>
      <c r="BC46" s="197">
        <f t="shared" si="100"/>
        <v>4864.4900000000007</v>
      </c>
      <c r="BD46" s="197"/>
      <c r="BE46" s="913">
        <f>'Energy NPV'!U99</f>
        <v>2207.6999999999998</v>
      </c>
      <c r="BF46" s="197"/>
      <c r="BG46" s="197">
        <f t="shared" si="76"/>
        <v>1103.8499999999999</v>
      </c>
      <c r="BH46" s="197">
        <f t="shared" si="77"/>
        <v>3289.0000000000005</v>
      </c>
      <c r="BI46" s="197">
        <f t="shared" si="78"/>
        <v>3760.6400000000008</v>
      </c>
      <c r="BJ46" s="196">
        <f t="shared" si="101"/>
        <v>3209.8124670429647</v>
      </c>
      <c r="BK46" s="197">
        <f t="shared" si="102"/>
        <v>344.6227282871356</v>
      </c>
      <c r="BL46" s="197">
        <f t="shared" si="103"/>
        <v>806.57238279143974</v>
      </c>
      <c r="BM46" s="197">
        <f t="shared" si="104"/>
        <v>2403.2400842515249</v>
      </c>
      <c r="BN46" s="199">
        <f t="shared" si="105"/>
        <v>2747.8628125386608</v>
      </c>
      <c r="BO46" s="196">
        <f t="shared" si="138"/>
        <v>27391.681406348856</v>
      </c>
      <c r="BP46" s="197">
        <f t="shared" si="106"/>
        <v>3647.0717928216054</v>
      </c>
      <c r="BQ46" s="197">
        <f t="shared" si="107"/>
        <v>13619.847974592692</v>
      </c>
      <c r="BR46" s="197">
        <f t="shared" si="108"/>
        <v>13771.833431756162</v>
      </c>
      <c r="BS46" s="199">
        <f t="shared" si="109"/>
        <v>17418.905224577771</v>
      </c>
      <c r="BV46" s="204">
        <f t="shared" si="139"/>
        <v>9</v>
      </c>
      <c r="BW46" s="197">
        <f>'Energy NPV'!$D99</f>
        <v>16.3</v>
      </c>
      <c r="BX46" s="197">
        <f>'Energy margins'!$Z$12</f>
        <v>269.5</v>
      </c>
      <c r="BY46" s="197">
        <f t="shared" si="140"/>
        <v>4392.8500000000004</v>
      </c>
      <c r="BZ46" s="197">
        <f>'Margins summary'!$W$14</f>
        <v>471.64</v>
      </c>
      <c r="CA46" s="197">
        <f t="shared" si="110"/>
        <v>4864.4900000000007</v>
      </c>
      <c r="CB46" s="197"/>
      <c r="CC46" s="913">
        <f>'Energy NPV'!U99</f>
        <v>2207.6999999999998</v>
      </c>
      <c r="CD46" s="197"/>
      <c r="CE46" s="197">
        <f t="shared" si="79"/>
        <v>4415.3999999999996</v>
      </c>
      <c r="CF46" s="197">
        <f t="shared" si="80"/>
        <v>-22.549999999999272</v>
      </c>
      <c r="CG46" s="197">
        <f t="shared" si="81"/>
        <v>449.09000000000106</v>
      </c>
      <c r="CH46" s="196">
        <f t="shared" si="111"/>
        <v>3209.8124670429647</v>
      </c>
      <c r="CI46" s="197">
        <f t="shared" si="112"/>
        <v>344.6227282871356</v>
      </c>
      <c r="CJ46" s="197">
        <f t="shared" si="113"/>
        <v>3226.2895311657589</v>
      </c>
      <c r="CK46" s="197">
        <f t="shared" si="114"/>
        <v>-16.477064122794204</v>
      </c>
      <c r="CL46" s="199">
        <f t="shared" si="115"/>
        <v>328.14566416434167</v>
      </c>
      <c r="CM46" s="196">
        <f t="shared" si="141"/>
        <v>27391.681406348856</v>
      </c>
      <c r="CN46" s="197">
        <f t="shared" si="116"/>
        <v>3647.0717928216054</v>
      </c>
      <c r="CO46" s="197">
        <f t="shared" si="117"/>
        <v>54479.39189837077</v>
      </c>
      <c r="CP46" s="197">
        <f t="shared" si="118"/>
        <v>-27087.710492021917</v>
      </c>
      <c r="CQ46" s="199">
        <f t="shared" si="119"/>
        <v>-23440.63869920031</v>
      </c>
      <c r="CT46" s="204">
        <f t="shared" si="142"/>
        <v>9</v>
      </c>
      <c r="CU46" s="197">
        <f>'Energy NPV'!$D99</f>
        <v>16.3</v>
      </c>
      <c r="CV46" s="197">
        <f>'Energy margins'!$Z$12</f>
        <v>269.5</v>
      </c>
      <c r="CW46" s="197">
        <f t="shared" si="143"/>
        <v>4392.8500000000004</v>
      </c>
      <c r="CX46" s="197">
        <f>'Margins summary'!$W$14</f>
        <v>471.64</v>
      </c>
      <c r="CY46" s="197">
        <f t="shared" si="120"/>
        <v>4864.4900000000007</v>
      </c>
      <c r="CZ46" s="197"/>
      <c r="DA46" s="913">
        <f>'Energy NPV'!U99</f>
        <v>2207.6999999999998</v>
      </c>
      <c r="DB46" s="197"/>
      <c r="DC46" s="197">
        <f t="shared" si="82"/>
        <v>0</v>
      </c>
      <c r="DD46" s="197">
        <f t="shared" si="83"/>
        <v>4392.8500000000004</v>
      </c>
      <c r="DE46" s="197">
        <f t="shared" si="84"/>
        <v>4864.4900000000007</v>
      </c>
      <c r="DF46" s="196">
        <f t="shared" si="121"/>
        <v>3209.8124670429647</v>
      </c>
      <c r="DG46" s="197">
        <f t="shared" si="122"/>
        <v>344.6227282871356</v>
      </c>
      <c r="DH46" s="197">
        <f t="shared" si="123"/>
        <v>0</v>
      </c>
      <c r="DI46" s="197">
        <f t="shared" si="124"/>
        <v>3209.8124670429647</v>
      </c>
      <c r="DJ46" s="199">
        <f t="shared" si="125"/>
        <v>3554.4351953301007</v>
      </c>
      <c r="DK46" s="196">
        <f t="shared" si="144"/>
        <v>27391.681406348856</v>
      </c>
      <c r="DL46" s="197">
        <f t="shared" si="126"/>
        <v>3647.0717928216054</v>
      </c>
      <c r="DM46" s="197">
        <f t="shared" si="127"/>
        <v>0</v>
      </c>
      <c r="DN46" s="197">
        <f t="shared" si="128"/>
        <v>27391.681406348856</v>
      </c>
      <c r="DO46" s="199">
        <f t="shared" si="129"/>
        <v>31038.753199170464</v>
      </c>
    </row>
    <row r="47" spans="2:119" x14ac:dyDescent="0.3">
      <c r="B47" s="204">
        <f t="shared" si="130"/>
        <v>10</v>
      </c>
      <c r="C47" s="197">
        <f>'Energy NPV'!$D100</f>
        <v>16.3</v>
      </c>
      <c r="D47" s="197">
        <f>'Energy margins'!$Z$12</f>
        <v>269.5</v>
      </c>
      <c r="E47" s="197">
        <f t="shared" si="131"/>
        <v>4392.8500000000004</v>
      </c>
      <c r="F47" s="197">
        <f>'Margins summary'!$W$14</f>
        <v>471.64</v>
      </c>
      <c r="G47" s="197">
        <f t="shared" si="85"/>
        <v>4864.4900000000007</v>
      </c>
      <c r="H47" s="197"/>
      <c r="I47" s="913">
        <f>'Energy NPV'!U100</f>
        <v>2207.6999999999998</v>
      </c>
      <c r="J47" s="197"/>
      <c r="K47" s="197">
        <f t="shared" si="86"/>
        <v>2207.6999999999998</v>
      </c>
      <c r="L47" s="197">
        <f t="shared" si="71"/>
        <v>2185.1500000000005</v>
      </c>
      <c r="M47" s="197">
        <f t="shared" si="72"/>
        <v>2656.7900000000009</v>
      </c>
      <c r="N47" s="196">
        <f t="shared" si="87"/>
        <v>3086.3581413874658</v>
      </c>
      <c r="O47" s="197">
        <f t="shared" si="88"/>
        <v>331.36800796839958</v>
      </c>
      <c r="P47" s="197">
        <f t="shared" si="89"/>
        <v>1551.100736137384</v>
      </c>
      <c r="Q47" s="197">
        <f t="shared" si="90"/>
        <v>1535.2574052500818</v>
      </c>
      <c r="R47" s="199">
        <f t="shared" si="91"/>
        <v>1866.6254132184818</v>
      </c>
      <c r="S47" s="196">
        <f t="shared" si="132"/>
        <v>30478.039547736324</v>
      </c>
      <c r="T47" s="197">
        <f t="shared" si="92"/>
        <v>3978.4398007900049</v>
      </c>
      <c r="U47" s="197">
        <f t="shared" si="92"/>
        <v>28790.79668532277</v>
      </c>
      <c r="V47" s="197">
        <f t="shared" si="92"/>
        <v>1687.2428624135509</v>
      </c>
      <c r="W47" s="199">
        <f t="shared" si="92"/>
        <v>5665.6826632035572</v>
      </c>
      <c r="Z47" s="204">
        <f t="shared" si="133"/>
        <v>10</v>
      </c>
      <c r="AA47" s="197">
        <f>'Energy NPV'!$D100</f>
        <v>16.3</v>
      </c>
      <c r="AB47" s="197">
        <f>'Energy margins'!$Z$12</f>
        <v>269.5</v>
      </c>
      <c r="AC47" s="197">
        <f t="shared" si="134"/>
        <v>4392.8500000000004</v>
      </c>
      <c r="AD47" s="197">
        <f>'Margins summary'!$W$14</f>
        <v>471.64</v>
      </c>
      <c r="AE47" s="197">
        <f t="shared" si="93"/>
        <v>4864.4900000000007</v>
      </c>
      <c r="AF47" s="197"/>
      <c r="AG47" s="913">
        <f>'Energy NPV'!U100</f>
        <v>2207.6999999999998</v>
      </c>
      <c r="AH47" s="197"/>
      <c r="AI47" s="197">
        <f t="shared" si="73"/>
        <v>3311.5499999999997</v>
      </c>
      <c r="AJ47" s="197">
        <f t="shared" si="74"/>
        <v>1081.3000000000006</v>
      </c>
      <c r="AK47" s="197">
        <f t="shared" si="75"/>
        <v>1552.940000000001</v>
      </c>
      <c r="AL47" s="196">
        <f t="shared" si="94"/>
        <v>3086.3581413874658</v>
      </c>
      <c r="AM47" s="197">
        <f t="shared" si="95"/>
        <v>331.36800796839958</v>
      </c>
      <c r="AN47" s="197">
        <f t="shared" si="96"/>
        <v>2326.6511042060761</v>
      </c>
      <c r="AO47" s="197">
        <f t="shared" si="97"/>
        <v>759.70703718138986</v>
      </c>
      <c r="AP47" s="199">
        <f t="shared" si="98"/>
        <v>1091.0750451497897</v>
      </c>
      <c r="AQ47" s="196">
        <f t="shared" si="135"/>
        <v>30478.039547736324</v>
      </c>
      <c r="AR47" s="197">
        <f t="shared" si="99"/>
        <v>3978.4398007900049</v>
      </c>
      <c r="AS47" s="197">
        <f t="shared" si="99"/>
        <v>43186.195027984155</v>
      </c>
      <c r="AT47" s="197">
        <f t="shared" si="99"/>
        <v>-12708.155480247842</v>
      </c>
      <c r="AU47" s="199">
        <f t="shared" si="99"/>
        <v>-8729.7156794578277</v>
      </c>
      <c r="AX47" s="204">
        <f t="shared" si="136"/>
        <v>10</v>
      </c>
      <c r="AY47" s="197">
        <f>'Energy NPV'!$D100</f>
        <v>16.3</v>
      </c>
      <c r="AZ47" s="197">
        <f>'Energy margins'!$Z$12</f>
        <v>269.5</v>
      </c>
      <c r="BA47" s="197">
        <f t="shared" si="137"/>
        <v>4392.8500000000004</v>
      </c>
      <c r="BB47" s="197">
        <f>'Margins summary'!$W$14</f>
        <v>471.64</v>
      </c>
      <c r="BC47" s="197">
        <f t="shared" si="100"/>
        <v>4864.4900000000007</v>
      </c>
      <c r="BD47" s="197"/>
      <c r="BE47" s="913">
        <f>'Energy NPV'!U100</f>
        <v>2207.6999999999998</v>
      </c>
      <c r="BF47" s="197"/>
      <c r="BG47" s="197">
        <f t="shared" si="76"/>
        <v>1103.8499999999999</v>
      </c>
      <c r="BH47" s="197">
        <f t="shared" si="77"/>
        <v>3289.0000000000005</v>
      </c>
      <c r="BI47" s="197">
        <f t="shared" si="78"/>
        <v>3760.6400000000008</v>
      </c>
      <c r="BJ47" s="196">
        <f t="shared" si="101"/>
        <v>3086.3581413874658</v>
      </c>
      <c r="BK47" s="197">
        <f t="shared" si="102"/>
        <v>331.36800796839958</v>
      </c>
      <c r="BL47" s="197">
        <f t="shared" si="103"/>
        <v>775.55036806869202</v>
      </c>
      <c r="BM47" s="197">
        <f t="shared" si="104"/>
        <v>2310.8077733187738</v>
      </c>
      <c r="BN47" s="199">
        <f t="shared" si="105"/>
        <v>2642.1757812871738</v>
      </c>
      <c r="BO47" s="196">
        <f t="shared" si="138"/>
        <v>30478.039547736324</v>
      </c>
      <c r="BP47" s="197">
        <f t="shared" si="106"/>
        <v>3978.4398007900049</v>
      </c>
      <c r="BQ47" s="197">
        <f t="shared" si="107"/>
        <v>14395.398342661385</v>
      </c>
      <c r="BR47" s="197">
        <f t="shared" si="108"/>
        <v>16082.641205074935</v>
      </c>
      <c r="BS47" s="199">
        <f t="shared" si="109"/>
        <v>20061.081005864944</v>
      </c>
      <c r="BV47" s="204">
        <f t="shared" si="139"/>
        <v>10</v>
      </c>
      <c r="BW47" s="197">
        <f>'Energy NPV'!$D100</f>
        <v>16.3</v>
      </c>
      <c r="BX47" s="197">
        <f>'Energy margins'!$Z$12</f>
        <v>269.5</v>
      </c>
      <c r="BY47" s="197">
        <f t="shared" si="140"/>
        <v>4392.8500000000004</v>
      </c>
      <c r="BZ47" s="197">
        <f>'Margins summary'!$W$14</f>
        <v>471.64</v>
      </c>
      <c r="CA47" s="197">
        <f t="shared" si="110"/>
        <v>4864.4900000000007</v>
      </c>
      <c r="CB47" s="197"/>
      <c r="CC47" s="913">
        <f>'Energy NPV'!U100</f>
        <v>2207.6999999999998</v>
      </c>
      <c r="CD47" s="197"/>
      <c r="CE47" s="197">
        <f t="shared" si="79"/>
        <v>4415.3999999999996</v>
      </c>
      <c r="CF47" s="197">
        <f t="shared" si="80"/>
        <v>-22.549999999999272</v>
      </c>
      <c r="CG47" s="197">
        <f t="shared" si="81"/>
        <v>449.09000000000106</v>
      </c>
      <c r="CH47" s="196">
        <f t="shared" si="111"/>
        <v>3086.3581413874658</v>
      </c>
      <c r="CI47" s="197">
        <f t="shared" si="112"/>
        <v>331.36800796839958</v>
      </c>
      <c r="CJ47" s="197">
        <f t="shared" si="113"/>
        <v>3102.2014722747681</v>
      </c>
      <c r="CK47" s="197">
        <f t="shared" si="114"/>
        <v>-15.843330887302116</v>
      </c>
      <c r="CL47" s="199">
        <f t="shared" si="115"/>
        <v>315.52467708109771</v>
      </c>
      <c r="CM47" s="196">
        <f t="shared" si="141"/>
        <v>30478.039547736324</v>
      </c>
      <c r="CN47" s="197">
        <f t="shared" si="116"/>
        <v>3978.4398007900049</v>
      </c>
      <c r="CO47" s="197">
        <f t="shared" si="117"/>
        <v>57581.59337064554</v>
      </c>
      <c r="CP47" s="197">
        <f t="shared" si="118"/>
        <v>-27103.55382290922</v>
      </c>
      <c r="CQ47" s="199">
        <f t="shared" si="119"/>
        <v>-23125.114022119211</v>
      </c>
      <c r="CT47" s="204">
        <f t="shared" si="142"/>
        <v>10</v>
      </c>
      <c r="CU47" s="197">
        <f>'Energy NPV'!$D100</f>
        <v>16.3</v>
      </c>
      <c r="CV47" s="197">
        <f>'Energy margins'!$Z$12</f>
        <v>269.5</v>
      </c>
      <c r="CW47" s="197">
        <f t="shared" si="143"/>
        <v>4392.8500000000004</v>
      </c>
      <c r="CX47" s="197">
        <f>'Margins summary'!$W$14</f>
        <v>471.64</v>
      </c>
      <c r="CY47" s="197">
        <f t="shared" si="120"/>
        <v>4864.4900000000007</v>
      </c>
      <c r="CZ47" s="197"/>
      <c r="DA47" s="913">
        <f>'Energy NPV'!U100</f>
        <v>2207.6999999999998</v>
      </c>
      <c r="DB47" s="197"/>
      <c r="DC47" s="197">
        <f t="shared" si="82"/>
        <v>0</v>
      </c>
      <c r="DD47" s="197">
        <f t="shared" si="83"/>
        <v>4392.8500000000004</v>
      </c>
      <c r="DE47" s="197">
        <f t="shared" si="84"/>
        <v>4864.4900000000007</v>
      </c>
      <c r="DF47" s="196">
        <f t="shared" si="121"/>
        <v>3086.3581413874658</v>
      </c>
      <c r="DG47" s="197">
        <f t="shared" si="122"/>
        <v>331.36800796839958</v>
      </c>
      <c r="DH47" s="197">
        <f t="shared" si="123"/>
        <v>0</v>
      </c>
      <c r="DI47" s="197">
        <f t="shared" si="124"/>
        <v>3086.3581413874658</v>
      </c>
      <c r="DJ47" s="199">
        <f t="shared" si="125"/>
        <v>3417.7261493558658</v>
      </c>
      <c r="DK47" s="196">
        <f t="shared" si="144"/>
        <v>30478.039547736324</v>
      </c>
      <c r="DL47" s="197">
        <f t="shared" si="126"/>
        <v>3978.4398007900049</v>
      </c>
      <c r="DM47" s="197">
        <f t="shared" si="127"/>
        <v>0</v>
      </c>
      <c r="DN47" s="197">
        <f t="shared" si="128"/>
        <v>30478.039547736324</v>
      </c>
      <c r="DO47" s="199">
        <f t="shared" si="129"/>
        <v>34456.479348526329</v>
      </c>
    </row>
    <row r="48" spans="2:119" x14ac:dyDescent="0.3">
      <c r="B48" s="204">
        <f t="shared" si="130"/>
        <v>11</v>
      </c>
      <c r="C48" s="197">
        <f>'Energy NPV'!$D101</f>
        <v>16.3</v>
      </c>
      <c r="D48" s="197">
        <f>'Energy margins'!$Z$12</f>
        <v>269.5</v>
      </c>
      <c r="E48" s="197">
        <f t="shared" si="131"/>
        <v>4392.8500000000004</v>
      </c>
      <c r="F48" s="197">
        <f>'Margins summary'!$W$14</f>
        <v>471.64</v>
      </c>
      <c r="G48" s="197">
        <f t="shared" si="85"/>
        <v>4864.4900000000007</v>
      </c>
      <c r="H48" s="197"/>
      <c r="I48" s="913">
        <f>'Energy NPV'!U101</f>
        <v>2207.6999999999998</v>
      </c>
      <c r="J48" s="197"/>
      <c r="K48" s="197">
        <f t="shared" si="86"/>
        <v>2207.6999999999998</v>
      </c>
      <c r="L48" s="197">
        <f t="shared" si="71"/>
        <v>2185.1500000000005</v>
      </c>
      <c r="M48" s="197">
        <f t="shared" si="72"/>
        <v>2656.7900000000009</v>
      </c>
      <c r="N48" s="196">
        <f t="shared" si="87"/>
        <v>2967.6520590264095</v>
      </c>
      <c r="O48" s="197">
        <f t="shared" si="88"/>
        <v>318.62308458499962</v>
      </c>
      <c r="P48" s="197">
        <f t="shared" si="89"/>
        <v>1491.4430155167154</v>
      </c>
      <c r="Q48" s="197">
        <f t="shared" si="90"/>
        <v>1476.2090435096941</v>
      </c>
      <c r="R48" s="199">
        <f t="shared" si="91"/>
        <v>1794.8321280946939</v>
      </c>
      <c r="S48" s="196">
        <f t="shared" si="132"/>
        <v>33445.691606762732</v>
      </c>
      <c r="T48" s="197">
        <f t="shared" si="92"/>
        <v>4297.062885375005</v>
      </c>
      <c r="U48" s="197">
        <f t="shared" si="92"/>
        <v>30282.239700839484</v>
      </c>
      <c r="V48" s="197">
        <f t="shared" si="92"/>
        <v>3163.4519059232452</v>
      </c>
      <c r="W48" s="199">
        <f t="shared" si="92"/>
        <v>7460.5147912982511</v>
      </c>
      <c r="Z48" s="204">
        <f t="shared" si="133"/>
        <v>11</v>
      </c>
      <c r="AA48" s="197">
        <f>'Energy NPV'!$D101</f>
        <v>16.3</v>
      </c>
      <c r="AB48" s="197">
        <f>'Energy margins'!$Z$12</f>
        <v>269.5</v>
      </c>
      <c r="AC48" s="197">
        <f t="shared" si="134"/>
        <v>4392.8500000000004</v>
      </c>
      <c r="AD48" s="197">
        <f>'Margins summary'!$W$14</f>
        <v>471.64</v>
      </c>
      <c r="AE48" s="197">
        <f t="shared" si="93"/>
        <v>4864.4900000000007</v>
      </c>
      <c r="AF48" s="197"/>
      <c r="AG48" s="913">
        <f>'Energy NPV'!U101</f>
        <v>2207.6999999999998</v>
      </c>
      <c r="AH48" s="197"/>
      <c r="AI48" s="197">
        <f t="shared" si="73"/>
        <v>3311.5499999999997</v>
      </c>
      <c r="AJ48" s="197">
        <f t="shared" si="74"/>
        <v>1081.3000000000006</v>
      </c>
      <c r="AK48" s="197">
        <f t="shared" si="75"/>
        <v>1552.940000000001</v>
      </c>
      <c r="AL48" s="196">
        <f t="shared" si="94"/>
        <v>2967.6520590264095</v>
      </c>
      <c r="AM48" s="197">
        <f t="shared" si="95"/>
        <v>318.62308458499962</v>
      </c>
      <c r="AN48" s="197">
        <f t="shared" si="96"/>
        <v>2237.164523275073</v>
      </c>
      <c r="AO48" s="197">
        <f t="shared" si="97"/>
        <v>730.4875357513364</v>
      </c>
      <c r="AP48" s="199">
        <f t="shared" si="98"/>
        <v>1049.1106203363363</v>
      </c>
      <c r="AQ48" s="196">
        <f t="shared" si="135"/>
        <v>33445.691606762732</v>
      </c>
      <c r="AR48" s="197">
        <f t="shared" si="99"/>
        <v>4297.062885375005</v>
      </c>
      <c r="AS48" s="197">
        <f t="shared" si="99"/>
        <v>45423.359551259229</v>
      </c>
      <c r="AT48" s="197">
        <f t="shared" si="99"/>
        <v>-11977.667944496507</v>
      </c>
      <c r="AU48" s="199">
        <f t="shared" si="99"/>
        <v>-7680.6050591214916</v>
      </c>
      <c r="AX48" s="204">
        <f t="shared" si="136"/>
        <v>11</v>
      </c>
      <c r="AY48" s="197">
        <f>'Energy NPV'!$D101</f>
        <v>16.3</v>
      </c>
      <c r="AZ48" s="197">
        <f>'Energy margins'!$Z$12</f>
        <v>269.5</v>
      </c>
      <c r="BA48" s="197">
        <f t="shared" si="137"/>
        <v>4392.8500000000004</v>
      </c>
      <c r="BB48" s="197">
        <f>'Margins summary'!$W$14</f>
        <v>471.64</v>
      </c>
      <c r="BC48" s="197">
        <f t="shared" si="100"/>
        <v>4864.4900000000007</v>
      </c>
      <c r="BD48" s="197"/>
      <c r="BE48" s="913">
        <f>'Energy NPV'!U101</f>
        <v>2207.6999999999998</v>
      </c>
      <c r="BF48" s="197"/>
      <c r="BG48" s="197">
        <f t="shared" si="76"/>
        <v>1103.8499999999999</v>
      </c>
      <c r="BH48" s="197">
        <f t="shared" si="77"/>
        <v>3289.0000000000005</v>
      </c>
      <c r="BI48" s="197">
        <f t="shared" si="78"/>
        <v>3760.6400000000008</v>
      </c>
      <c r="BJ48" s="196">
        <f t="shared" si="101"/>
        <v>2967.6520590264095</v>
      </c>
      <c r="BK48" s="197">
        <f t="shared" si="102"/>
        <v>318.62308458499962</v>
      </c>
      <c r="BL48" s="197">
        <f t="shared" si="103"/>
        <v>745.72150775835769</v>
      </c>
      <c r="BM48" s="197">
        <f t="shared" si="104"/>
        <v>2221.9305512680517</v>
      </c>
      <c r="BN48" s="199">
        <f t="shared" si="105"/>
        <v>2540.5536358530517</v>
      </c>
      <c r="BO48" s="196">
        <f t="shared" si="138"/>
        <v>33445.691606762732</v>
      </c>
      <c r="BP48" s="197">
        <f t="shared" si="106"/>
        <v>4297.062885375005</v>
      </c>
      <c r="BQ48" s="197">
        <f t="shared" si="107"/>
        <v>15141.119850419742</v>
      </c>
      <c r="BR48" s="197">
        <f t="shared" si="108"/>
        <v>18304.571756342986</v>
      </c>
      <c r="BS48" s="199">
        <f t="shared" si="109"/>
        <v>22601.634641717996</v>
      </c>
      <c r="BV48" s="204">
        <f t="shared" si="139"/>
        <v>11</v>
      </c>
      <c r="BW48" s="197">
        <f>'Energy NPV'!$D101</f>
        <v>16.3</v>
      </c>
      <c r="BX48" s="197">
        <f>'Energy margins'!$Z$12</f>
        <v>269.5</v>
      </c>
      <c r="BY48" s="197">
        <f t="shared" si="140"/>
        <v>4392.8500000000004</v>
      </c>
      <c r="BZ48" s="197">
        <f>'Margins summary'!$W$14</f>
        <v>471.64</v>
      </c>
      <c r="CA48" s="197">
        <f t="shared" si="110"/>
        <v>4864.4900000000007</v>
      </c>
      <c r="CB48" s="197"/>
      <c r="CC48" s="913">
        <f>'Energy NPV'!U101</f>
        <v>2207.6999999999998</v>
      </c>
      <c r="CD48" s="197"/>
      <c r="CE48" s="197">
        <f t="shared" si="79"/>
        <v>4415.3999999999996</v>
      </c>
      <c r="CF48" s="197">
        <f t="shared" si="80"/>
        <v>-22.549999999999272</v>
      </c>
      <c r="CG48" s="197">
        <f t="shared" si="81"/>
        <v>449.09000000000106</v>
      </c>
      <c r="CH48" s="196">
        <f t="shared" si="111"/>
        <v>2967.6520590264095</v>
      </c>
      <c r="CI48" s="197">
        <f t="shared" si="112"/>
        <v>318.62308458499962</v>
      </c>
      <c r="CJ48" s="197">
        <f t="shared" si="113"/>
        <v>2982.8860310334308</v>
      </c>
      <c r="CK48" s="197">
        <f t="shared" si="114"/>
        <v>-15.233972007021265</v>
      </c>
      <c r="CL48" s="199">
        <f t="shared" si="115"/>
        <v>303.38911257797861</v>
      </c>
      <c r="CM48" s="196">
        <f t="shared" si="141"/>
        <v>33445.691606762732</v>
      </c>
      <c r="CN48" s="197">
        <f t="shared" si="116"/>
        <v>4297.062885375005</v>
      </c>
      <c r="CO48" s="197">
        <f t="shared" si="117"/>
        <v>60564.479401678967</v>
      </c>
      <c r="CP48" s="197">
        <f t="shared" si="118"/>
        <v>-27118.787794916239</v>
      </c>
      <c r="CQ48" s="199">
        <f t="shared" si="119"/>
        <v>-22821.724909541234</v>
      </c>
      <c r="CT48" s="204">
        <f t="shared" si="142"/>
        <v>11</v>
      </c>
      <c r="CU48" s="197">
        <f>'Energy NPV'!$D101</f>
        <v>16.3</v>
      </c>
      <c r="CV48" s="197">
        <f>'Energy margins'!$Z$12</f>
        <v>269.5</v>
      </c>
      <c r="CW48" s="197">
        <f t="shared" si="143"/>
        <v>4392.8500000000004</v>
      </c>
      <c r="CX48" s="197">
        <f>'Margins summary'!$W$14</f>
        <v>471.64</v>
      </c>
      <c r="CY48" s="197">
        <f t="shared" si="120"/>
        <v>4864.4900000000007</v>
      </c>
      <c r="CZ48" s="197"/>
      <c r="DA48" s="913">
        <f>'Energy NPV'!U101</f>
        <v>2207.6999999999998</v>
      </c>
      <c r="DB48" s="197"/>
      <c r="DC48" s="197">
        <f t="shared" si="82"/>
        <v>0</v>
      </c>
      <c r="DD48" s="197">
        <f t="shared" si="83"/>
        <v>4392.8500000000004</v>
      </c>
      <c r="DE48" s="197">
        <f t="shared" si="84"/>
        <v>4864.4900000000007</v>
      </c>
      <c r="DF48" s="196">
        <f t="shared" si="121"/>
        <v>2967.6520590264095</v>
      </c>
      <c r="DG48" s="197">
        <f t="shared" si="122"/>
        <v>318.62308458499962</v>
      </c>
      <c r="DH48" s="197">
        <f t="shared" si="123"/>
        <v>0</v>
      </c>
      <c r="DI48" s="197">
        <f t="shared" si="124"/>
        <v>2967.6520590264095</v>
      </c>
      <c r="DJ48" s="199">
        <f t="shared" si="125"/>
        <v>3286.2751436114095</v>
      </c>
      <c r="DK48" s="196">
        <f t="shared" si="144"/>
        <v>33445.691606762732</v>
      </c>
      <c r="DL48" s="197">
        <f t="shared" si="126"/>
        <v>4297.062885375005</v>
      </c>
      <c r="DM48" s="197">
        <f t="shared" si="127"/>
        <v>0</v>
      </c>
      <c r="DN48" s="197">
        <f t="shared" si="128"/>
        <v>33445.691606762732</v>
      </c>
      <c r="DO48" s="199">
        <f t="shared" si="129"/>
        <v>37742.754492137741</v>
      </c>
    </row>
    <row r="49" spans="2:129" x14ac:dyDescent="0.3">
      <c r="B49" s="204">
        <f t="shared" si="130"/>
        <v>12</v>
      </c>
      <c r="C49" s="197">
        <f>'Energy NPV'!$D102</f>
        <v>16.3</v>
      </c>
      <c r="D49" s="197">
        <f>'Energy margins'!$Z$12</f>
        <v>269.5</v>
      </c>
      <c r="E49" s="197">
        <f t="shared" si="131"/>
        <v>4392.8500000000004</v>
      </c>
      <c r="F49" s="197">
        <f>'Margins summary'!$W$14</f>
        <v>471.64</v>
      </c>
      <c r="G49" s="197">
        <f t="shared" si="85"/>
        <v>4864.4900000000007</v>
      </c>
      <c r="H49" s="197"/>
      <c r="I49" s="913">
        <f>'Energy NPV'!U102</f>
        <v>2207.6999999999998</v>
      </c>
      <c r="J49" s="197"/>
      <c r="K49" s="197">
        <f t="shared" si="86"/>
        <v>2207.6999999999998</v>
      </c>
      <c r="L49" s="197">
        <f t="shared" si="71"/>
        <v>2185.1500000000005</v>
      </c>
      <c r="M49" s="197">
        <f t="shared" si="72"/>
        <v>2656.7900000000009</v>
      </c>
      <c r="N49" s="196">
        <f t="shared" si="87"/>
        <v>2853.5115952177016</v>
      </c>
      <c r="O49" s="197">
        <f t="shared" si="88"/>
        <v>306.36835056249964</v>
      </c>
      <c r="P49" s="197">
        <f t="shared" si="89"/>
        <v>1434.0798226122265</v>
      </c>
      <c r="Q49" s="197">
        <f t="shared" si="90"/>
        <v>1419.4317726054751</v>
      </c>
      <c r="R49" s="199">
        <f t="shared" si="91"/>
        <v>1725.800123167975</v>
      </c>
      <c r="S49" s="196">
        <f t="shared" si="132"/>
        <v>36299.203201980432</v>
      </c>
      <c r="T49" s="197">
        <f t="shared" si="92"/>
        <v>4603.4312359375044</v>
      </c>
      <c r="U49" s="197">
        <f t="shared" si="92"/>
        <v>31716.319523451712</v>
      </c>
      <c r="V49" s="197">
        <f t="shared" si="92"/>
        <v>4582.8836785287203</v>
      </c>
      <c r="W49" s="199">
        <f t="shared" si="92"/>
        <v>9186.3149144662257</v>
      </c>
      <c r="Z49" s="204">
        <f t="shared" si="133"/>
        <v>12</v>
      </c>
      <c r="AA49" s="197">
        <f>'Energy NPV'!$D102</f>
        <v>16.3</v>
      </c>
      <c r="AB49" s="197">
        <f>'Energy margins'!$Z$12</f>
        <v>269.5</v>
      </c>
      <c r="AC49" s="197">
        <f t="shared" si="134"/>
        <v>4392.8500000000004</v>
      </c>
      <c r="AD49" s="197">
        <f>'Margins summary'!$W$14</f>
        <v>471.64</v>
      </c>
      <c r="AE49" s="197">
        <f t="shared" si="93"/>
        <v>4864.4900000000007</v>
      </c>
      <c r="AF49" s="197"/>
      <c r="AG49" s="913">
        <f>'Energy NPV'!U102</f>
        <v>2207.6999999999998</v>
      </c>
      <c r="AH49" s="197"/>
      <c r="AI49" s="197">
        <f t="shared" si="73"/>
        <v>3311.5499999999997</v>
      </c>
      <c r="AJ49" s="197">
        <f t="shared" si="74"/>
        <v>1081.3000000000006</v>
      </c>
      <c r="AK49" s="197">
        <f t="shared" si="75"/>
        <v>1552.940000000001</v>
      </c>
      <c r="AL49" s="196">
        <f t="shared" si="94"/>
        <v>2853.5115952177016</v>
      </c>
      <c r="AM49" s="197">
        <f t="shared" si="95"/>
        <v>306.36835056249964</v>
      </c>
      <c r="AN49" s="197">
        <f t="shared" si="96"/>
        <v>2151.1197339183395</v>
      </c>
      <c r="AO49" s="197">
        <f t="shared" si="97"/>
        <v>702.39186129936195</v>
      </c>
      <c r="AP49" s="199">
        <f t="shared" si="98"/>
        <v>1008.7602118618619</v>
      </c>
      <c r="AQ49" s="196">
        <f t="shared" si="135"/>
        <v>36299.203201980432</v>
      </c>
      <c r="AR49" s="197">
        <f t="shared" si="99"/>
        <v>4603.4312359375044</v>
      </c>
      <c r="AS49" s="197">
        <f t="shared" si="99"/>
        <v>47574.479285177571</v>
      </c>
      <c r="AT49" s="197">
        <f t="shared" si="99"/>
        <v>-11275.276083197145</v>
      </c>
      <c r="AU49" s="199">
        <f t="shared" si="99"/>
        <v>-6671.8448472596301</v>
      </c>
      <c r="AX49" s="204">
        <f t="shared" si="136"/>
        <v>12</v>
      </c>
      <c r="AY49" s="197">
        <f>'Energy NPV'!$D102</f>
        <v>16.3</v>
      </c>
      <c r="AZ49" s="197">
        <f>'Energy margins'!$Z$12</f>
        <v>269.5</v>
      </c>
      <c r="BA49" s="197">
        <f t="shared" si="137"/>
        <v>4392.8500000000004</v>
      </c>
      <c r="BB49" s="197">
        <f>'Margins summary'!$W$14</f>
        <v>471.64</v>
      </c>
      <c r="BC49" s="197">
        <f t="shared" si="100"/>
        <v>4864.4900000000007</v>
      </c>
      <c r="BD49" s="197"/>
      <c r="BE49" s="913">
        <f>'Energy NPV'!U102</f>
        <v>2207.6999999999998</v>
      </c>
      <c r="BF49" s="197"/>
      <c r="BG49" s="197">
        <f t="shared" si="76"/>
        <v>1103.8499999999999</v>
      </c>
      <c r="BH49" s="197">
        <f t="shared" si="77"/>
        <v>3289.0000000000005</v>
      </c>
      <c r="BI49" s="197">
        <f t="shared" si="78"/>
        <v>3760.6400000000008</v>
      </c>
      <c r="BJ49" s="196">
        <f t="shared" si="101"/>
        <v>2853.5115952177016</v>
      </c>
      <c r="BK49" s="197">
        <f t="shared" si="102"/>
        <v>306.36835056249964</v>
      </c>
      <c r="BL49" s="197">
        <f t="shared" si="103"/>
        <v>717.03991130611325</v>
      </c>
      <c r="BM49" s="197">
        <f t="shared" si="104"/>
        <v>2136.4716839115886</v>
      </c>
      <c r="BN49" s="199">
        <f t="shared" si="105"/>
        <v>2442.840034474088</v>
      </c>
      <c r="BO49" s="196">
        <f t="shared" si="138"/>
        <v>36299.203201980432</v>
      </c>
      <c r="BP49" s="197">
        <f t="shared" si="106"/>
        <v>4603.4312359375044</v>
      </c>
      <c r="BQ49" s="197">
        <f t="shared" si="107"/>
        <v>15858.159761725856</v>
      </c>
      <c r="BR49" s="197">
        <f t="shared" si="108"/>
        <v>20441.043440254576</v>
      </c>
      <c r="BS49" s="199">
        <f t="shared" si="109"/>
        <v>25044.474676192083</v>
      </c>
      <c r="BV49" s="204">
        <f t="shared" si="139"/>
        <v>12</v>
      </c>
      <c r="BW49" s="197">
        <f>'Energy NPV'!$D102</f>
        <v>16.3</v>
      </c>
      <c r="BX49" s="197">
        <f>'Energy margins'!$Z$12</f>
        <v>269.5</v>
      </c>
      <c r="BY49" s="197">
        <f t="shared" si="140"/>
        <v>4392.8500000000004</v>
      </c>
      <c r="BZ49" s="197">
        <f>'Margins summary'!$W$14</f>
        <v>471.64</v>
      </c>
      <c r="CA49" s="197">
        <f t="shared" si="110"/>
        <v>4864.4900000000007</v>
      </c>
      <c r="CB49" s="197"/>
      <c r="CC49" s="913">
        <f>'Energy NPV'!U102</f>
        <v>2207.6999999999998</v>
      </c>
      <c r="CD49" s="197"/>
      <c r="CE49" s="197">
        <f t="shared" si="79"/>
        <v>4415.3999999999996</v>
      </c>
      <c r="CF49" s="197">
        <f t="shared" si="80"/>
        <v>-22.549999999999272</v>
      </c>
      <c r="CG49" s="197">
        <f t="shared" si="81"/>
        <v>449.09000000000106</v>
      </c>
      <c r="CH49" s="196">
        <f t="shared" si="111"/>
        <v>2853.5115952177016</v>
      </c>
      <c r="CI49" s="197">
        <f t="shared" si="112"/>
        <v>306.36835056249964</v>
      </c>
      <c r="CJ49" s="197">
        <f t="shared" si="113"/>
        <v>2868.159645224453</v>
      </c>
      <c r="CK49" s="197">
        <f t="shared" si="114"/>
        <v>-14.648050006751218</v>
      </c>
      <c r="CL49" s="199">
        <f t="shared" si="115"/>
        <v>291.72030055574868</v>
      </c>
      <c r="CM49" s="196">
        <f t="shared" si="141"/>
        <v>36299.203201980432</v>
      </c>
      <c r="CN49" s="197">
        <f t="shared" si="116"/>
        <v>4603.4312359375044</v>
      </c>
      <c r="CO49" s="197">
        <f t="shared" si="117"/>
        <v>63432.639046903423</v>
      </c>
      <c r="CP49" s="197">
        <f t="shared" si="118"/>
        <v>-27133.435844922991</v>
      </c>
      <c r="CQ49" s="199">
        <f t="shared" si="119"/>
        <v>-22530.004608985484</v>
      </c>
      <c r="CT49" s="204">
        <f t="shared" si="142"/>
        <v>12</v>
      </c>
      <c r="CU49" s="197">
        <f>'Energy NPV'!$D102</f>
        <v>16.3</v>
      </c>
      <c r="CV49" s="197">
        <f>'Energy margins'!$Z$12</f>
        <v>269.5</v>
      </c>
      <c r="CW49" s="197">
        <f t="shared" si="143"/>
        <v>4392.8500000000004</v>
      </c>
      <c r="CX49" s="197">
        <f>'Margins summary'!$W$14</f>
        <v>471.64</v>
      </c>
      <c r="CY49" s="197">
        <f t="shared" si="120"/>
        <v>4864.4900000000007</v>
      </c>
      <c r="CZ49" s="197"/>
      <c r="DA49" s="913">
        <f>'Energy NPV'!U102</f>
        <v>2207.6999999999998</v>
      </c>
      <c r="DB49" s="197"/>
      <c r="DC49" s="197">
        <f t="shared" si="82"/>
        <v>0</v>
      </c>
      <c r="DD49" s="197">
        <f t="shared" si="83"/>
        <v>4392.8500000000004</v>
      </c>
      <c r="DE49" s="197">
        <f t="shared" si="84"/>
        <v>4864.4900000000007</v>
      </c>
      <c r="DF49" s="196">
        <f t="shared" si="121"/>
        <v>2853.5115952177016</v>
      </c>
      <c r="DG49" s="197">
        <f t="shared" si="122"/>
        <v>306.36835056249964</v>
      </c>
      <c r="DH49" s="197">
        <f t="shared" si="123"/>
        <v>0</v>
      </c>
      <c r="DI49" s="197">
        <f t="shared" si="124"/>
        <v>2853.5115952177016</v>
      </c>
      <c r="DJ49" s="199">
        <f t="shared" si="125"/>
        <v>3159.8799457802015</v>
      </c>
      <c r="DK49" s="196">
        <f t="shared" si="144"/>
        <v>36299.203201980432</v>
      </c>
      <c r="DL49" s="197">
        <f t="shared" si="126"/>
        <v>4603.4312359375044</v>
      </c>
      <c r="DM49" s="197">
        <f t="shared" si="127"/>
        <v>0</v>
      </c>
      <c r="DN49" s="197">
        <f t="shared" si="128"/>
        <v>36299.203201980432</v>
      </c>
      <c r="DO49" s="199">
        <f t="shared" si="129"/>
        <v>40902.634437917943</v>
      </c>
    </row>
    <row r="50" spans="2:129" x14ac:dyDescent="0.3">
      <c r="B50" s="204">
        <f t="shared" si="130"/>
        <v>13</v>
      </c>
      <c r="C50" s="197">
        <f>'Energy NPV'!$D103</f>
        <v>16.3</v>
      </c>
      <c r="D50" s="197">
        <f>'Energy margins'!$Z$12</f>
        <v>269.5</v>
      </c>
      <c r="E50" s="197">
        <f t="shared" si="131"/>
        <v>4392.8500000000004</v>
      </c>
      <c r="F50" s="197">
        <f>'Margins summary'!$W$14</f>
        <v>471.64</v>
      </c>
      <c r="G50" s="197">
        <f t="shared" si="85"/>
        <v>4864.4900000000007</v>
      </c>
      <c r="H50" s="197"/>
      <c r="I50" s="913">
        <f>'Energy NPV'!U103</f>
        <v>2207.6999999999998</v>
      </c>
      <c r="J50" s="197"/>
      <c r="K50" s="197">
        <f t="shared" si="86"/>
        <v>2207.6999999999998</v>
      </c>
      <c r="L50" s="197">
        <f t="shared" si="71"/>
        <v>2185.1500000000005</v>
      </c>
      <c r="M50" s="197">
        <f t="shared" si="72"/>
        <v>2656.7900000000009</v>
      </c>
      <c r="N50" s="196">
        <f t="shared" si="87"/>
        <v>2743.7611492477895</v>
      </c>
      <c r="O50" s="197">
        <f t="shared" si="88"/>
        <v>294.58495246394193</v>
      </c>
      <c r="P50" s="197">
        <f t="shared" si="89"/>
        <v>1378.9229063579096</v>
      </c>
      <c r="Q50" s="197">
        <f t="shared" si="90"/>
        <v>1364.8382428898797</v>
      </c>
      <c r="R50" s="199">
        <f t="shared" si="91"/>
        <v>1659.4231953538217</v>
      </c>
      <c r="S50" s="196">
        <f t="shared" si="132"/>
        <v>39042.96435122822</v>
      </c>
      <c r="T50" s="197">
        <f t="shared" si="92"/>
        <v>4898.016188401446</v>
      </c>
      <c r="U50" s="197">
        <f t="shared" si="92"/>
        <v>33095.242429809623</v>
      </c>
      <c r="V50" s="197">
        <f t="shared" si="92"/>
        <v>5947.7219214185998</v>
      </c>
      <c r="W50" s="199">
        <f t="shared" si="92"/>
        <v>10845.738109820048</v>
      </c>
      <c r="Z50" s="204">
        <f t="shared" si="133"/>
        <v>13</v>
      </c>
      <c r="AA50" s="197">
        <f>'Energy NPV'!$D103</f>
        <v>16.3</v>
      </c>
      <c r="AB50" s="197">
        <f>'Energy margins'!$Z$12</f>
        <v>269.5</v>
      </c>
      <c r="AC50" s="197">
        <f t="shared" si="134"/>
        <v>4392.8500000000004</v>
      </c>
      <c r="AD50" s="197">
        <f>'Margins summary'!$W$14</f>
        <v>471.64</v>
      </c>
      <c r="AE50" s="197">
        <f t="shared" si="93"/>
        <v>4864.4900000000007</v>
      </c>
      <c r="AF50" s="197"/>
      <c r="AG50" s="913">
        <f>'Energy NPV'!U103</f>
        <v>2207.6999999999998</v>
      </c>
      <c r="AH50" s="197"/>
      <c r="AI50" s="197">
        <f t="shared" si="73"/>
        <v>3311.5499999999997</v>
      </c>
      <c r="AJ50" s="197">
        <f t="shared" si="74"/>
        <v>1081.3000000000006</v>
      </c>
      <c r="AK50" s="197">
        <f t="shared" si="75"/>
        <v>1552.940000000001</v>
      </c>
      <c r="AL50" s="196">
        <f t="shared" si="94"/>
        <v>2743.7611492477895</v>
      </c>
      <c r="AM50" s="197">
        <f t="shared" si="95"/>
        <v>294.58495246394193</v>
      </c>
      <c r="AN50" s="197">
        <f t="shared" si="96"/>
        <v>2068.3843595368644</v>
      </c>
      <c r="AO50" s="197">
        <f t="shared" si="97"/>
        <v>675.37678971092487</v>
      </c>
      <c r="AP50" s="199">
        <f t="shared" si="98"/>
        <v>969.96174217486691</v>
      </c>
      <c r="AQ50" s="196">
        <f t="shared" si="135"/>
        <v>39042.96435122822</v>
      </c>
      <c r="AR50" s="197">
        <f t="shared" si="99"/>
        <v>4898.016188401446</v>
      </c>
      <c r="AS50" s="197">
        <f t="shared" si="99"/>
        <v>49642.863644714438</v>
      </c>
      <c r="AT50" s="197">
        <f t="shared" si="99"/>
        <v>-10599.89929348622</v>
      </c>
      <c r="AU50" s="199">
        <f t="shared" si="99"/>
        <v>-5701.883105084763</v>
      </c>
      <c r="AX50" s="204">
        <f t="shared" si="136"/>
        <v>13</v>
      </c>
      <c r="AY50" s="197">
        <f>'Energy NPV'!$D103</f>
        <v>16.3</v>
      </c>
      <c r="AZ50" s="197">
        <f>'Energy margins'!$Z$12</f>
        <v>269.5</v>
      </c>
      <c r="BA50" s="197">
        <f t="shared" si="137"/>
        <v>4392.8500000000004</v>
      </c>
      <c r="BB50" s="197">
        <f>'Margins summary'!$W$14</f>
        <v>471.64</v>
      </c>
      <c r="BC50" s="197">
        <f t="shared" si="100"/>
        <v>4864.4900000000007</v>
      </c>
      <c r="BD50" s="197"/>
      <c r="BE50" s="913">
        <f>'Energy NPV'!U103</f>
        <v>2207.6999999999998</v>
      </c>
      <c r="BF50" s="197"/>
      <c r="BG50" s="197">
        <f t="shared" si="76"/>
        <v>1103.8499999999999</v>
      </c>
      <c r="BH50" s="197">
        <f t="shared" si="77"/>
        <v>3289.0000000000005</v>
      </c>
      <c r="BI50" s="197">
        <f t="shared" si="78"/>
        <v>3760.6400000000008</v>
      </c>
      <c r="BJ50" s="196">
        <f t="shared" si="101"/>
        <v>2743.7611492477895</v>
      </c>
      <c r="BK50" s="197">
        <f t="shared" si="102"/>
        <v>294.58495246394193</v>
      </c>
      <c r="BL50" s="197">
        <f t="shared" si="103"/>
        <v>689.4614531789548</v>
      </c>
      <c r="BM50" s="197">
        <f t="shared" si="104"/>
        <v>2054.2996960688347</v>
      </c>
      <c r="BN50" s="199">
        <f t="shared" si="105"/>
        <v>2348.8846485327767</v>
      </c>
      <c r="BO50" s="196">
        <f t="shared" si="138"/>
        <v>39042.96435122822</v>
      </c>
      <c r="BP50" s="197">
        <f t="shared" si="106"/>
        <v>4898.016188401446</v>
      </c>
      <c r="BQ50" s="197">
        <f t="shared" si="107"/>
        <v>16547.621214904811</v>
      </c>
      <c r="BR50" s="197">
        <f t="shared" si="108"/>
        <v>22495.343136323412</v>
      </c>
      <c r="BS50" s="199">
        <f t="shared" si="109"/>
        <v>27393.359324724861</v>
      </c>
      <c r="BV50" s="204">
        <f t="shared" si="139"/>
        <v>13</v>
      </c>
      <c r="BW50" s="197">
        <f>'Energy NPV'!$D103</f>
        <v>16.3</v>
      </c>
      <c r="BX50" s="197">
        <f>'Energy margins'!$Z$12</f>
        <v>269.5</v>
      </c>
      <c r="BY50" s="197">
        <f t="shared" si="140"/>
        <v>4392.8500000000004</v>
      </c>
      <c r="BZ50" s="197">
        <f>'Margins summary'!$W$14</f>
        <v>471.64</v>
      </c>
      <c r="CA50" s="197">
        <f t="shared" si="110"/>
        <v>4864.4900000000007</v>
      </c>
      <c r="CB50" s="197"/>
      <c r="CC50" s="913">
        <f>'Energy NPV'!U103</f>
        <v>2207.6999999999998</v>
      </c>
      <c r="CD50" s="197"/>
      <c r="CE50" s="197">
        <f t="shared" si="79"/>
        <v>4415.3999999999996</v>
      </c>
      <c r="CF50" s="197">
        <f t="shared" si="80"/>
        <v>-22.549999999999272</v>
      </c>
      <c r="CG50" s="197">
        <f t="shared" si="81"/>
        <v>449.09000000000106</v>
      </c>
      <c r="CH50" s="196">
        <f t="shared" si="111"/>
        <v>2743.7611492477895</v>
      </c>
      <c r="CI50" s="197">
        <f t="shared" si="112"/>
        <v>294.58495246394193</v>
      </c>
      <c r="CJ50" s="197">
        <f t="shared" si="113"/>
        <v>2757.8458127158192</v>
      </c>
      <c r="CK50" s="197">
        <f t="shared" si="114"/>
        <v>-14.084663468030014</v>
      </c>
      <c r="CL50" s="199">
        <f t="shared" si="115"/>
        <v>280.50028899591211</v>
      </c>
      <c r="CM50" s="196">
        <f t="shared" si="141"/>
        <v>39042.96435122822</v>
      </c>
      <c r="CN50" s="197">
        <f t="shared" si="116"/>
        <v>4898.016188401446</v>
      </c>
      <c r="CO50" s="197">
        <f t="shared" si="117"/>
        <v>66190.484859619246</v>
      </c>
      <c r="CP50" s="197">
        <f t="shared" si="118"/>
        <v>-27147.520508391022</v>
      </c>
      <c r="CQ50" s="199">
        <f t="shared" si="119"/>
        <v>-22249.504319989574</v>
      </c>
      <c r="CT50" s="204">
        <f t="shared" si="142"/>
        <v>13</v>
      </c>
      <c r="CU50" s="197">
        <f>'Energy NPV'!$D103</f>
        <v>16.3</v>
      </c>
      <c r="CV50" s="197">
        <f>'Energy margins'!$Z$12</f>
        <v>269.5</v>
      </c>
      <c r="CW50" s="197">
        <f t="shared" si="143"/>
        <v>4392.8500000000004</v>
      </c>
      <c r="CX50" s="197">
        <f>'Margins summary'!$W$14</f>
        <v>471.64</v>
      </c>
      <c r="CY50" s="197">
        <f t="shared" si="120"/>
        <v>4864.4900000000007</v>
      </c>
      <c r="CZ50" s="197"/>
      <c r="DA50" s="913">
        <f>'Energy NPV'!U103</f>
        <v>2207.6999999999998</v>
      </c>
      <c r="DB50" s="197"/>
      <c r="DC50" s="197">
        <f t="shared" si="82"/>
        <v>0</v>
      </c>
      <c r="DD50" s="197">
        <f t="shared" si="83"/>
        <v>4392.8500000000004</v>
      </c>
      <c r="DE50" s="197">
        <f t="shared" si="84"/>
        <v>4864.4900000000007</v>
      </c>
      <c r="DF50" s="196">
        <f t="shared" si="121"/>
        <v>2743.7611492477895</v>
      </c>
      <c r="DG50" s="197">
        <f t="shared" si="122"/>
        <v>294.58495246394193</v>
      </c>
      <c r="DH50" s="197">
        <f t="shared" si="123"/>
        <v>0</v>
      </c>
      <c r="DI50" s="197">
        <f t="shared" si="124"/>
        <v>2743.7611492477895</v>
      </c>
      <c r="DJ50" s="199">
        <f t="shared" si="125"/>
        <v>3038.3461017117315</v>
      </c>
      <c r="DK50" s="196">
        <f t="shared" si="144"/>
        <v>39042.96435122822</v>
      </c>
      <c r="DL50" s="197">
        <f t="shared" si="126"/>
        <v>4898.016188401446</v>
      </c>
      <c r="DM50" s="197">
        <f t="shared" si="127"/>
        <v>0</v>
      </c>
      <c r="DN50" s="197">
        <f t="shared" si="128"/>
        <v>39042.96435122822</v>
      </c>
      <c r="DO50" s="199">
        <f t="shared" si="129"/>
        <v>43940.980539629672</v>
      </c>
    </row>
    <row r="51" spans="2:129" x14ac:dyDescent="0.3">
      <c r="B51" s="204">
        <f t="shared" si="130"/>
        <v>14</v>
      </c>
      <c r="C51" s="197">
        <f>'Energy NPV'!$D104</f>
        <v>16.3</v>
      </c>
      <c r="D51" s="197">
        <f>'Energy margins'!$Z$12</f>
        <v>269.5</v>
      </c>
      <c r="E51" s="197">
        <f t="shared" si="131"/>
        <v>4392.8500000000004</v>
      </c>
      <c r="F51" s="197">
        <f>'Margins summary'!$W$14</f>
        <v>471.64</v>
      </c>
      <c r="G51" s="197">
        <f t="shared" si="85"/>
        <v>4864.4900000000007</v>
      </c>
      <c r="H51" s="197"/>
      <c r="I51" s="913">
        <f>'Energy NPV'!U104</f>
        <v>2207.6999999999998</v>
      </c>
      <c r="J51" s="197"/>
      <c r="K51" s="197">
        <f t="shared" si="86"/>
        <v>2207.6999999999998</v>
      </c>
      <c r="L51" s="197">
        <f t="shared" si="71"/>
        <v>2185.1500000000005</v>
      </c>
      <c r="M51" s="197">
        <f t="shared" si="72"/>
        <v>2656.7900000000009</v>
      </c>
      <c r="N51" s="196">
        <f t="shared" si="87"/>
        <v>2638.2318742767206</v>
      </c>
      <c r="O51" s="197">
        <f t="shared" si="88"/>
        <v>283.25476198455954</v>
      </c>
      <c r="P51" s="197">
        <f t="shared" si="89"/>
        <v>1325.8874099595284</v>
      </c>
      <c r="Q51" s="197">
        <f t="shared" si="90"/>
        <v>1312.344464317192</v>
      </c>
      <c r="R51" s="199">
        <f t="shared" si="91"/>
        <v>1595.5992263017517</v>
      </c>
      <c r="S51" s="196">
        <f t="shared" si="132"/>
        <v>41681.196225504944</v>
      </c>
      <c r="T51" s="197">
        <f t="shared" si="92"/>
        <v>5181.270950386006</v>
      </c>
      <c r="U51" s="197">
        <f t="shared" si="92"/>
        <v>34421.12983976915</v>
      </c>
      <c r="V51" s="197">
        <f t="shared" si="92"/>
        <v>7260.0663857357922</v>
      </c>
      <c r="W51" s="199">
        <f t="shared" si="92"/>
        <v>12441.3373361218</v>
      </c>
      <c r="Z51" s="204">
        <f t="shared" si="133"/>
        <v>14</v>
      </c>
      <c r="AA51" s="197">
        <f>'Energy NPV'!$D104</f>
        <v>16.3</v>
      </c>
      <c r="AB51" s="197">
        <f>'Energy margins'!$Z$12</f>
        <v>269.5</v>
      </c>
      <c r="AC51" s="197">
        <f t="shared" si="134"/>
        <v>4392.8500000000004</v>
      </c>
      <c r="AD51" s="197">
        <f>'Margins summary'!$W$14</f>
        <v>471.64</v>
      </c>
      <c r="AE51" s="197">
        <f t="shared" si="93"/>
        <v>4864.4900000000007</v>
      </c>
      <c r="AF51" s="197"/>
      <c r="AG51" s="913">
        <f>'Energy NPV'!U104</f>
        <v>2207.6999999999998</v>
      </c>
      <c r="AH51" s="197"/>
      <c r="AI51" s="197">
        <f t="shared" si="73"/>
        <v>3311.5499999999997</v>
      </c>
      <c r="AJ51" s="197">
        <f t="shared" si="74"/>
        <v>1081.3000000000006</v>
      </c>
      <c r="AK51" s="197">
        <f t="shared" si="75"/>
        <v>1552.940000000001</v>
      </c>
      <c r="AL51" s="196">
        <f t="shared" si="94"/>
        <v>2638.2318742767206</v>
      </c>
      <c r="AM51" s="197">
        <f t="shared" si="95"/>
        <v>283.25476198455954</v>
      </c>
      <c r="AN51" s="197">
        <f t="shared" si="96"/>
        <v>1988.8311149392928</v>
      </c>
      <c r="AO51" s="197">
        <f t="shared" si="97"/>
        <v>649.40075933742776</v>
      </c>
      <c r="AP51" s="199">
        <f t="shared" si="98"/>
        <v>932.65552132198741</v>
      </c>
      <c r="AQ51" s="196">
        <f t="shared" si="135"/>
        <v>41681.196225504944</v>
      </c>
      <c r="AR51" s="197">
        <f t="shared" si="99"/>
        <v>5181.270950386006</v>
      </c>
      <c r="AS51" s="197">
        <f t="shared" si="99"/>
        <v>51631.694759653728</v>
      </c>
      <c r="AT51" s="197">
        <f t="shared" si="99"/>
        <v>-9950.4985341487918</v>
      </c>
      <c r="AU51" s="199">
        <f t="shared" si="99"/>
        <v>-4769.2275837627758</v>
      </c>
      <c r="AX51" s="204">
        <f t="shared" si="136"/>
        <v>14</v>
      </c>
      <c r="AY51" s="197">
        <f>'Energy NPV'!$D104</f>
        <v>16.3</v>
      </c>
      <c r="AZ51" s="197">
        <f>'Energy margins'!$Z$12</f>
        <v>269.5</v>
      </c>
      <c r="BA51" s="197">
        <f t="shared" si="137"/>
        <v>4392.8500000000004</v>
      </c>
      <c r="BB51" s="197">
        <f>'Margins summary'!$W$14</f>
        <v>471.64</v>
      </c>
      <c r="BC51" s="197">
        <f t="shared" si="100"/>
        <v>4864.4900000000007</v>
      </c>
      <c r="BD51" s="197"/>
      <c r="BE51" s="913">
        <f>'Energy NPV'!U104</f>
        <v>2207.6999999999998</v>
      </c>
      <c r="BF51" s="197"/>
      <c r="BG51" s="197">
        <f t="shared" si="76"/>
        <v>1103.8499999999999</v>
      </c>
      <c r="BH51" s="197">
        <f t="shared" si="77"/>
        <v>3289.0000000000005</v>
      </c>
      <c r="BI51" s="197">
        <f t="shared" si="78"/>
        <v>3760.6400000000008</v>
      </c>
      <c r="BJ51" s="196">
        <f t="shared" si="101"/>
        <v>2638.2318742767206</v>
      </c>
      <c r="BK51" s="197">
        <f t="shared" si="102"/>
        <v>283.25476198455954</v>
      </c>
      <c r="BL51" s="197">
        <f t="shared" si="103"/>
        <v>662.94370497976422</v>
      </c>
      <c r="BM51" s="197">
        <f t="shared" si="104"/>
        <v>1975.2881692969563</v>
      </c>
      <c r="BN51" s="199">
        <f t="shared" si="105"/>
        <v>2258.5429312815158</v>
      </c>
      <c r="BO51" s="196">
        <f t="shared" si="138"/>
        <v>41681.196225504944</v>
      </c>
      <c r="BP51" s="197">
        <f t="shared" si="106"/>
        <v>5181.270950386006</v>
      </c>
      <c r="BQ51" s="197">
        <f t="shared" si="107"/>
        <v>17210.564919884575</v>
      </c>
      <c r="BR51" s="197">
        <f t="shared" si="108"/>
        <v>24470.631305620369</v>
      </c>
      <c r="BS51" s="199">
        <f t="shared" si="109"/>
        <v>29651.902256006375</v>
      </c>
      <c r="BV51" s="204">
        <f t="shared" si="139"/>
        <v>14</v>
      </c>
      <c r="BW51" s="197">
        <f>'Energy NPV'!$D104</f>
        <v>16.3</v>
      </c>
      <c r="BX51" s="197">
        <f>'Energy margins'!$Z$12</f>
        <v>269.5</v>
      </c>
      <c r="BY51" s="197">
        <f t="shared" si="140"/>
        <v>4392.8500000000004</v>
      </c>
      <c r="BZ51" s="197">
        <f>'Margins summary'!$W$14</f>
        <v>471.64</v>
      </c>
      <c r="CA51" s="197">
        <f t="shared" si="110"/>
        <v>4864.4900000000007</v>
      </c>
      <c r="CB51" s="197"/>
      <c r="CC51" s="913">
        <f>'Energy NPV'!U104</f>
        <v>2207.6999999999998</v>
      </c>
      <c r="CD51" s="197"/>
      <c r="CE51" s="197">
        <f t="shared" si="79"/>
        <v>4415.3999999999996</v>
      </c>
      <c r="CF51" s="197">
        <f t="shared" si="80"/>
        <v>-22.549999999999272</v>
      </c>
      <c r="CG51" s="197">
        <f t="shared" si="81"/>
        <v>449.09000000000106</v>
      </c>
      <c r="CH51" s="196">
        <f t="shared" si="111"/>
        <v>2638.2318742767206</v>
      </c>
      <c r="CI51" s="197">
        <f t="shared" si="112"/>
        <v>283.25476198455954</v>
      </c>
      <c r="CJ51" s="197">
        <f t="shared" si="113"/>
        <v>2651.7748199190569</v>
      </c>
      <c r="CK51" s="197">
        <f t="shared" si="114"/>
        <v>-13.542945642336552</v>
      </c>
      <c r="CL51" s="199">
        <f t="shared" si="115"/>
        <v>269.71181634222319</v>
      </c>
      <c r="CM51" s="196">
        <f t="shared" si="141"/>
        <v>41681.196225504944</v>
      </c>
      <c r="CN51" s="197">
        <f t="shared" si="116"/>
        <v>5181.270950386006</v>
      </c>
      <c r="CO51" s="197">
        <f t="shared" si="117"/>
        <v>68842.2596795383</v>
      </c>
      <c r="CP51" s="197">
        <f t="shared" si="118"/>
        <v>-27161.063454033359</v>
      </c>
      <c r="CQ51" s="199">
        <f t="shared" si="119"/>
        <v>-21979.79250364735</v>
      </c>
      <c r="CT51" s="204">
        <f t="shared" si="142"/>
        <v>14</v>
      </c>
      <c r="CU51" s="197">
        <f>'Energy NPV'!$D104</f>
        <v>16.3</v>
      </c>
      <c r="CV51" s="197">
        <f>'Energy margins'!$Z$12</f>
        <v>269.5</v>
      </c>
      <c r="CW51" s="197">
        <f t="shared" si="143"/>
        <v>4392.8500000000004</v>
      </c>
      <c r="CX51" s="197">
        <f>'Margins summary'!$W$14</f>
        <v>471.64</v>
      </c>
      <c r="CY51" s="197">
        <f t="shared" si="120"/>
        <v>4864.4900000000007</v>
      </c>
      <c r="CZ51" s="197"/>
      <c r="DA51" s="913">
        <f>'Energy NPV'!U104</f>
        <v>2207.6999999999998</v>
      </c>
      <c r="DB51" s="197"/>
      <c r="DC51" s="197">
        <f t="shared" si="82"/>
        <v>0</v>
      </c>
      <c r="DD51" s="197">
        <f t="shared" si="83"/>
        <v>4392.8500000000004</v>
      </c>
      <c r="DE51" s="197">
        <f t="shared" si="84"/>
        <v>4864.4900000000007</v>
      </c>
      <c r="DF51" s="196">
        <f t="shared" si="121"/>
        <v>2638.2318742767206</v>
      </c>
      <c r="DG51" s="197">
        <f t="shared" si="122"/>
        <v>283.25476198455954</v>
      </c>
      <c r="DH51" s="197">
        <f t="shared" si="123"/>
        <v>0</v>
      </c>
      <c r="DI51" s="197">
        <f t="shared" si="124"/>
        <v>2638.2318742767206</v>
      </c>
      <c r="DJ51" s="199">
        <f t="shared" si="125"/>
        <v>2921.4866362612802</v>
      </c>
      <c r="DK51" s="196">
        <f t="shared" si="144"/>
        <v>41681.196225504944</v>
      </c>
      <c r="DL51" s="197">
        <f t="shared" si="126"/>
        <v>5181.270950386006</v>
      </c>
      <c r="DM51" s="197">
        <f t="shared" si="127"/>
        <v>0</v>
      </c>
      <c r="DN51" s="197">
        <f t="shared" si="128"/>
        <v>41681.196225504944</v>
      </c>
      <c r="DO51" s="199">
        <f t="shared" si="129"/>
        <v>46862.467175890954</v>
      </c>
    </row>
    <row r="52" spans="2:129" x14ac:dyDescent="0.3">
      <c r="B52" s="204">
        <f t="shared" si="130"/>
        <v>15</v>
      </c>
      <c r="C52" s="197">
        <f>'Energy NPV'!$D105</f>
        <v>16.3</v>
      </c>
      <c r="D52" s="197">
        <f>'Energy margins'!$Z$12</f>
        <v>269.5</v>
      </c>
      <c r="E52" s="197">
        <f t="shared" si="131"/>
        <v>4392.8500000000004</v>
      </c>
      <c r="F52" s="197">
        <f>'Margins summary'!$W$14</f>
        <v>471.64</v>
      </c>
      <c r="G52" s="197">
        <f t="shared" si="85"/>
        <v>4864.4900000000007</v>
      </c>
      <c r="H52" s="197"/>
      <c r="I52" s="913">
        <f>'Energy NPV'!U105</f>
        <v>2207.6999999999998</v>
      </c>
      <c r="J52" s="197"/>
      <c r="K52" s="197">
        <f t="shared" si="86"/>
        <v>2207.6999999999998</v>
      </c>
      <c r="L52" s="197">
        <f t="shared" si="71"/>
        <v>2185.1500000000005</v>
      </c>
      <c r="M52" s="197">
        <f t="shared" si="72"/>
        <v>2656.7900000000009</v>
      </c>
      <c r="N52" s="196">
        <f t="shared" si="87"/>
        <v>2536.7614175737699</v>
      </c>
      <c r="O52" s="197">
        <f t="shared" si="88"/>
        <v>272.36034806207647</v>
      </c>
      <c r="P52" s="197">
        <f t="shared" si="89"/>
        <v>1274.8917403457006</v>
      </c>
      <c r="Q52" s="197">
        <f t="shared" si="90"/>
        <v>1261.8696772280691</v>
      </c>
      <c r="R52" s="199">
        <f t="shared" si="91"/>
        <v>1534.2300252901459</v>
      </c>
      <c r="S52" s="196">
        <f t="shared" si="132"/>
        <v>44217.957643078713</v>
      </c>
      <c r="T52" s="197">
        <f t="shared" si="92"/>
        <v>5453.6312984480828</v>
      </c>
      <c r="U52" s="197">
        <f t="shared" si="92"/>
        <v>35696.021580114852</v>
      </c>
      <c r="V52" s="197">
        <f t="shared" si="92"/>
        <v>8521.9360629638613</v>
      </c>
      <c r="W52" s="199">
        <f t="shared" si="92"/>
        <v>13975.567361411946</v>
      </c>
      <c r="Z52" s="204">
        <f t="shared" si="133"/>
        <v>15</v>
      </c>
      <c r="AA52" s="197">
        <f>'Energy NPV'!$D105</f>
        <v>16.3</v>
      </c>
      <c r="AB52" s="197">
        <f>'Energy margins'!$Z$12</f>
        <v>269.5</v>
      </c>
      <c r="AC52" s="197">
        <f t="shared" si="134"/>
        <v>4392.8500000000004</v>
      </c>
      <c r="AD52" s="197">
        <f>'Margins summary'!$W$14</f>
        <v>471.64</v>
      </c>
      <c r="AE52" s="197">
        <f t="shared" si="93"/>
        <v>4864.4900000000007</v>
      </c>
      <c r="AF52" s="197"/>
      <c r="AG52" s="913">
        <f>'Energy NPV'!U105</f>
        <v>2207.6999999999998</v>
      </c>
      <c r="AH52" s="197"/>
      <c r="AI52" s="197">
        <f t="shared" si="73"/>
        <v>3311.5499999999997</v>
      </c>
      <c r="AJ52" s="197">
        <f t="shared" si="74"/>
        <v>1081.3000000000006</v>
      </c>
      <c r="AK52" s="197">
        <f t="shared" si="75"/>
        <v>1552.940000000001</v>
      </c>
      <c r="AL52" s="196">
        <f t="shared" si="94"/>
        <v>2536.7614175737699</v>
      </c>
      <c r="AM52" s="197">
        <f t="shared" si="95"/>
        <v>272.36034806207647</v>
      </c>
      <c r="AN52" s="197">
        <f t="shared" si="96"/>
        <v>1912.3376105185507</v>
      </c>
      <c r="AO52" s="197">
        <f t="shared" si="97"/>
        <v>624.42380705521896</v>
      </c>
      <c r="AP52" s="199">
        <f t="shared" si="98"/>
        <v>896.78415511729565</v>
      </c>
      <c r="AQ52" s="196">
        <f t="shared" si="135"/>
        <v>44217.957643078713</v>
      </c>
      <c r="AR52" s="197">
        <f t="shared" si="99"/>
        <v>5453.6312984480828</v>
      </c>
      <c r="AS52" s="197">
        <f t="shared" si="99"/>
        <v>53544.032370172281</v>
      </c>
      <c r="AT52" s="197">
        <f t="shared" si="99"/>
        <v>-9326.0747270935735</v>
      </c>
      <c r="AU52" s="199">
        <f t="shared" si="99"/>
        <v>-3872.4434286454803</v>
      </c>
      <c r="AX52" s="204">
        <f t="shared" si="136"/>
        <v>15</v>
      </c>
      <c r="AY52" s="197">
        <f>'Energy NPV'!$D105</f>
        <v>16.3</v>
      </c>
      <c r="AZ52" s="197">
        <f>'Energy margins'!$Z$12</f>
        <v>269.5</v>
      </c>
      <c r="BA52" s="197">
        <f t="shared" si="137"/>
        <v>4392.8500000000004</v>
      </c>
      <c r="BB52" s="197">
        <f>'Margins summary'!$W$14</f>
        <v>471.64</v>
      </c>
      <c r="BC52" s="197">
        <f t="shared" si="100"/>
        <v>4864.4900000000007</v>
      </c>
      <c r="BD52" s="197"/>
      <c r="BE52" s="913">
        <f>'Energy NPV'!U105</f>
        <v>2207.6999999999998</v>
      </c>
      <c r="BF52" s="197"/>
      <c r="BG52" s="197">
        <f t="shared" si="76"/>
        <v>1103.8499999999999</v>
      </c>
      <c r="BH52" s="197">
        <f t="shared" si="77"/>
        <v>3289.0000000000005</v>
      </c>
      <c r="BI52" s="197">
        <f t="shared" si="78"/>
        <v>3760.6400000000008</v>
      </c>
      <c r="BJ52" s="196">
        <f t="shared" si="101"/>
        <v>2536.7614175737699</v>
      </c>
      <c r="BK52" s="197">
        <f t="shared" si="102"/>
        <v>272.36034806207647</v>
      </c>
      <c r="BL52" s="197">
        <f t="shared" si="103"/>
        <v>637.44587017285028</v>
      </c>
      <c r="BM52" s="197">
        <f t="shared" si="104"/>
        <v>1899.3155474009195</v>
      </c>
      <c r="BN52" s="199">
        <f t="shared" si="105"/>
        <v>2171.6758954629963</v>
      </c>
      <c r="BO52" s="196">
        <f t="shared" si="138"/>
        <v>44217.957643078713</v>
      </c>
      <c r="BP52" s="197">
        <f t="shared" si="106"/>
        <v>5453.6312984480828</v>
      </c>
      <c r="BQ52" s="197">
        <f t="shared" si="107"/>
        <v>17848.010790057426</v>
      </c>
      <c r="BR52" s="197">
        <f t="shared" si="108"/>
        <v>26369.946853021287</v>
      </c>
      <c r="BS52" s="199">
        <f t="shared" si="109"/>
        <v>31823.57815146937</v>
      </c>
      <c r="BV52" s="204">
        <f t="shared" si="139"/>
        <v>15</v>
      </c>
      <c r="BW52" s="197">
        <f>'Energy NPV'!$D105</f>
        <v>16.3</v>
      </c>
      <c r="BX52" s="197">
        <f>'Energy margins'!$Z$12</f>
        <v>269.5</v>
      </c>
      <c r="BY52" s="197">
        <f t="shared" si="140"/>
        <v>4392.8500000000004</v>
      </c>
      <c r="BZ52" s="197">
        <f>'Margins summary'!$W$14</f>
        <v>471.64</v>
      </c>
      <c r="CA52" s="197">
        <f t="shared" si="110"/>
        <v>4864.4900000000007</v>
      </c>
      <c r="CB52" s="197"/>
      <c r="CC52" s="913">
        <f>'Energy NPV'!U105</f>
        <v>2207.6999999999998</v>
      </c>
      <c r="CD52" s="197"/>
      <c r="CE52" s="197">
        <f t="shared" si="79"/>
        <v>4415.3999999999996</v>
      </c>
      <c r="CF52" s="197">
        <f t="shared" si="80"/>
        <v>-22.549999999999272</v>
      </c>
      <c r="CG52" s="197">
        <f t="shared" si="81"/>
        <v>449.09000000000106</v>
      </c>
      <c r="CH52" s="196">
        <f t="shared" si="111"/>
        <v>2536.7614175737699</v>
      </c>
      <c r="CI52" s="197">
        <f t="shared" si="112"/>
        <v>272.36034806207647</v>
      </c>
      <c r="CJ52" s="197">
        <f t="shared" si="113"/>
        <v>2549.7834806914011</v>
      </c>
      <c r="CK52" s="197">
        <f t="shared" si="114"/>
        <v>-13.0220631176313</v>
      </c>
      <c r="CL52" s="199">
        <f t="shared" si="115"/>
        <v>259.33828494444538</v>
      </c>
      <c r="CM52" s="196">
        <f t="shared" si="141"/>
        <v>44217.957643078713</v>
      </c>
      <c r="CN52" s="197">
        <f t="shared" si="116"/>
        <v>5453.6312984480828</v>
      </c>
      <c r="CO52" s="197">
        <f t="shared" si="117"/>
        <v>71392.043160229703</v>
      </c>
      <c r="CP52" s="197">
        <f t="shared" si="118"/>
        <v>-27174.08551715099</v>
      </c>
      <c r="CQ52" s="199">
        <f t="shared" si="119"/>
        <v>-21720.454218702904</v>
      </c>
      <c r="CT52" s="204">
        <f t="shared" si="142"/>
        <v>15</v>
      </c>
      <c r="CU52" s="197">
        <f>'Energy NPV'!$D105</f>
        <v>16.3</v>
      </c>
      <c r="CV52" s="197">
        <f>'Energy margins'!$Z$12</f>
        <v>269.5</v>
      </c>
      <c r="CW52" s="197">
        <f t="shared" si="143"/>
        <v>4392.8500000000004</v>
      </c>
      <c r="CX52" s="197">
        <f>'Margins summary'!$W$14</f>
        <v>471.64</v>
      </c>
      <c r="CY52" s="197">
        <f t="shared" si="120"/>
        <v>4864.4900000000007</v>
      </c>
      <c r="CZ52" s="197"/>
      <c r="DA52" s="913">
        <f>'Energy NPV'!U105</f>
        <v>2207.6999999999998</v>
      </c>
      <c r="DB52" s="197"/>
      <c r="DC52" s="197">
        <f t="shared" si="82"/>
        <v>0</v>
      </c>
      <c r="DD52" s="197">
        <f t="shared" si="83"/>
        <v>4392.8500000000004</v>
      </c>
      <c r="DE52" s="197">
        <f t="shared" si="84"/>
        <v>4864.4900000000007</v>
      </c>
      <c r="DF52" s="196">
        <f t="shared" si="121"/>
        <v>2536.7614175737699</v>
      </c>
      <c r="DG52" s="197">
        <f t="shared" si="122"/>
        <v>272.36034806207647</v>
      </c>
      <c r="DH52" s="197">
        <f t="shared" si="123"/>
        <v>0</v>
      </c>
      <c r="DI52" s="197">
        <f t="shared" si="124"/>
        <v>2536.7614175737699</v>
      </c>
      <c r="DJ52" s="199">
        <f t="shared" si="125"/>
        <v>2809.1217656358463</v>
      </c>
      <c r="DK52" s="196">
        <f t="shared" si="144"/>
        <v>44217.957643078713</v>
      </c>
      <c r="DL52" s="197">
        <f t="shared" si="126"/>
        <v>5453.6312984480828</v>
      </c>
      <c r="DM52" s="197">
        <f t="shared" si="127"/>
        <v>0</v>
      </c>
      <c r="DN52" s="197">
        <f t="shared" si="128"/>
        <v>44217.957643078713</v>
      </c>
      <c r="DO52" s="199">
        <f t="shared" si="129"/>
        <v>49671.588941526803</v>
      </c>
    </row>
    <row r="53" spans="2:129" x14ac:dyDescent="0.3">
      <c r="B53" s="206">
        <f t="shared" si="130"/>
        <v>16</v>
      </c>
      <c r="C53" s="207">
        <f>'Energy NPV'!$D106</f>
        <v>16.3</v>
      </c>
      <c r="D53" s="207">
        <f>'Energy margins'!$Z$12</f>
        <v>269.5</v>
      </c>
      <c r="E53" s="207">
        <f t="shared" si="131"/>
        <v>4392.8500000000004</v>
      </c>
      <c r="F53" s="207">
        <f>'Margins summary'!$W$14</f>
        <v>471.64</v>
      </c>
      <c r="G53" s="207">
        <f t="shared" si="85"/>
        <v>4864.4900000000007</v>
      </c>
      <c r="H53" s="207"/>
      <c r="I53" s="914">
        <f>'Energy NPV'!U106</f>
        <v>2207.6999999999998</v>
      </c>
      <c r="J53" s="207">
        <f>'Energy margins'!$AE$67</f>
        <v>500</v>
      </c>
      <c r="K53" s="207">
        <f t="shared" si="86"/>
        <v>2707.7</v>
      </c>
      <c r="L53" s="207">
        <f t="shared" si="71"/>
        <v>1685.1500000000005</v>
      </c>
      <c r="M53" s="207">
        <f t="shared" si="72"/>
        <v>2156.7900000000009</v>
      </c>
      <c r="N53" s="208">
        <f t="shared" si="87"/>
        <v>2439.1936707440095</v>
      </c>
      <c r="O53" s="207">
        <f t="shared" si="88"/>
        <v>261.88495005968895</v>
      </c>
      <c r="P53" s="207">
        <f t="shared" si="89"/>
        <v>1503.4896939967341</v>
      </c>
      <c r="Q53" s="207">
        <f t="shared" si="90"/>
        <v>935.70397674727531</v>
      </c>
      <c r="R53" s="209">
        <f>M53/(1+$B$4)^(B53-1)</f>
        <v>1197.5889268069645</v>
      </c>
      <c r="S53" s="208">
        <f t="shared" si="132"/>
        <v>46657.151313822724</v>
      </c>
      <c r="T53" s="207">
        <f t="shared" si="92"/>
        <v>5715.5162485077717</v>
      </c>
      <c r="U53" s="207">
        <f t="shared" si="92"/>
        <v>37199.511274111588</v>
      </c>
      <c r="V53" s="207">
        <f t="shared" si="92"/>
        <v>9457.6400397111374</v>
      </c>
      <c r="W53" s="209">
        <f t="shared" si="92"/>
        <v>15173.15628821891</v>
      </c>
      <c r="Z53" s="206">
        <f t="shared" si="133"/>
        <v>16</v>
      </c>
      <c r="AA53" s="207">
        <f>'Energy NPV'!$D106</f>
        <v>16.3</v>
      </c>
      <c r="AB53" s="207">
        <f>'Energy margins'!$Z$12</f>
        <v>269.5</v>
      </c>
      <c r="AC53" s="207">
        <f t="shared" si="134"/>
        <v>4392.8500000000004</v>
      </c>
      <c r="AD53" s="207">
        <f>'Margins summary'!$W$14</f>
        <v>471.64</v>
      </c>
      <c r="AE53" s="207">
        <f t="shared" si="93"/>
        <v>4864.4900000000007</v>
      </c>
      <c r="AF53" s="207"/>
      <c r="AG53" s="914">
        <f>'Energy NPV'!U106</f>
        <v>2207.6999999999998</v>
      </c>
      <c r="AH53" s="207">
        <f>'Energy margins'!$AE$67</f>
        <v>500</v>
      </c>
      <c r="AI53" s="207">
        <f t="shared" si="73"/>
        <v>4061.5499999999997</v>
      </c>
      <c r="AJ53" s="207">
        <f t="shared" si="74"/>
        <v>331.30000000000064</v>
      </c>
      <c r="AK53" s="207">
        <f t="shared" si="75"/>
        <v>802.94000000000096</v>
      </c>
      <c r="AL53" s="208">
        <f t="shared" si="94"/>
        <v>2439.1936707440095</v>
      </c>
      <c r="AM53" s="207">
        <f t="shared" si="95"/>
        <v>261.88495005968895</v>
      </c>
      <c r="AN53" s="207">
        <f t="shared" si="96"/>
        <v>2255.2345409951013</v>
      </c>
      <c r="AO53" s="207">
        <f t="shared" si="97"/>
        <v>183.95912974890828</v>
      </c>
      <c r="AP53" s="209">
        <f>AK53/(1+$B$4)^(Z53-1)</f>
        <v>445.84407980859743</v>
      </c>
      <c r="AQ53" s="208">
        <f t="shared" si="135"/>
        <v>46657.151313822724</v>
      </c>
      <c r="AR53" s="207">
        <f t="shared" si="99"/>
        <v>5715.5162485077717</v>
      </c>
      <c r="AS53" s="207">
        <f t="shared" si="99"/>
        <v>55799.266911167382</v>
      </c>
      <c r="AT53" s="207">
        <f t="shared" si="99"/>
        <v>-9142.1155973446657</v>
      </c>
      <c r="AU53" s="209">
        <f t="shared" si="99"/>
        <v>-3426.5993488368827</v>
      </c>
      <c r="AX53" s="206">
        <f t="shared" si="136"/>
        <v>16</v>
      </c>
      <c r="AY53" s="207">
        <f>'Energy NPV'!$D106</f>
        <v>16.3</v>
      </c>
      <c r="AZ53" s="207">
        <f>'Energy margins'!$Z$12</f>
        <v>269.5</v>
      </c>
      <c r="BA53" s="207">
        <f t="shared" si="137"/>
        <v>4392.8500000000004</v>
      </c>
      <c r="BB53" s="207">
        <f>'Margins summary'!$W$14</f>
        <v>471.64</v>
      </c>
      <c r="BC53" s="207">
        <f t="shared" si="100"/>
        <v>4864.4900000000007</v>
      </c>
      <c r="BD53" s="207"/>
      <c r="BE53" s="914">
        <f>'Energy NPV'!U106</f>
        <v>2207.6999999999998</v>
      </c>
      <c r="BF53" s="207">
        <f>'Energy margins'!$AE$67</f>
        <v>500</v>
      </c>
      <c r="BG53" s="207">
        <f t="shared" si="76"/>
        <v>1353.85</v>
      </c>
      <c r="BH53" s="207">
        <f t="shared" si="77"/>
        <v>3039.0000000000005</v>
      </c>
      <c r="BI53" s="207">
        <f t="shared" si="78"/>
        <v>3510.6400000000008</v>
      </c>
      <c r="BJ53" s="208">
        <f t="shared" si="101"/>
        <v>2439.1936707440095</v>
      </c>
      <c r="BK53" s="207">
        <f t="shared" si="102"/>
        <v>261.88495005968895</v>
      </c>
      <c r="BL53" s="207">
        <f t="shared" si="103"/>
        <v>751.74484699836705</v>
      </c>
      <c r="BM53" s="207">
        <f t="shared" si="104"/>
        <v>1687.4488237456424</v>
      </c>
      <c r="BN53" s="209">
        <f>BI53/(1+$B$4)^(AX53-1)</f>
        <v>1949.3337738053315</v>
      </c>
      <c r="BO53" s="208">
        <f t="shared" si="138"/>
        <v>46657.151313822724</v>
      </c>
      <c r="BP53" s="207">
        <f t="shared" si="106"/>
        <v>5715.5162485077717</v>
      </c>
      <c r="BQ53" s="207">
        <f t="shared" si="107"/>
        <v>18599.755637055794</v>
      </c>
      <c r="BR53" s="207">
        <f t="shared" si="108"/>
        <v>28057.39567676693</v>
      </c>
      <c r="BS53" s="209">
        <f t="shared" si="109"/>
        <v>33772.911925274704</v>
      </c>
      <c r="BV53" s="206">
        <f t="shared" si="139"/>
        <v>16</v>
      </c>
      <c r="BW53" s="207">
        <f>'Energy NPV'!$D106</f>
        <v>16.3</v>
      </c>
      <c r="BX53" s="207">
        <f>'Energy margins'!$Z$12</f>
        <v>269.5</v>
      </c>
      <c r="BY53" s="207">
        <f t="shared" si="140"/>
        <v>4392.8500000000004</v>
      </c>
      <c r="BZ53" s="207">
        <f>'Margins summary'!$W$14</f>
        <v>471.64</v>
      </c>
      <c r="CA53" s="207">
        <f t="shared" si="110"/>
        <v>4864.4900000000007</v>
      </c>
      <c r="CB53" s="207"/>
      <c r="CC53" s="914">
        <f>'Energy NPV'!U106</f>
        <v>2207.6999999999998</v>
      </c>
      <c r="CD53" s="207">
        <f>'Energy margins'!$AE$67</f>
        <v>500</v>
      </c>
      <c r="CE53" s="207">
        <f t="shared" si="79"/>
        <v>5415.4</v>
      </c>
      <c r="CF53" s="207">
        <f t="shared" si="80"/>
        <v>-1022.5499999999993</v>
      </c>
      <c r="CG53" s="207">
        <f t="shared" si="81"/>
        <v>-550.90999999999894</v>
      </c>
      <c r="CH53" s="208">
        <f t="shared" si="111"/>
        <v>2439.1936707440095</v>
      </c>
      <c r="CI53" s="207">
        <f t="shared" si="112"/>
        <v>261.88495005968895</v>
      </c>
      <c r="CJ53" s="207">
        <f t="shared" si="113"/>
        <v>3006.9793879934682</v>
      </c>
      <c r="CK53" s="207">
        <f t="shared" si="114"/>
        <v>-567.7857172494588</v>
      </c>
      <c r="CL53" s="209">
        <f>CG53/(1+$B$4)^(BV53-1)</f>
        <v>-305.90076718976962</v>
      </c>
      <c r="CM53" s="208">
        <f t="shared" si="141"/>
        <v>46657.151313822724</v>
      </c>
      <c r="CN53" s="207">
        <f t="shared" si="116"/>
        <v>5715.5162485077717</v>
      </c>
      <c r="CO53" s="207">
        <f t="shared" si="117"/>
        <v>74399.022548223176</v>
      </c>
      <c r="CP53" s="207">
        <f t="shared" si="118"/>
        <v>-27741.871234400449</v>
      </c>
      <c r="CQ53" s="209">
        <f t="shared" si="119"/>
        <v>-22026.354985892674</v>
      </c>
      <c r="CT53" s="206">
        <f t="shared" si="142"/>
        <v>16</v>
      </c>
      <c r="CU53" s="207">
        <f>'Energy NPV'!$D106</f>
        <v>16.3</v>
      </c>
      <c r="CV53" s="207">
        <f>'Energy margins'!$Z$12</f>
        <v>269.5</v>
      </c>
      <c r="CW53" s="207">
        <f t="shared" si="143"/>
        <v>4392.8500000000004</v>
      </c>
      <c r="CX53" s="207">
        <f>'Margins summary'!$W$14</f>
        <v>471.64</v>
      </c>
      <c r="CY53" s="207">
        <f t="shared" si="120"/>
        <v>4864.4900000000007</v>
      </c>
      <c r="CZ53" s="207"/>
      <c r="DA53" s="914">
        <f>'Energy NPV'!U106</f>
        <v>2207.6999999999998</v>
      </c>
      <c r="DB53" s="207">
        <f>'Energy margins'!$AE$67</f>
        <v>500</v>
      </c>
      <c r="DC53" s="207">
        <f t="shared" si="82"/>
        <v>0</v>
      </c>
      <c r="DD53" s="207">
        <f t="shared" si="83"/>
        <v>4392.8500000000004</v>
      </c>
      <c r="DE53" s="207">
        <f t="shared" si="84"/>
        <v>4864.4900000000007</v>
      </c>
      <c r="DF53" s="208">
        <f t="shared" si="121"/>
        <v>2439.1936707440095</v>
      </c>
      <c r="DG53" s="207">
        <f t="shared" si="122"/>
        <v>261.88495005968895</v>
      </c>
      <c r="DH53" s="207">
        <f t="shared" si="123"/>
        <v>0</v>
      </c>
      <c r="DI53" s="207">
        <f t="shared" si="124"/>
        <v>2439.1936707440095</v>
      </c>
      <c r="DJ53" s="209">
        <f>DE53/(1+$B$4)^(CT53-1)</f>
        <v>2701.0786208036984</v>
      </c>
      <c r="DK53" s="208">
        <f t="shared" si="144"/>
        <v>46657.151313822724</v>
      </c>
      <c r="DL53" s="207">
        <f t="shared" si="126"/>
        <v>5715.5162485077717</v>
      </c>
      <c r="DM53" s="207">
        <f t="shared" si="127"/>
        <v>0</v>
      </c>
      <c r="DN53" s="207">
        <f t="shared" si="128"/>
        <v>46657.151313822724</v>
      </c>
      <c r="DO53" s="209">
        <f t="shared" si="129"/>
        <v>52372.667562330498</v>
      </c>
    </row>
    <row r="59" spans="2:129" x14ac:dyDescent="0.3">
      <c r="B59" s="212" t="s">
        <v>289</v>
      </c>
      <c r="C59" s="760" t="s">
        <v>406</v>
      </c>
      <c r="D59" s="269" t="s">
        <v>397</v>
      </c>
      <c r="E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AB59" s="212" t="s">
        <v>289</v>
      </c>
      <c r="AC59" s="760" t="s">
        <v>407</v>
      </c>
      <c r="AD59" s="267" t="s">
        <v>306</v>
      </c>
      <c r="AE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BB59" s="212" t="s">
        <v>289</v>
      </c>
      <c r="BC59" s="760" t="s">
        <v>408</v>
      </c>
      <c r="BD59" s="267" t="s">
        <v>306</v>
      </c>
      <c r="BH59" s="102"/>
      <c r="BI59" s="102"/>
      <c r="BJ59" s="102"/>
      <c r="BK59" s="102"/>
      <c r="BL59" s="102"/>
      <c r="BM59" s="102"/>
      <c r="BN59" s="102"/>
      <c r="BO59" s="102"/>
      <c r="BP59" s="102"/>
      <c r="BQ59" s="102"/>
      <c r="BR59" s="102"/>
      <c r="BS59" s="102"/>
      <c r="BT59" s="102"/>
      <c r="BU59" s="102"/>
      <c r="BV59" s="102"/>
      <c r="CB59" s="212" t="s">
        <v>289</v>
      </c>
      <c r="CC59" s="760" t="s">
        <v>409</v>
      </c>
      <c r="CD59" s="267" t="s">
        <v>306</v>
      </c>
      <c r="CE59" s="102"/>
      <c r="CH59" s="102"/>
      <c r="CI59" s="102"/>
      <c r="CJ59" s="102"/>
      <c r="CK59" s="102"/>
      <c r="CL59" s="102"/>
      <c r="CM59" s="102"/>
      <c r="CN59" s="102"/>
      <c r="CO59" s="102"/>
      <c r="CP59" s="102"/>
      <c r="CQ59" s="102"/>
      <c r="CR59" s="102"/>
      <c r="CS59" s="102"/>
      <c r="CT59" s="102"/>
      <c r="CU59" s="102"/>
      <c r="CV59" s="102"/>
      <c r="DB59" s="212" t="s">
        <v>289</v>
      </c>
      <c r="DC59" s="760" t="s">
        <v>434</v>
      </c>
      <c r="DD59" s="267" t="s">
        <v>306</v>
      </c>
      <c r="DE59" s="102"/>
      <c r="DH59" s="102"/>
      <c r="DI59" s="102"/>
      <c r="DJ59" s="102"/>
      <c r="DK59" s="102"/>
      <c r="DL59" s="102"/>
      <c r="DM59" s="102"/>
      <c r="DN59" s="102"/>
      <c r="DO59" s="102"/>
      <c r="DP59" s="102"/>
      <c r="DQ59" s="102"/>
      <c r="DR59" s="102"/>
      <c r="DS59" s="102"/>
      <c r="DT59" s="102"/>
      <c r="DU59" s="102"/>
      <c r="DV59" s="102"/>
    </row>
    <row r="60" spans="2:129" x14ac:dyDescent="0.3">
      <c r="B60" s="203"/>
      <c r="C60" s="64"/>
      <c r="E60" s="158"/>
      <c r="F60" s="158"/>
      <c r="G60" s="158"/>
      <c r="H60" s="755"/>
      <c r="I60" s="755"/>
      <c r="J60" s="755"/>
      <c r="K60" s="148"/>
      <c r="L60" s="148"/>
      <c r="M60" s="755"/>
      <c r="N60" s="148"/>
      <c r="O60" s="148"/>
      <c r="P60" s="1011" t="s">
        <v>273</v>
      </c>
      <c r="Q60" s="1012"/>
      <c r="R60" s="1012"/>
      <c r="S60" s="1012"/>
      <c r="T60" s="1013"/>
      <c r="U60" s="1011" t="s">
        <v>274</v>
      </c>
      <c r="V60" s="1012"/>
      <c r="W60" s="1012"/>
      <c r="X60" s="1012"/>
      <c r="Y60" s="1013"/>
      <c r="AB60" s="203"/>
      <c r="AC60" s="64"/>
      <c r="AE60" s="158"/>
      <c r="AF60" s="158"/>
      <c r="AG60" s="158"/>
      <c r="AH60" s="755"/>
      <c r="AI60" s="755"/>
      <c r="AJ60" s="755"/>
      <c r="AK60" s="148"/>
      <c r="AL60" s="148"/>
      <c r="AM60" s="755"/>
      <c r="AN60" s="148"/>
      <c r="AO60" s="148"/>
      <c r="AP60" s="1011" t="s">
        <v>273</v>
      </c>
      <c r="AQ60" s="1012"/>
      <c r="AR60" s="1012"/>
      <c r="AS60" s="1012"/>
      <c r="AT60" s="1013"/>
      <c r="AU60" s="1011" t="s">
        <v>274</v>
      </c>
      <c r="AV60" s="1012"/>
      <c r="AW60" s="1012"/>
      <c r="AX60" s="1012"/>
      <c r="AY60" s="1013"/>
      <c r="BB60" s="203"/>
      <c r="BC60" s="64"/>
      <c r="BE60" s="158"/>
      <c r="BF60" s="158"/>
      <c r="BG60" s="158"/>
      <c r="BH60" s="755"/>
      <c r="BI60" s="755"/>
      <c r="BJ60" s="755"/>
      <c r="BK60" s="148"/>
      <c r="BL60" s="148"/>
      <c r="BM60" s="755"/>
      <c r="BN60" s="148"/>
      <c r="BO60" s="148"/>
      <c r="BP60" s="1011" t="s">
        <v>273</v>
      </c>
      <c r="BQ60" s="1012"/>
      <c r="BR60" s="1012"/>
      <c r="BS60" s="1012"/>
      <c r="BT60" s="1013"/>
      <c r="BU60" s="1011" t="s">
        <v>274</v>
      </c>
      <c r="BV60" s="1012"/>
      <c r="BW60" s="1012"/>
      <c r="BX60" s="1012"/>
      <c r="BY60" s="1013"/>
      <c r="CB60" s="203"/>
      <c r="CC60" s="64"/>
      <c r="CE60" s="158"/>
      <c r="CF60" s="158"/>
      <c r="CG60" s="158"/>
      <c r="CH60" s="755"/>
      <c r="CI60" s="755"/>
      <c r="CJ60" s="755"/>
      <c r="CK60" s="148"/>
      <c r="CL60" s="148"/>
      <c r="CM60" s="755"/>
      <c r="CN60" s="148"/>
      <c r="CO60" s="148"/>
      <c r="CP60" s="1011" t="s">
        <v>273</v>
      </c>
      <c r="CQ60" s="1012"/>
      <c r="CR60" s="1012"/>
      <c r="CS60" s="1012"/>
      <c r="CT60" s="1013"/>
      <c r="CU60" s="1011" t="s">
        <v>274</v>
      </c>
      <c r="CV60" s="1012"/>
      <c r="CW60" s="1012"/>
      <c r="CX60" s="1012"/>
      <c r="CY60" s="1013"/>
      <c r="DB60" s="203"/>
      <c r="DC60" s="64"/>
      <c r="DE60" s="158"/>
      <c r="DF60" s="158"/>
      <c r="DG60" s="158"/>
      <c r="DH60" s="755"/>
      <c r="DI60" s="755"/>
      <c r="DJ60" s="755"/>
      <c r="DK60" s="148"/>
      <c r="DL60" s="148"/>
      <c r="DM60" s="755"/>
      <c r="DN60" s="148"/>
      <c r="DO60" s="148"/>
      <c r="DP60" s="1011" t="s">
        <v>273</v>
      </c>
      <c r="DQ60" s="1012"/>
      <c r="DR60" s="1012"/>
      <c r="DS60" s="1012"/>
      <c r="DT60" s="1013"/>
      <c r="DU60" s="1011" t="s">
        <v>274</v>
      </c>
      <c r="DV60" s="1012"/>
      <c r="DW60" s="1012"/>
      <c r="DX60" s="1012"/>
      <c r="DY60" s="1013"/>
    </row>
    <row r="61" spans="2:129" ht="51" x14ac:dyDescent="0.3">
      <c r="B61" s="204" t="s">
        <v>275</v>
      </c>
      <c r="C61" s="204" t="s">
        <v>276</v>
      </c>
      <c r="D61" s="205" t="s">
        <v>293</v>
      </c>
      <c r="E61" s="205" t="s">
        <v>294</v>
      </c>
      <c r="F61" s="205" t="s">
        <v>686</v>
      </c>
      <c r="G61" s="205" t="s">
        <v>687</v>
      </c>
      <c r="H61" s="171" t="s">
        <v>622</v>
      </c>
      <c r="I61" s="171" t="s">
        <v>591</v>
      </c>
      <c r="J61" s="171" t="s">
        <v>623</v>
      </c>
      <c r="K61" s="205" t="str">
        <f>'Arable NPV'!$G$141</f>
        <v>Total Variable Costs</v>
      </c>
      <c r="L61" s="205" t="str">
        <f>'Arable NPV'!$H$141</f>
        <v>Total Fixed Costs</v>
      </c>
      <c r="M61" s="171" t="s">
        <v>279</v>
      </c>
      <c r="N61" s="171" t="s">
        <v>624</v>
      </c>
      <c r="O61" s="171" t="s">
        <v>625</v>
      </c>
      <c r="P61" s="195" t="s">
        <v>280</v>
      </c>
      <c r="Q61" s="171" t="s">
        <v>626</v>
      </c>
      <c r="R61" s="171" t="s">
        <v>281</v>
      </c>
      <c r="S61" s="171" t="s">
        <v>627</v>
      </c>
      <c r="T61" s="198" t="s">
        <v>282</v>
      </c>
      <c r="U61" s="195" t="s">
        <v>283</v>
      </c>
      <c r="V61" s="171" t="s">
        <v>628</v>
      </c>
      <c r="W61" s="171" t="s">
        <v>284</v>
      </c>
      <c r="X61" s="171" t="s">
        <v>629</v>
      </c>
      <c r="Y61" s="198" t="s">
        <v>285</v>
      </c>
      <c r="AB61" s="204" t="s">
        <v>275</v>
      </c>
      <c r="AC61" s="204" t="s">
        <v>276</v>
      </c>
      <c r="AD61" s="205" t="s">
        <v>293</v>
      </c>
      <c r="AE61" s="205" t="s">
        <v>294</v>
      </c>
      <c r="AF61" s="205" t="s">
        <v>686</v>
      </c>
      <c r="AG61" s="205" t="s">
        <v>687</v>
      </c>
      <c r="AH61" s="171" t="s">
        <v>622</v>
      </c>
      <c r="AI61" s="171" t="s">
        <v>591</v>
      </c>
      <c r="AJ61" s="171" t="s">
        <v>623</v>
      </c>
      <c r="AK61" s="205" t="str">
        <f>'Arable NPV'!$G$141</f>
        <v>Total Variable Costs</v>
      </c>
      <c r="AL61" s="205" t="str">
        <f>'Arable NPV'!$H$141</f>
        <v>Total Fixed Costs</v>
      </c>
      <c r="AM61" s="171" t="s">
        <v>279</v>
      </c>
      <c r="AN61" s="171" t="s">
        <v>624</v>
      </c>
      <c r="AO61" s="171" t="s">
        <v>625</v>
      </c>
      <c r="AP61" s="195" t="s">
        <v>280</v>
      </c>
      <c r="AQ61" s="171" t="s">
        <v>626</v>
      </c>
      <c r="AR61" s="171" t="s">
        <v>281</v>
      </c>
      <c r="AS61" s="171" t="s">
        <v>627</v>
      </c>
      <c r="AT61" s="198" t="s">
        <v>282</v>
      </c>
      <c r="AU61" s="195" t="s">
        <v>283</v>
      </c>
      <c r="AV61" s="171" t="s">
        <v>628</v>
      </c>
      <c r="AW61" s="171" t="s">
        <v>284</v>
      </c>
      <c r="AX61" s="171" t="s">
        <v>629</v>
      </c>
      <c r="AY61" s="198" t="s">
        <v>285</v>
      </c>
      <c r="BB61" s="204" t="s">
        <v>275</v>
      </c>
      <c r="BC61" s="204" t="s">
        <v>276</v>
      </c>
      <c r="BD61" s="205" t="s">
        <v>293</v>
      </c>
      <c r="BE61" s="205" t="s">
        <v>294</v>
      </c>
      <c r="BF61" s="205" t="s">
        <v>686</v>
      </c>
      <c r="BG61" s="205" t="s">
        <v>687</v>
      </c>
      <c r="BH61" s="171" t="s">
        <v>622</v>
      </c>
      <c r="BI61" s="171" t="s">
        <v>591</v>
      </c>
      <c r="BJ61" s="171" t="s">
        <v>623</v>
      </c>
      <c r="BK61" s="205" t="str">
        <f>'Arable NPV'!$G$141</f>
        <v>Total Variable Costs</v>
      </c>
      <c r="BL61" s="205" t="str">
        <f>'Arable NPV'!$H$141</f>
        <v>Total Fixed Costs</v>
      </c>
      <c r="BM61" s="171" t="s">
        <v>279</v>
      </c>
      <c r="BN61" s="171" t="s">
        <v>624</v>
      </c>
      <c r="BO61" s="171" t="s">
        <v>625</v>
      </c>
      <c r="BP61" s="195" t="s">
        <v>280</v>
      </c>
      <c r="BQ61" s="171" t="s">
        <v>626</v>
      </c>
      <c r="BR61" s="171" t="s">
        <v>281</v>
      </c>
      <c r="BS61" s="171" t="s">
        <v>627</v>
      </c>
      <c r="BT61" s="198" t="s">
        <v>282</v>
      </c>
      <c r="BU61" s="195" t="s">
        <v>283</v>
      </c>
      <c r="BV61" s="171" t="s">
        <v>628</v>
      </c>
      <c r="BW61" s="171" t="s">
        <v>284</v>
      </c>
      <c r="BX61" s="171" t="s">
        <v>629</v>
      </c>
      <c r="BY61" s="198" t="s">
        <v>285</v>
      </c>
      <c r="CB61" s="204" t="s">
        <v>275</v>
      </c>
      <c r="CC61" s="204" t="s">
        <v>276</v>
      </c>
      <c r="CD61" s="205" t="s">
        <v>293</v>
      </c>
      <c r="CE61" s="205" t="s">
        <v>294</v>
      </c>
      <c r="CF61" s="205" t="s">
        <v>686</v>
      </c>
      <c r="CG61" s="205" t="s">
        <v>687</v>
      </c>
      <c r="CH61" s="171" t="s">
        <v>622</v>
      </c>
      <c r="CI61" s="171" t="s">
        <v>591</v>
      </c>
      <c r="CJ61" s="171" t="s">
        <v>623</v>
      </c>
      <c r="CK61" s="205" t="str">
        <f>'Arable NPV'!$G$141</f>
        <v>Total Variable Costs</v>
      </c>
      <c r="CL61" s="205" t="str">
        <f>'Arable NPV'!$H$141</f>
        <v>Total Fixed Costs</v>
      </c>
      <c r="CM61" s="171" t="s">
        <v>279</v>
      </c>
      <c r="CN61" s="171" t="s">
        <v>624</v>
      </c>
      <c r="CO61" s="171" t="s">
        <v>625</v>
      </c>
      <c r="CP61" s="195" t="s">
        <v>280</v>
      </c>
      <c r="CQ61" s="171" t="s">
        <v>626</v>
      </c>
      <c r="CR61" s="171" t="s">
        <v>281</v>
      </c>
      <c r="CS61" s="171" t="s">
        <v>627</v>
      </c>
      <c r="CT61" s="198" t="s">
        <v>282</v>
      </c>
      <c r="CU61" s="195" t="s">
        <v>283</v>
      </c>
      <c r="CV61" s="171" t="s">
        <v>628</v>
      </c>
      <c r="CW61" s="171" t="s">
        <v>284</v>
      </c>
      <c r="CX61" s="171" t="s">
        <v>629</v>
      </c>
      <c r="CY61" s="198" t="s">
        <v>285</v>
      </c>
      <c r="DB61" s="204" t="s">
        <v>275</v>
      </c>
      <c r="DC61" s="204" t="s">
        <v>276</v>
      </c>
      <c r="DD61" s="205" t="s">
        <v>293</v>
      </c>
      <c r="DE61" s="205" t="s">
        <v>294</v>
      </c>
      <c r="DF61" s="205" t="s">
        <v>686</v>
      </c>
      <c r="DG61" s="205" t="s">
        <v>687</v>
      </c>
      <c r="DH61" s="171" t="s">
        <v>622</v>
      </c>
      <c r="DI61" s="171" t="s">
        <v>591</v>
      </c>
      <c r="DJ61" s="171" t="s">
        <v>623</v>
      </c>
      <c r="DK61" s="205" t="str">
        <f>'Arable NPV'!$G$141</f>
        <v>Total Variable Costs</v>
      </c>
      <c r="DL61" s="205" t="str">
        <f>'Arable NPV'!$H$141</f>
        <v>Total Fixed Costs</v>
      </c>
      <c r="DM61" s="171" t="s">
        <v>279</v>
      </c>
      <c r="DN61" s="171" t="s">
        <v>624</v>
      </c>
      <c r="DO61" s="171" t="s">
        <v>625</v>
      </c>
      <c r="DP61" s="195" t="s">
        <v>280</v>
      </c>
      <c r="DQ61" s="171" t="s">
        <v>626</v>
      </c>
      <c r="DR61" s="171" t="s">
        <v>281</v>
      </c>
      <c r="DS61" s="171" t="s">
        <v>627</v>
      </c>
      <c r="DT61" s="198" t="s">
        <v>282</v>
      </c>
      <c r="DU61" s="195" t="s">
        <v>283</v>
      </c>
      <c r="DV61" s="171" t="s">
        <v>628</v>
      </c>
      <c r="DW61" s="171" t="s">
        <v>284</v>
      </c>
      <c r="DX61" s="171" t="s">
        <v>629</v>
      </c>
      <c r="DY61" s="198" t="s">
        <v>285</v>
      </c>
    </row>
    <row r="62" spans="2:129" x14ac:dyDescent="0.3">
      <c r="B62" s="173"/>
      <c r="C62" s="55"/>
      <c r="D62" s="226" t="s">
        <v>336</v>
      </c>
      <c r="E62" s="226" t="s">
        <v>573</v>
      </c>
      <c r="F62" s="226" t="s">
        <v>336</v>
      </c>
      <c r="G62" s="226" t="s">
        <v>573</v>
      </c>
      <c r="H62" s="201" t="s">
        <v>571</v>
      </c>
      <c r="I62" s="201" t="s">
        <v>571</v>
      </c>
      <c r="J62" s="201" t="s">
        <v>571</v>
      </c>
      <c r="K62" s="201" t="s">
        <v>571</v>
      </c>
      <c r="L62" s="201" t="s">
        <v>571</v>
      </c>
      <c r="M62" s="201" t="s">
        <v>571</v>
      </c>
      <c r="N62" s="201" t="s">
        <v>571</v>
      </c>
      <c r="O62" s="202" t="s">
        <v>571</v>
      </c>
      <c r="P62" s="201" t="s">
        <v>571</v>
      </c>
      <c r="Q62" s="201" t="s">
        <v>571</v>
      </c>
      <c r="R62" s="201" t="s">
        <v>571</v>
      </c>
      <c r="S62" s="201" t="s">
        <v>571</v>
      </c>
      <c r="T62" s="202" t="s">
        <v>571</v>
      </c>
      <c r="U62" s="201" t="s">
        <v>571</v>
      </c>
      <c r="V62" s="201" t="s">
        <v>571</v>
      </c>
      <c r="W62" s="201" t="s">
        <v>571</v>
      </c>
      <c r="X62" s="201" t="s">
        <v>571</v>
      </c>
      <c r="Y62" s="202" t="s">
        <v>571</v>
      </c>
      <c r="AB62" s="173"/>
      <c r="AC62" s="55"/>
      <c r="AD62" s="226" t="s">
        <v>336</v>
      </c>
      <c r="AE62" s="226" t="s">
        <v>573</v>
      </c>
      <c r="AF62" s="226" t="s">
        <v>336</v>
      </c>
      <c r="AG62" s="226" t="s">
        <v>573</v>
      </c>
      <c r="AH62" s="201" t="s">
        <v>571</v>
      </c>
      <c r="AI62" s="201" t="s">
        <v>571</v>
      </c>
      <c r="AJ62" s="201" t="s">
        <v>571</v>
      </c>
      <c r="AK62" s="201" t="s">
        <v>571</v>
      </c>
      <c r="AL62" s="201" t="s">
        <v>571</v>
      </c>
      <c r="AM62" s="201" t="s">
        <v>571</v>
      </c>
      <c r="AN62" s="201" t="s">
        <v>571</v>
      </c>
      <c r="AO62" s="202" t="s">
        <v>571</v>
      </c>
      <c r="AP62" s="201" t="s">
        <v>571</v>
      </c>
      <c r="AQ62" s="201" t="s">
        <v>571</v>
      </c>
      <c r="AR62" s="201" t="s">
        <v>571</v>
      </c>
      <c r="AS62" s="201" t="s">
        <v>571</v>
      </c>
      <c r="AT62" s="202" t="s">
        <v>571</v>
      </c>
      <c r="AU62" s="201" t="s">
        <v>571</v>
      </c>
      <c r="AV62" s="201" t="s">
        <v>571</v>
      </c>
      <c r="AW62" s="201" t="s">
        <v>571</v>
      </c>
      <c r="AX62" s="201" t="s">
        <v>571</v>
      </c>
      <c r="AY62" s="202" t="s">
        <v>571</v>
      </c>
      <c r="BB62" s="173"/>
      <c r="BC62" s="55"/>
      <c r="BD62" s="226" t="s">
        <v>336</v>
      </c>
      <c r="BE62" s="226" t="s">
        <v>573</v>
      </c>
      <c r="BF62" s="226" t="s">
        <v>336</v>
      </c>
      <c r="BG62" s="226" t="s">
        <v>573</v>
      </c>
      <c r="BH62" s="201" t="s">
        <v>571</v>
      </c>
      <c r="BI62" s="201" t="s">
        <v>571</v>
      </c>
      <c r="BJ62" s="201" t="s">
        <v>571</v>
      </c>
      <c r="BK62" s="201" t="s">
        <v>571</v>
      </c>
      <c r="BL62" s="201" t="s">
        <v>571</v>
      </c>
      <c r="BM62" s="201" t="s">
        <v>571</v>
      </c>
      <c r="BN62" s="201" t="s">
        <v>571</v>
      </c>
      <c r="BO62" s="202" t="s">
        <v>571</v>
      </c>
      <c r="BP62" s="201" t="s">
        <v>571</v>
      </c>
      <c r="BQ62" s="201" t="s">
        <v>571</v>
      </c>
      <c r="BR62" s="201" t="s">
        <v>571</v>
      </c>
      <c r="BS62" s="201" t="s">
        <v>571</v>
      </c>
      <c r="BT62" s="202" t="s">
        <v>571</v>
      </c>
      <c r="BU62" s="201" t="s">
        <v>571</v>
      </c>
      <c r="BV62" s="201" t="s">
        <v>571</v>
      </c>
      <c r="BW62" s="201" t="s">
        <v>571</v>
      </c>
      <c r="BX62" s="201" t="s">
        <v>571</v>
      </c>
      <c r="BY62" s="202" t="s">
        <v>571</v>
      </c>
      <c r="CB62" s="173"/>
      <c r="CC62" s="55"/>
      <c r="CD62" s="226" t="s">
        <v>336</v>
      </c>
      <c r="CE62" s="226" t="s">
        <v>573</v>
      </c>
      <c r="CF62" s="226" t="s">
        <v>336</v>
      </c>
      <c r="CG62" s="226" t="s">
        <v>573</v>
      </c>
      <c r="CH62" s="201" t="s">
        <v>571</v>
      </c>
      <c r="CI62" s="201" t="s">
        <v>571</v>
      </c>
      <c r="CJ62" s="201" t="s">
        <v>571</v>
      </c>
      <c r="CK62" s="201" t="s">
        <v>571</v>
      </c>
      <c r="CL62" s="201" t="s">
        <v>571</v>
      </c>
      <c r="CM62" s="201" t="s">
        <v>571</v>
      </c>
      <c r="CN62" s="201" t="s">
        <v>571</v>
      </c>
      <c r="CO62" s="202" t="s">
        <v>571</v>
      </c>
      <c r="CP62" s="201" t="s">
        <v>571</v>
      </c>
      <c r="CQ62" s="201" t="s">
        <v>571</v>
      </c>
      <c r="CR62" s="201" t="s">
        <v>571</v>
      </c>
      <c r="CS62" s="201" t="s">
        <v>571</v>
      </c>
      <c r="CT62" s="202" t="s">
        <v>571</v>
      </c>
      <c r="CU62" s="201" t="s">
        <v>571</v>
      </c>
      <c r="CV62" s="201" t="s">
        <v>571</v>
      </c>
      <c r="CW62" s="201" t="s">
        <v>571</v>
      </c>
      <c r="CX62" s="201" t="s">
        <v>571</v>
      </c>
      <c r="CY62" s="202" t="s">
        <v>571</v>
      </c>
      <c r="DB62" s="173"/>
      <c r="DC62" s="55"/>
      <c r="DD62" s="226" t="s">
        <v>336</v>
      </c>
      <c r="DE62" s="226" t="s">
        <v>573</v>
      </c>
      <c r="DF62" s="226" t="s">
        <v>336</v>
      </c>
      <c r="DG62" s="226" t="s">
        <v>573</v>
      </c>
      <c r="DH62" s="201" t="s">
        <v>571</v>
      </c>
      <c r="DI62" s="201" t="s">
        <v>571</v>
      </c>
      <c r="DJ62" s="201" t="s">
        <v>571</v>
      </c>
      <c r="DK62" s="201" t="s">
        <v>571</v>
      </c>
      <c r="DL62" s="201" t="s">
        <v>571</v>
      </c>
      <c r="DM62" s="201" t="s">
        <v>571</v>
      </c>
      <c r="DN62" s="201" t="s">
        <v>571</v>
      </c>
      <c r="DO62" s="202" t="s">
        <v>571</v>
      </c>
      <c r="DP62" s="201" t="s">
        <v>571</v>
      </c>
      <c r="DQ62" s="201" t="s">
        <v>571</v>
      </c>
      <c r="DR62" s="201" t="s">
        <v>571</v>
      </c>
      <c r="DS62" s="201" t="s">
        <v>571</v>
      </c>
      <c r="DT62" s="202" t="s">
        <v>571</v>
      </c>
      <c r="DU62" s="201" t="s">
        <v>571</v>
      </c>
      <c r="DV62" s="201" t="s">
        <v>571</v>
      </c>
      <c r="DW62" s="201" t="s">
        <v>571</v>
      </c>
      <c r="DX62" s="201" t="s">
        <v>571</v>
      </c>
      <c r="DY62" s="202" t="s">
        <v>571</v>
      </c>
    </row>
    <row r="63" spans="2:129" x14ac:dyDescent="0.3">
      <c r="B63" s="204">
        <v>1</v>
      </c>
      <c r="C63" s="219" t="s">
        <v>4</v>
      </c>
      <c r="D63" s="757">
        <f>'Arable Inputs'!$D$18</f>
        <v>4.5999999999999996</v>
      </c>
      <c r="E63" s="757">
        <f>'Arable Inputs'!$D$25</f>
        <v>867</v>
      </c>
      <c r="F63" s="757">
        <f>'Arable Inputs'!$D$19</f>
        <v>4.9000000000000004</v>
      </c>
      <c r="G63" s="757">
        <f>'Arable Inputs'!$D$26</f>
        <v>140</v>
      </c>
      <c r="H63" s="759">
        <f>D63*E63+F63*G63</f>
        <v>4674.2</v>
      </c>
      <c r="I63" s="197">
        <f>'Arable NPV'!$E143</f>
        <v>471.64</v>
      </c>
      <c r="J63" s="197">
        <f t="shared" ref="J63:J78" si="145">H63+I63</f>
        <v>5145.84</v>
      </c>
      <c r="K63" s="197">
        <f>'Arable NPV'!$G143</f>
        <v>2731.3292000000006</v>
      </c>
      <c r="L63" s="197">
        <f>'Arable NPV'!$H143</f>
        <v>4055.6064000000006</v>
      </c>
      <c r="M63" s="197">
        <f t="shared" ref="M63:M78" si="146">K63+L63</f>
        <v>6786.9356000000007</v>
      </c>
      <c r="N63" s="197">
        <f t="shared" ref="N63:N78" si="147">H63-M63</f>
        <v>-2112.7356000000009</v>
      </c>
      <c r="O63" s="197">
        <f t="shared" ref="O63:O78" si="148">J63-M63</f>
        <v>-1641.0956000000006</v>
      </c>
      <c r="P63" s="1014">
        <f t="shared" ref="P63:P78" si="149">H63/(1+$B$4)^(B63-1)</f>
        <v>4674.2</v>
      </c>
      <c r="Q63" s="213">
        <f t="shared" ref="Q63:Q78" si="150">I63/(1+$B$4)^(B63-1)</f>
        <v>471.64</v>
      </c>
      <c r="R63" s="213">
        <f t="shared" ref="R63:R78" si="151">M63/(1+$B$4)^(B63-1)</f>
        <v>6786.9356000000007</v>
      </c>
      <c r="S63" s="213">
        <f t="shared" ref="S63:S78" si="152">N63/(1+$B$4)^(B63-1)</f>
        <v>-2112.7356000000009</v>
      </c>
      <c r="T63" s="924">
        <f t="shared" ref="T63:T78" si="153">O63/(1+$B$4)^(B63-1)</f>
        <v>-1641.0956000000006</v>
      </c>
      <c r="U63" s="196">
        <f>P63</f>
        <v>4674.2</v>
      </c>
      <c r="V63" s="197">
        <f>Q63</f>
        <v>471.64</v>
      </c>
      <c r="W63" s="197">
        <f>R63</f>
        <v>6786.9356000000007</v>
      </c>
      <c r="X63" s="197">
        <f>S63</f>
        <v>-2112.7356000000009</v>
      </c>
      <c r="Y63" s="199">
        <f>T63</f>
        <v>-1641.0956000000006</v>
      </c>
      <c r="AB63" s="204">
        <v>1</v>
      </c>
      <c r="AC63" s="219" t="s">
        <v>4</v>
      </c>
      <c r="AD63" s="757">
        <f>'Arable Inputs'!$D$18</f>
        <v>4.5999999999999996</v>
      </c>
      <c r="AE63" s="757">
        <f>'Arable Inputs'!$D$25</f>
        <v>867</v>
      </c>
      <c r="AF63" s="757">
        <f>'Arable Inputs'!$D$19</f>
        <v>4.9000000000000004</v>
      </c>
      <c r="AG63" s="757">
        <f>'Arable Inputs'!$D$26</f>
        <v>140</v>
      </c>
      <c r="AH63" s="759">
        <f>AD63*AE63+AF63*AG63</f>
        <v>4674.2</v>
      </c>
      <c r="AI63" s="197">
        <f>'Arable NPV'!$E143</f>
        <v>471.64</v>
      </c>
      <c r="AJ63" s="197">
        <f t="shared" ref="AJ63:AJ78" si="154">AH63+AI63</f>
        <v>5145.84</v>
      </c>
      <c r="AK63" s="197">
        <f>'Arable NPV'!$G143</f>
        <v>2731.3292000000006</v>
      </c>
      <c r="AL63" s="197">
        <f>'Arable NPV'!$H143</f>
        <v>4055.6064000000006</v>
      </c>
      <c r="AM63" s="197">
        <f>'Arable NPV'!$I143+0.5*'Arable NPV'!$I143</f>
        <v>10180.403400000001</v>
      </c>
      <c r="AN63" s="197">
        <f t="shared" ref="AN63:AN78" si="155">AH63-AM63</f>
        <v>-5506.2034000000012</v>
      </c>
      <c r="AO63" s="197">
        <f t="shared" ref="AO63:AO78" si="156">AJ63-AM63</f>
        <v>-5034.5634000000009</v>
      </c>
      <c r="AP63" s="1014">
        <f t="shared" ref="AP63:AP78" si="157">AH63/(1+$B$4)^(AB63-1)</f>
        <v>4674.2</v>
      </c>
      <c r="AQ63" s="213">
        <f t="shared" ref="AQ63:AQ78" si="158">AI63/(1+$B$4)^(AB63-1)</f>
        <v>471.64</v>
      </c>
      <c r="AR63" s="213">
        <f t="shared" ref="AR63:AR78" si="159">AM63/(1+$B$4)^(AB63-1)</f>
        <v>10180.403400000001</v>
      </c>
      <c r="AS63" s="213">
        <f t="shared" ref="AS63:AS78" si="160">AN63/(1+$B$4)^(AB63-1)</f>
        <v>-5506.2034000000012</v>
      </c>
      <c r="AT63" s="924">
        <f t="shared" ref="AT63:AT78" si="161">AO63/(1+$B$4)^(AB63-1)</f>
        <v>-5034.5634000000009</v>
      </c>
      <c r="AU63" s="196">
        <f>AP63</f>
        <v>4674.2</v>
      </c>
      <c r="AV63" s="197">
        <f>AQ63</f>
        <v>471.64</v>
      </c>
      <c r="AW63" s="197">
        <f>AR63</f>
        <v>10180.403400000001</v>
      </c>
      <c r="AX63" s="197">
        <f>AS63</f>
        <v>-5506.2034000000012</v>
      </c>
      <c r="AY63" s="199">
        <f>AT63</f>
        <v>-5034.5634000000009</v>
      </c>
      <c r="BB63" s="204">
        <v>1</v>
      </c>
      <c r="BC63" s="219" t="s">
        <v>4</v>
      </c>
      <c r="BD63" s="757">
        <f>'Arable Inputs'!$D$18</f>
        <v>4.5999999999999996</v>
      </c>
      <c r="BE63" s="757">
        <f>'Arable Inputs'!$D$25</f>
        <v>867</v>
      </c>
      <c r="BF63" s="757">
        <f>'Arable Inputs'!$D$19</f>
        <v>4.9000000000000004</v>
      </c>
      <c r="BG63" s="757">
        <f>'Arable Inputs'!$D$26</f>
        <v>140</v>
      </c>
      <c r="BH63" s="759">
        <f>BD63*BE63+BF63*BG63</f>
        <v>4674.2</v>
      </c>
      <c r="BI63" s="197">
        <f>'Arable NPV'!$E143</f>
        <v>471.64</v>
      </c>
      <c r="BJ63" s="197">
        <f>BH63+BI63</f>
        <v>5145.84</v>
      </c>
      <c r="BK63" s="197">
        <f>'Arable NPV'!$G143</f>
        <v>2731.3292000000006</v>
      </c>
      <c r="BL63" s="197">
        <f>'Arable NPV'!$H143</f>
        <v>4055.6064000000006</v>
      </c>
      <c r="BM63" s="197">
        <f>'Arable NPV'!$I143-0.5*'Arable NPV'!$I143</f>
        <v>3393.4678000000004</v>
      </c>
      <c r="BN63" s="197">
        <f>BH63-BM63</f>
        <v>1280.7321999999995</v>
      </c>
      <c r="BO63" s="197">
        <f t="shared" ref="BO63:BO78" si="162">BJ63-BM63</f>
        <v>1752.3721999999998</v>
      </c>
      <c r="BP63" s="1014">
        <f t="shared" ref="BP63:BP78" si="163">BH63/(1+$B$4)^(BB63-1)</f>
        <v>4674.2</v>
      </c>
      <c r="BQ63" s="213">
        <f t="shared" ref="BQ63:BQ78" si="164">BI63/(1+$B$4)^(BB63-1)</f>
        <v>471.64</v>
      </c>
      <c r="BR63" s="213">
        <f t="shared" ref="BR63:BR78" si="165">BM63/(1+$B$4)^(BB63-1)</f>
        <v>3393.4678000000004</v>
      </c>
      <c r="BS63" s="213">
        <f t="shared" ref="BS63:BS78" si="166">BN63/(1+$B$4)^(BB63-1)</f>
        <v>1280.7321999999995</v>
      </c>
      <c r="BT63" s="924">
        <f t="shared" ref="BT63:BT78" si="167">BO63/(1+$B$4)^(BB63-1)</f>
        <v>1752.3721999999998</v>
      </c>
      <c r="BU63" s="196">
        <f>BP63</f>
        <v>4674.2</v>
      </c>
      <c r="BV63" s="197">
        <f>BQ63</f>
        <v>471.64</v>
      </c>
      <c r="BW63" s="197">
        <f>BR63</f>
        <v>3393.4678000000004</v>
      </c>
      <c r="BX63" s="197">
        <f>BS63</f>
        <v>1280.7321999999995</v>
      </c>
      <c r="BY63" s="199">
        <f>BT63</f>
        <v>1752.3721999999998</v>
      </c>
      <c r="CB63" s="204">
        <v>1</v>
      </c>
      <c r="CC63" s="219" t="s">
        <v>4</v>
      </c>
      <c r="CD63" s="757">
        <f>'Arable Inputs'!$D$18</f>
        <v>4.5999999999999996</v>
      </c>
      <c r="CE63" s="757">
        <f>'Arable Inputs'!$D$25</f>
        <v>867</v>
      </c>
      <c r="CF63" s="757">
        <f>'Arable Inputs'!$D$19</f>
        <v>4.9000000000000004</v>
      </c>
      <c r="CG63" s="757">
        <f>'Arable Inputs'!$D$26</f>
        <v>140</v>
      </c>
      <c r="CH63" s="759">
        <f>CD63*CE63+CF63*CG63</f>
        <v>4674.2</v>
      </c>
      <c r="CI63" s="197">
        <f>'Arable NPV'!$E143</f>
        <v>471.64</v>
      </c>
      <c r="CJ63" s="197">
        <f t="shared" ref="CJ63:CJ78" si="168">CH63+CI63</f>
        <v>5145.84</v>
      </c>
      <c r="CK63" s="197">
        <f>'Arable NPV'!$G143</f>
        <v>2731.3292000000006</v>
      </c>
      <c r="CL63" s="197">
        <f>'Arable NPV'!$H143</f>
        <v>4055.6064000000006</v>
      </c>
      <c r="CM63" s="197">
        <f>'Arable NPV'!$I143+'Arable NPV'!$I143</f>
        <v>13573.871200000001</v>
      </c>
      <c r="CN63" s="197">
        <f t="shared" ref="CN63:CN78" si="169">CH63-CM63</f>
        <v>-8899.6712000000007</v>
      </c>
      <c r="CO63" s="197">
        <f t="shared" ref="CO63:CO78" si="170">CJ63-CM63</f>
        <v>-8428.0312000000013</v>
      </c>
      <c r="CP63" s="1014">
        <f t="shared" ref="CP63:CP78" si="171">CH63/(1+$B$4)^(CB63-1)</f>
        <v>4674.2</v>
      </c>
      <c r="CQ63" s="213">
        <f t="shared" ref="CQ63:CQ78" si="172">CI63/(1+$B$4)^(CB63-1)</f>
        <v>471.64</v>
      </c>
      <c r="CR63" s="213">
        <f t="shared" ref="CR63:CR78" si="173">CM63/(1+$B$4)^(CB63-1)</f>
        <v>13573.871200000001</v>
      </c>
      <c r="CS63" s="213">
        <f t="shared" ref="CS63:CS78" si="174">CN63/(1+$B$4)^(CB63-1)</f>
        <v>-8899.6712000000007</v>
      </c>
      <c r="CT63" s="924">
        <f t="shared" ref="CT63:CT78" si="175">CO63/(1+$B$4)^(CB63-1)</f>
        <v>-8428.0312000000013</v>
      </c>
      <c r="CU63" s="196">
        <f>CP63</f>
        <v>4674.2</v>
      </c>
      <c r="CV63" s="197">
        <f>CQ63</f>
        <v>471.64</v>
      </c>
      <c r="CW63" s="197">
        <f>CR63</f>
        <v>13573.871200000001</v>
      </c>
      <c r="CX63" s="197">
        <f>CS63</f>
        <v>-8899.6712000000007</v>
      </c>
      <c r="CY63" s="199">
        <f>CT63</f>
        <v>-8428.0312000000013</v>
      </c>
      <c r="DB63" s="204">
        <v>1</v>
      </c>
      <c r="DC63" s="219" t="s">
        <v>4</v>
      </c>
      <c r="DD63" s="757">
        <f>'Arable Inputs'!$D$18</f>
        <v>4.5999999999999996</v>
      </c>
      <c r="DE63" s="757">
        <f>'Arable Inputs'!$D$25</f>
        <v>867</v>
      </c>
      <c r="DF63" s="757">
        <f>'Arable Inputs'!$D$19</f>
        <v>4.9000000000000004</v>
      </c>
      <c r="DG63" s="757">
        <f>'Arable Inputs'!$D$26</f>
        <v>140</v>
      </c>
      <c r="DH63" s="759">
        <f>DD63*DE63+DF63*DG63</f>
        <v>4674.2</v>
      </c>
      <c r="DI63" s="197">
        <f>'Arable NPV'!$E143</f>
        <v>471.64</v>
      </c>
      <c r="DJ63" s="197">
        <f t="shared" ref="DJ63:DJ78" si="176">DH63+DI63</f>
        <v>5145.84</v>
      </c>
      <c r="DK63" s="197">
        <f>'Arable NPV'!$G143</f>
        <v>2731.3292000000006</v>
      </c>
      <c r="DL63" s="197">
        <f>'Arable NPV'!$H143</f>
        <v>4055.6064000000006</v>
      </c>
      <c r="DM63" s="197">
        <f>'Arable NPV'!$I143-'Arable NPV'!$I143</f>
        <v>0</v>
      </c>
      <c r="DN63" s="197">
        <f t="shared" ref="DN63:DN78" si="177">DH63-DM63</f>
        <v>4674.2</v>
      </c>
      <c r="DO63" s="197">
        <f t="shared" ref="DO63:DO78" si="178">DJ63-DM63</f>
        <v>5145.84</v>
      </c>
      <c r="DP63" s="1014">
        <f t="shared" ref="DP63:DP78" si="179">DH63/(1+$B$4)^(DB63-1)</f>
        <v>4674.2</v>
      </c>
      <c r="DQ63" s="213">
        <f t="shared" ref="DQ63:DQ78" si="180">DI63/(1+$B$4)^(DB63-1)</f>
        <v>471.64</v>
      </c>
      <c r="DR63" s="213">
        <f t="shared" ref="DR63:DR78" si="181">DM63/(1+$B$4)^(DB63-1)</f>
        <v>0</v>
      </c>
      <c r="DS63" s="213">
        <f t="shared" ref="DS63:DS78" si="182">DN63/(1+$B$4)^(DB63-1)</f>
        <v>4674.2</v>
      </c>
      <c r="DT63" s="924">
        <f t="shared" ref="DT63:DT78" si="183">DO63/(1+$B$4)^(DB63-1)</f>
        <v>5145.84</v>
      </c>
      <c r="DU63" s="196">
        <f>DP63</f>
        <v>4674.2</v>
      </c>
      <c r="DV63" s="197">
        <f>DQ63</f>
        <v>471.64</v>
      </c>
      <c r="DW63" s="197">
        <f>DR63</f>
        <v>0</v>
      </c>
      <c r="DX63" s="197">
        <f>DS63</f>
        <v>4674.2</v>
      </c>
      <c r="DY63" s="199">
        <f>DT63</f>
        <v>5145.84</v>
      </c>
    </row>
    <row r="64" spans="2:129" x14ac:dyDescent="0.3">
      <c r="B64" s="204">
        <v>2</v>
      </c>
      <c r="C64" s="219" t="s">
        <v>6</v>
      </c>
      <c r="D64" s="757">
        <f>'Arable Inputs'!$G$18</f>
        <v>56.8</v>
      </c>
      <c r="E64" s="757">
        <f>'Arable Inputs'!$G$25</f>
        <v>120</v>
      </c>
      <c r="F64" s="757"/>
      <c r="G64" s="757"/>
      <c r="H64" s="759">
        <f>D64*E64</f>
        <v>6816</v>
      </c>
      <c r="I64" s="197">
        <f>'Arable NPV'!$E144</f>
        <v>471.64</v>
      </c>
      <c r="J64" s="197">
        <f t="shared" si="145"/>
        <v>7287.64</v>
      </c>
      <c r="K64" s="197">
        <f>'Arable NPV'!$G144</f>
        <v>3648.3062999999997</v>
      </c>
      <c r="L64" s="197">
        <f>'Arable NPV'!$H144</f>
        <v>3375.8132000000005</v>
      </c>
      <c r="M64" s="197">
        <f t="shared" si="146"/>
        <v>7024.1195000000007</v>
      </c>
      <c r="N64" s="197">
        <f t="shared" si="147"/>
        <v>-208.1195000000007</v>
      </c>
      <c r="O64" s="197">
        <f t="shared" si="148"/>
        <v>263.52049999999963</v>
      </c>
      <c r="P64" s="196">
        <f t="shared" si="149"/>
        <v>6553.8461538461534</v>
      </c>
      <c r="Q64" s="197">
        <f t="shared" si="150"/>
        <v>453.49999999999994</v>
      </c>
      <c r="R64" s="197">
        <f t="shared" si="151"/>
        <v>6753.9610576923078</v>
      </c>
      <c r="S64" s="197">
        <f t="shared" si="152"/>
        <v>-200.1149038461545</v>
      </c>
      <c r="T64" s="199">
        <f t="shared" si="153"/>
        <v>253.38509615384578</v>
      </c>
      <c r="U64" s="196">
        <f t="shared" ref="U64:U78" si="184">U63+P64</f>
        <v>11228.046153846153</v>
      </c>
      <c r="V64" s="197">
        <f t="shared" ref="V64:V78" si="185">V63+Q64</f>
        <v>925.13999999999987</v>
      </c>
      <c r="W64" s="197">
        <f t="shared" ref="W64:W78" si="186">W63+R64</f>
        <v>13540.896657692309</v>
      </c>
      <c r="X64" s="197">
        <f t="shared" ref="X64:X78" si="187">X63+S64</f>
        <v>-2312.8505038461553</v>
      </c>
      <c r="Y64" s="199">
        <f t="shared" ref="Y64:Y78" si="188">Y63+T64</f>
        <v>-1387.7105038461548</v>
      </c>
      <c r="AB64" s="204">
        <v>2</v>
      </c>
      <c r="AC64" s="219" t="s">
        <v>6</v>
      </c>
      <c r="AD64" s="757">
        <f>'Arable Inputs'!$G$18</f>
        <v>56.8</v>
      </c>
      <c r="AE64" s="757">
        <f>'Arable Inputs'!$G$25</f>
        <v>120</v>
      </c>
      <c r="AF64" s="757"/>
      <c r="AG64" s="757"/>
      <c r="AH64" s="759">
        <f>AD64*AE64</f>
        <v>6816</v>
      </c>
      <c r="AI64" s="197">
        <f>'Arable NPV'!$E144</f>
        <v>471.64</v>
      </c>
      <c r="AJ64" s="197">
        <f t="shared" si="154"/>
        <v>7287.64</v>
      </c>
      <c r="AK64" s="197">
        <f>'Arable NPV'!$G144</f>
        <v>3648.3062999999997</v>
      </c>
      <c r="AL64" s="197">
        <f>'Arable NPV'!$H144</f>
        <v>3375.8132000000005</v>
      </c>
      <c r="AM64" s="197">
        <f>'Arable NPV'!$I144+0.5*'Arable NPV'!$I144</f>
        <v>10536.179250000001</v>
      </c>
      <c r="AN64" s="197">
        <f t="shared" si="155"/>
        <v>-3720.179250000001</v>
      </c>
      <c r="AO64" s="197">
        <f t="shared" si="156"/>
        <v>-3248.5392500000007</v>
      </c>
      <c r="AP64" s="196">
        <f t="shared" si="157"/>
        <v>6553.8461538461534</v>
      </c>
      <c r="AQ64" s="197">
        <f t="shared" si="158"/>
        <v>453.49999999999994</v>
      </c>
      <c r="AR64" s="197">
        <f t="shared" si="159"/>
        <v>10130.941586538462</v>
      </c>
      <c r="AS64" s="197">
        <f t="shared" si="160"/>
        <v>-3577.0954326923088</v>
      </c>
      <c r="AT64" s="199">
        <f t="shared" si="161"/>
        <v>-3123.5954326923083</v>
      </c>
      <c r="AU64" s="196">
        <f t="shared" ref="AU64:AU78" si="189">AU63+AP64</f>
        <v>11228.046153846153</v>
      </c>
      <c r="AV64" s="197">
        <f t="shared" ref="AV64:AV78" si="190">AV63+AQ64</f>
        <v>925.13999999999987</v>
      </c>
      <c r="AW64" s="197">
        <f t="shared" ref="AW64:AW78" si="191">AW63+AR64</f>
        <v>20311.344986538461</v>
      </c>
      <c r="AX64" s="197">
        <f t="shared" ref="AX64:AX78" si="192">AX63+AS64</f>
        <v>-9083.2988326923096</v>
      </c>
      <c r="AY64" s="199">
        <f t="shared" ref="AY64:AY78" si="193">AY63+AT64</f>
        <v>-8158.1588326923093</v>
      </c>
      <c r="BB64" s="204">
        <v>2</v>
      </c>
      <c r="BC64" s="219" t="s">
        <v>6</v>
      </c>
      <c r="BD64" s="757">
        <f>'Arable Inputs'!$G$18</f>
        <v>56.8</v>
      </c>
      <c r="BE64" s="757">
        <f>'Arable Inputs'!$G$25</f>
        <v>120</v>
      </c>
      <c r="BF64" s="757"/>
      <c r="BG64" s="757"/>
      <c r="BH64" s="759">
        <f>BD64*BE64</f>
        <v>6816</v>
      </c>
      <c r="BI64" s="197">
        <f>'Arable NPV'!$E144</f>
        <v>471.64</v>
      </c>
      <c r="BJ64" s="197">
        <f t="shared" ref="BJ64:BJ78" si="194">BH64+BI64</f>
        <v>7287.64</v>
      </c>
      <c r="BK64" s="197">
        <f>'Arable NPV'!$G144</f>
        <v>3648.3062999999997</v>
      </c>
      <c r="BL64" s="197">
        <f>'Arable NPV'!$H144</f>
        <v>3375.8132000000005</v>
      </c>
      <c r="BM64" s="197">
        <f>'Arable NPV'!$I144-0.5*'Arable NPV'!$I144</f>
        <v>3512.0597500000003</v>
      </c>
      <c r="BN64" s="197">
        <f t="shared" ref="BN64:BN78" si="195">BH64-BM64</f>
        <v>3303.9402499999997</v>
      </c>
      <c r="BO64" s="197">
        <f t="shared" si="162"/>
        <v>3775.58025</v>
      </c>
      <c r="BP64" s="196">
        <f t="shared" si="163"/>
        <v>6553.8461538461534</v>
      </c>
      <c r="BQ64" s="197">
        <f t="shared" si="164"/>
        <v>453.49999999999994</v>
      </c>
      <c r="BR64" s="197">
        <f t="shared" si="165"/>
        <v>3376.9805288461539</v>
      </c>
      <c r="BS64" s="197">
        <f t="shared" si="166"/>
        <v>3176.8656249999995</v>
      </c>
      <c r="BT64" s="199">
        <f t="shared" si="167"/>
        <v>3630.3656249999999</v>
      </c>
      <c r="BU64" s="196">
        <f t="shared" ref="BU64:BU78" si="196">BU63+BP64</f>
        <v>11228.046153846153</v>
      </c>
      <c r="BV64" s="197">
        <f t="shared" ref="BV64:BV78" si="197">BV63+BQ64</f>
        <v>925.13999999999987</v>
      </c>
      <c r="BW64" s="197">
        <f t="shared" ref="BW64:BW78" si="198">BW63+BR64</f>
        <v>6770.4483288461543</v>
      </c>
      <c r="BX64" s="197">
        <f t="shared" ref="BX64:BX78" si="199">BX63+BS64</f>
        <v>4457.5978249999989</v>
      </c>
      <c r="BY64" s="199">
        <f t="shared" ref="BY64:BY78" si="200">BY63+BT64</f>
        <v>5382.7378250000002</v>
      </c>
      <c r="CB64" s="204">
        <v>2</v>
      </c>
      <c r="CC64" s="219" t="s">
        <v>6</v>
      </c>
      <c r="CD64" s="757">
        <f>'Arable Inputs'!$G$18</f>
        <v>56.8</v>
      </c>
      <c r="CE64" s="757">
        <f>'Arable Inputs'!$G$25</f>
        <v>120</v>
      </c>
      <c r="CF64" s="757"/>
      <c r="CG64" s="757"/>
      <c r="CH64" s="759">
        <f>CD64*CE64</f>
        <v>6816</v>
      </c>
      <c r="CI64" s="197">
        <f>'Arable NPV'!$E144</f>
        <v>471.64</v>
      </c>
      <c r="CJ64" s="197">
        <f t="shared" si="168"/>
        <v>7287.64</v>
      </c>
      <c r="CK64" s="197">
        <f>'Arable NPV'!$G144</f>
        <v>3648.3062999999997</v>
      </c>
      <c r="CL64" s="197">
        <f>'Arable NPV'!$H144</f>
        <v>3375.8132000000005</v>
      </c>
      <c r="CM64" s="197">
        <f>'Arable NPV'!$I144+'Arable NPV'!$I144</f>
        <v>14048.239000000001</v>
      </c>
      <c r="CN64" s="197">
        <f t="shared" si="169"/>
        <v>-7232.2390000000014</v>
      </c>
      <c r="CO64" s="197">
        <f t="shared" si="170"/>
        <v>-6760.5990000000011</v>
      </c>
      <c r="CP64" s="196">
        <f t="shared" si="171"/>
        <v>6553.8461538461534</v>
      </c>
      <c r="CQ64" s="197">
        <f t="shared" si="172"/>
        <v>453.49999999999994</v>
      </c>
      <c r="CR64" s="197">
        <f t="shared" si="173"/>
        <v>13507.922115384616</v>
      </c>
      <c r="CS64" s="197">
        <f t="shared" si="174"/>
        <v>-6954.0759615384623</v>
      </c>
      <c r="CT64" s="199">
        <f t="shared" si="175"/>
        <v>-6500.5759615384623</v>
      </c>
      <c r="CU64" s="196">
        <f t="shared" ref="CU64:CU78" si="201">CU63+CP64</f>
        <v>11228.046153846153</v>
      </c>
      <c r="CV64" s="197">
        <f t="shared" ref="CV64:CV78" si="202">CV63+CQ64</f>
        <v>925.13999999999987</v>
      </c>
      <c r="CW64" s="197">
        <f t="shared" ref="CW64:CW78" si="203">CW63+CR64</f>
        <v>27081.793315384617</v>
      </c>
      <c r="CX64" s="197">
        <f t="shared" ref="CX64:CX78" si="204">CX63+CS64</f>
        <v>-15853.747161538464</v>
      </c>
      <c r="CY64" s="199">
        <f t="shared" ref="CY64:CY78" si="205">CY63+CT64</f>
        <v>-14928.607161538464</v>
      </c>
      <c r="DB64" s="204">
        <v>2</v>
      </c>
      <c r="DC64" s="219" t="s">
        <v>6</v>
      </c>
      <c r="DD64" s="757">
        <f>'Arable Inputs'!$G$18</f>
        <v>56.8</v>
      </c>
      <c r="DE64" s="757">
        <f>'Arable Inputs'!$G$25</f>
        <v>120</v>
      </c>
      <c r="DF64" s="757"/>
      <c r="DG64" s="757"/>
      <c r="DH64" s="759">
        <f>DD64*DE64</f>
        <v>6816</v>
      </c>
      <c r="DI64" s="197">
        <f>'Arable NPV'!$E144</f>
        <v>471.64</v>
      </c>
      <c r="DJ64" s="197">
        <f t="shared" si="176"/>
        <v>7287.64</v>
      </c>
      <c r="DK64" s="197">
        <f>'Arable NPV'!$G144</f>
        <v>3648.3062999999997</v>
      </c>
      <c r="DL64" s="197">
        <f>'Arable NPV'!$H144</f>
        <v>3375.8132000000005</v>
      </c>
      <c r="DM64" s="197">
        <f>'Arable NPV'!$I144-'Arable NPV'!$I144</f>
        <v>0</v>
      </c>
      <c r="DN64" s="197">
        <f t="shared" si="177"/>
        <v>6816</v>
      </c>
      <c r="DO64" s="197">
        <f t="shared" si="178"/>
        <v>7287.64</v>
      </c>
      <c r="DP64" s="196">
        <f t="shared" si="179"/>
        <v>6553.8461538461534</v>
      </c>
      <c r="DQ64" s="197">
        <f t="shared" si="180"/>
        <v>453.49999999999994</v>
      </c>
      <c r="DR64" s="197">
        <f t="shared" si="181"/>
        <v>0</v>
      </c>
      <c r="DS64" s="197">
        <f t="shared" si="182"/>
        <v>6553.8461538461534</v>
      </c>
      <c r="DT64" s="199">
        <f t="shared" si="183"/>
        <v>7007.3461538461543</v>
      </c>
      <c r="DU64" s="196">
        <f t="shared" ref="DU64:DU78" si="206">DU63+DP64</f>
        <v>11228.046153846153</v>
      </c>
      <c r="DV64" s="197">
        <f t="shared" ref="DV64:DV78" si="207">DV63+DQ64</f>
        <v>925.13999999999987</v>
      </c>
      <c r="DW64" s="197">
        <f t="shared" ref="DW64:DW78" si="208">DW63+DR64</f>
        <v>0</v>
      </c>
      <c r="DX64" s="197">
        <f t="shared" ref="DX64:DX78" si="209">DX63+DS64</f>
        <v>11228.046153846153</v>
      </c>
      <c r="DY64" s="199">
        <f t="shared" ref="DY64:DY78" si="210">DY63+DT64</f>
        <v>12153.186153846154</v>
      </c>
    </row>
    <row r="65" spans="2:129" x14ac:dyDescent="0.3">
      <c r="B65" s="204">
        <f t="shared" ref="B65:B78" si="211">B64+1</f>
        <v>3</v>
      </c>
      <c r="C65" s="219" t="s">
        <v>29</v>
      </c>
      <c r="D65" s="757">
        <f>'Arable Inputs'!$H$18</f>
        <v>12</v>
      </c>
      <c r="E65" s="757">
        <f>'Arable Inputs'!$H$25</f>
        <v>724</v>
      </c>
      <c r="F65" s="757"/>
      <c r="G65" s="757"/>
      <c r="H65" s="759">
        <f>D65*E65</f>
        <v>8688</v>
      </c>
      <c r="I65" s="197">
        <f>'Arable NPV'!$E145</f>
        <v>471.64</v>
      </c>
      <c r="J65" s="197">
        <f t="shared" si="145"/>
        <v>9159.64</v>
      </c>
      <c r="K65" s="197">
        <f>'Arable NPV'!$G145</f>
        <v>2474.37212</v>
      </c>
      <c r="L65" s="197">
        <f>'Arable NPV'!$H145</f>
        <v>3226.3624</v>
      </c>
      <c r="M65" s="197">
        <f t="shared" si="146"/>
        <v>5700.73452</v>
      </c>
      <c r="N65" s="197">
        <f t="shared" si="147"/>
        <v>2987.26548</v>
      </c>
      <c r="O65" s="197">
        <f t="shared" si="148"/>
        <v>3458.9054799999994</v>
      </c>
      <c r="P65" s="196">
        <f t="shared" si="149"/>
        <v>8032.5443786982241</v>
      </c>
      <c r="Q65" s="197">
        <f t="shared" si="150"/>
        <v>436.05769230769226</v>
      </c>
      <c r="R65" s="197">
        <f t="shared" si="151"/>
        <v>5270.6495192307684</v>
      </c>
      <c r="S65" s="197">
        <f t="shared" si="152"/>
        <v>2761.8948594674553</v>
      </c>
      <c r="T65" s="199">
        <f t="shared" si="153"/>
        <v>3197.9525517751472</v>
      </c>
      <c r="U65" s="196">
        <f t="shared" si="184"/>
        <v>19260.590532544378</v>
      </c>
      <c r="V65" s="197">
        <f t="shared" si="185"/>
        <v>1361.1976923076923</v>
      </c>
      <c r="W65" s="197">
        <f t="shared" si="186"/>
        <v>18811.546176923075</v>
      </c>
      <c r="X65" s="197">
        <f t="shared" si="187"/>
        <v>449.04435562129993</v>
      </c>
      <c r="Y65" s="199">
        <f t="shared" si="188"/>
        <v>1810.2420479289924</v>
      </c>
      <c r="AB65" s="204">
        <f t="shared" ref="AB65:AB78" si="212">AB64+1</f>
        <v>3</v>
      </c>
      <c r="AC65" s="219" t="s">
        <v>29</v>
      </c>
      <c r="AD65" s="757">
        <f>'Arable Inputs'!$H$18</f>
        <v>12</v>
      </c>
      <c r="AE65" s="757">
        <f>'Arable Inputs'!$H$25</f>
        <v>724</v>
      </c>
      <c r="AF65" s="757"/>
      <c r="AG65" s="757"/>
      <c r="AH65" s="759">
        <f>AD65*AE65</f>
        <v>8688</v>
      </c>
      <c r="AI65" s="197">
        <f>'Arable NPV'!$E145</f>
        <v>471.64</v>
      </c>
      <c r="AJ65" s="197">
        <f t="shared" si="154"/>
        <v>9159.64</v>
      </c>
      <c r="AK65" s="197">
        <f>'Arable NPV'!$G145</f>
        <v>2474.37212</v>
      </c>
      <c r="AL65" s="197">
        <f>'Arable NPV'!$H145</f>
        <v>3226.3624</v>
      </c>
      <c r="AM65" s="197">
        <f>'Arable NPV'!$I145+0.5*'Arable NPV'!$I145</f>
        <v>8551.1017800000009</v>
      </c>
      <c r="AN65" s="197">
        <f t="shared" si="155"/>
        <v>136.89821999999913</v>
      </c>
      <c r="AO65" s="197">
        <f t="shared" si="156"/>
        <v>608.53821999999855</v>
      </c>
      <c r="AP65" s="196">
        <f t="shared" si="157"/>
        <v>8032.5443786982241</v>
      </c>
      <c r="AQ65" s="197">
        <f t="shared" si="158"/>
        <v>436.05769230769226</v>
      </c>
      <c r="AR65" s="197">
        <f t="shared" si="159"/>
        <v>7905.9742788461535</v>
      </c>
      <c r="AS65" s="197">
        <f t="shared" si="160"/>
        <v>126.57009985207019</v>
      </c>
      <c r="AT65" s="199">
        <f t="shared" si="161"/>
        <v>562.62779215976195</v>
      </c>
      <c r="AU65" s="196">
        <f t="shared" si="189"/>
        <v>19260.590532544378</v>
      </c>
      <c r="AV65" s="197">
        <f t="shared" si="190"/>
        <v>1361.1976923076923</v>
      </c>
      <c r="AW65" s="197">
        <f t="shared" si="191"/>
        <v>28217.319265384613</v>
      </c>
      <c r="AX65" s="197">
        <f t="shared" si="192"/>
        <v>-8956.7287328402399</v>
      </c>
      <c r="AY65" s="199">
        <f t="shared" si="193"/>
        <v>-7595.5310405325472</v>
      </c>
      <c r="BB65" s="204">
        <f t="shared" ref="BB65:BB78" si="213">BB64+1</f>
        <v>3</v>
      </c>
      <c r="BC65" s="219" t="s">
        <v>29</v>
      </c>
      <c r="BD65" s="757">
        <f>'Arable Inputs'!$H$18</f>
        <v>12</v>
      </c>
      <c r="BE65" s="757">
        <f>'Arable Inputs'!$H$25</f>
        <v>724</v>
      </c>
      <c r="BF65" s="757"/>
      <c r="BG65" s="757"/>
      <c r="BH65" s="759">
        <f>BD65*BE65</f>
        <v>8688</v>
      </c>
      <c r="BI65" s="197">
        <f>'Arable NPV'!$E145</f>
        <v>471.64</v>
      </c>
      <c r="BJ65" s="197">
        <f t="shared" si="194"/>
        <v>9159.64</v>
      </c>
      <c r="BK65" s="197">
        <f>'Arable NPV'!$G145</f>
        <v>2474.37212</v>
      </c>
      <c r="BL65" s="197">
        <f>'Arable NPV'!$H145</f>
        <v>3226.3624</v>
      </c>
      <c r="BM65" s="197">
        <f>'Arable NPV'!$I145-0.5*'Arable NPV'!$I145</f>
        <v>2850.36726</v>
      </c>
      <c r="BN65" s="197">
        <f t="shared" si="195"/>
        <v>5837.63274</v>
      </c>
      <c r="BO65" s="197">
        <f t="shared" si="162"/>
        <v>6309.2727399999994</v>
      </c>
      <c r="BP65" s="196">
        <f t="shared" si="163"/>
        <v>8032.5443786982241</v>
      </c>
      <c r="BQ65" s="197">
        <f t="shared" si="164"/>
        <v>436.05769230769226</v>
      </c>
      <c r="BR65" s="197">
        <f t="shared" si="165"/>
        <v>2635.3247596153842</v>
      </c>
      <c r="BS65" s="197">
        <f t="shared" si="166"/>
        <v>5397.2196190828399</v>
      </c>
      <c r="BT65" s="199">
        <f t="shared" si="167"/>
        <v>5833.2773113905314</v>
      </c>
      <c r="BU65" s="196">
        <f t="shared" si="196"/>
        <v>19260.590532544378</v>
      </c>
      <c r="BV65" s="197">
        <f t="shared" si="197"/>
        <v>1361.1976923076923</v>
      </c>
      <c r="BW65" s="197">
        <f t="shared" si="198"/>
        <v>9405.7730884615376</v>
      </c>
      <c r="BX65" s="197">
        <f t="shared" si="199"/>
        <v>9854.8174440828388</v>
      </c>
      <c r="BY65" s="199">
        <f t="shared" si="200"/>
        <v>11216.015136390532</v>
      </c>
      <c r="CB65" s="204">
        <f t="shared" ref="CB65:CB78" si="214">CB64+1</f>
        <v>3</v>
      </c>
      <c r="CC65" s="219" t="s">
        <v>29</v>
      </c>
      <c r="CD65" s="757">
        <f>'Arable Inputs'!$H$18</f>
        <v>12</v>
      </c>
      <c r="CE65" s="757">
        <f>'Arable Inputs'!$H$25</f>
        <v>724</v>
      </c>
      <c r="CF65" s="757"/>
      <c r="CG65" s="757"/>
      <c r="CH65" s="759">
        <f>CD65*CE65</f>
        <v>8688</v>
      </c>
      <c r="CI65" s="197">
        <f>'Arable NPV'!$E145</f>
        <v>471.64</v>
      </c>
      <c r="CJ65" s="197">
        <f t="shared" si="168"/>
        <v>9159.64</v>
      </c>
      <c r="CK65" s="197">
        <f>'Arable NPV'!$G145</f>
        <v>2474.37212</v>
      </c>
      <c r="CL65" s="197">
        <f>'Arable NPV'!$H145</f>
        <v>3226.3624</v>
      </c>
      <c r="CM65" s="197">
        <f>'Arable NPV'!$I145+'Arable NPV'!$I145</f>
        <v>11401.46904</v>
      </c>
      <c r="CN65" s="197">
        <f t="shared" si="169"/>
        <v>-2713.4690399999999</v>
      </c>
      <c r="CO65" s="197">
        <f t="shared" si="170"/>
        <v>-2241.8290400000005</v>
      </c>
      <c r="CP65" s="196">
        <f t="shared" si="171"/>
        <v>8032.5443786982241</v>
      </c>
      <c r="CQ65" s="197">
        <f t="shared" si="172"/>
        <v>436.05769230769226</v>
      </c>
      <c r="CR65" s="197">
        <f t="shared" si="173"/>
        <v>10541.299038461537</v>
      </c>
      <c r="CS65" s="197">
        <f t="shared" si="174"/>
        <v>-2508.7546597633132</v>
      </c>
      <c r="CT65" s="199">
        <f t="shared" si="175"/>
        <v>-2072.6969674556217</v>
      </c>
      <c r="CU65" s="196">
        <f t="shared" si="201"/>
        <v>19260.590532544378</v>
      </c>
      <c r="CV65" s="197">
        <f t="shared" si="202"/>
        <v>1361.1976923076923</v>
      </c>
      <c r="CW65" s="197">
        <f t="shared" si="203"/>
        <v>37623.09235384615</v>
      </c>
      <c r="CX65" s="197">
        <f t="shared" si="204"/>
        <v>-18362.501821301776</v>
      </c>
      <c r="CY65" s="199">
        <f t="shared" si="205"/>
        <v>-17001.304128994085</v>
      </c>
      <c r="DB65" s="204">
        <f t="shared" ref="DB65:DB78" si="215">DB64+1</f>
        <v>3</v>
      </c>
      <c r="DC65" s="219" t="s">
        <v>29</v>
      </c>
      <c r="DD65" s="757">
        <f>'Arable Inputs'!$H$18</f>
        <v>12</v>
      </c>
      <c r="DE65" s="757">
        <f>'Arable Inputs'!$H$25</f>
        <v>724</v>
      </c>
      <c r="DF65" s="757"/>
      <c r="DG65" s="757"/>
      <c r="DH65" s="759">
        <f>DD65*DE65</f>
        <v>8688</v>
      </c>
      <c r="DI65" s="197">
        <f>'Arable NPV'!$E145</f>
        <v>471.64</v>
      </c>
      <c r="DJ65" s="197">
        <f t="shared" si="176"/>
        <v>9159.64</v>
      </c>
      <c r="DK65" s="197">
        <f>'Arable NPV'!$G145</f>
        <v>2474.37212</v>
      </c>
      <c r="DL65" s="197">
        <f>'Arable NPV'!$H145</f>
        <v>3226.3624</v>
      </c>
      <c r="DM65" s="197">
        <f>'Arable NPV'!$I145-'Arable NPV'!$I145</f>
        <v>0</v>
      </c>
      <c r="DN65" s="197">
        <f t="shared" si="177"/>
        <v>8688</v>
      </c>
      <c r="DO65" s="197">
        <f t="shared" si="178"/>
        <v>9159.64</v>
      </c>
      <c r="DP65" s="196">
        <f t="shared" si="179"/>
        <v>8032.5443786982241</v>
      </c>
      <c r="DQ65" s="197">
        <f t="shared" si="180"/>
        <v>436.05769230769226</v>
      </c>
      <c r="DR65" s="197">
        <f t="shared" si="181"/>
        <v>0</v>
      </c>
      <c r="DS65" s="197">
        <f t="shared" si="182"/>
        <v>8032.5443786982241</v>
      </c>
      <c r="DT65" s="199">
        <f t="shared" si="183"/>
        <v>8468.6020710059165</v>
      </c>
      <c r="DU65" s="196">
        <f t="shared" si="206"/>
        <v>19260.590532544378</v>
      </c>
      <c r="DV65" s="197">
        <f t="shared" si="207"/>
        <v>1361.1976923076923</v>
      </c>
      <c r="DW65" s="197">
        <f t="shared" si="208"/>
        <v>0</v>
      </c>
      <c r="DX65" s="197">
        <f t="shared" si="209"/>
        <v>19260.590532544378</v>
      </c>
      <c r="DY65" s="199">
        <f t="shared" si="210"/>
        <v>20621.788224852069</v>
      </c>
    </row>
    <row r="66" spans="2:129" x14ac:dyDescent="0.3">
      <c r="B66" s="204">
        <f t="shared" si="211"/>
        <v>4</v>
      </c>
      <c r="C66" s="219" t="s">
        <v>5</v>
      </c>
      <c r="D66" s="757">
        <f>'Arable Inputs'!$F$18</f>
        <v>3.5</v>
      </c>
      <c r="E66" s="757">
        <f>'Arable Inputs'!$F$25</f>
        <v>1645</v>
      </c>
      <c r="F66" s="757">
        <f>'Arable Inputs'!$F$19</f>
        <v>5.6</v>
      </c>
      <c r="G66" s="757">
        <f>'Arable Inputs'!$F$26</f>
        <v>120</v>
      </c>
      <c r="H66" s="759">
        <f>D66*E66+F66*G66</f>
        <v>6429.5</v>
      </c>
      <c r="I66" s="197">
        <f>'Arable NPV'!$E146</f>
        <v>471.64</v>
      </c>
      <c r="J66" s="197">
        <f t="shared" si="145"/>
        <v>6901.14</v>
      </c>
      <c r="K66" s="197">
        <f>'Arable NPV'!$G146</f>
        <v>3562.03775</v>
      </c>
      <c r="L66" s="197">
        <f>'Arable NPV'!$H146</f>
        <v>2542.6675999999998</v>
      </c>
      <c r="M66" s="197">
        <f t="shared" si="146"/>
        <v>6104.7053500000002</v>
      </c>
      <c r="N66" s="197">
        <f t="shared" si="147"/>
        <v>324.79464999999982</v>
      </c>
      <c r="O66" s="197">
        <f t="shared" si="148"/>
        <v>796.43465000000015</v>
      </c>
      <c r="P66" s="196">
        <f t="shared" si="149"/>
        <v>5715.8020880746471</v>
      </c>
      <c r="Q66" s="197">
        <f t="shared" si="150"/>
        <v>419.28624260355025</v>
      </c>
      <c r="R66" s="197">
        <f t="shared" si="151"/>
        <v>5427.0608269088525</v>
      </c>
      <c r="S66" s="197">
        <f t="shared" si="152"/>
        <v>288.74126116579407</v>
      </c>
      <c r="T66" s="199">
        <f t="shared" si="153"/>
        <v>708.02750376934466</v>
      </c>
      <c r="U66" s="196">
        <f t="shared" si="184"/>
        <v>24976.392620619026</v>
      </c>
      <c r="V66" s="197">
        <f t="shared" si="185"/>
        <v>1780.4839349112426</v>
      </c>
      <c r="W66" s="197">
        <f t="shared" si="186"/>
        <v>24238.607003831927</v>
      </c>
      <c r="X66" s="197">
        <f t="shared" si="187"/>
        <v>737.785616787094</v>
      </c>
      <c r="Y66" s="199">
        <f t="shared" si="188"/>
        <v>2518.2695516983372</v>
      </c>
      <c r="AB66" s="204">
        <f t="shared" si="212"/>
        <v>4</v>
      </c>
      <c r="AC66" s="219" t="s">
        <v>5</v>
      </c>
      <c r="AD66" s="757">
        <f>'Arable Inputs'!$F$18</f>
        <v>3.5</v>
      </c>
      <c r="AE66" s="757">
        <f>'Arable Inputs'!$F$25</f>
        <v>1645</v>
      </c>
      <c r="AF66" s="757">
        <f>'Arable Inputs'!$F$19</f>
        <v>5.6</v>
      </c>
      <c r="AG66" s="757">
        <f>'Arable Inputs'!$F$26</f>
        <v>120</v>
      </c>
      <c r="AH66" s="759">
        <f>AD66*AE66+AF66*AG66</f>
        <v>6429.5</v>
      </c>
      <c r="AI66" s="197">
        <f>'Arable NPV'!$E146</f>
        <v>471.64</v>
      </c>
      <c r="AJ66" s="197">
        <f t="shared" si="154"/>
        <v>6901.14</v>
      </c>
      <c r="AK66" s="197">
        <f>'Arable NPV'!$G146</f>
        <v>3562.03775</v>
      </c>
      <c r="AL66" s="197">
        <f>'Arable NPV'!$H146</f>
        <v>2542.6675999999998</v>
      </c>
      <c r="AM66" s="197">
        <f>'Arable NPV'!$I146+0.5*'Arable NPV'!$I146</f>
        <v>9157.0580250000003</v>
      </c>
      <c r="AN66" s="197">
        <f t="shared" si="155"/>
        <v>-2727.5580250000003</v>
      </c>
      <c r="AO66" s="197">
        <f t="shared" si="156"/>
        <v>-2255.9180249999999</v>
      </c>
      <c r="AP66" s="196">
        <f t="shared" si="157"/>
        <v>5715.8020880746471</v>
      </c>
      <c r="AQ66" s="197">
        <f t="shared" si="158"/>
        <v>419.28624260355025</v>
      </c>
      <c r="AR66" s="197">
        <f t="shared" si="159"/>
        <v>8140.5912403632792</v>
      </c>
      <c r="AS66" s="197">
        <f t="shared" si="160"/>
        <v>-2424.7891522886321</v>
      </c>
      <c r="AT66" s="199">
        <f t="shared" si="161"/>
        <v>-2005.5029096850817</v>
      </c>
      <c r="AU66" s="196">
        <f t="shared" si="189"/>
        <v>24976.392620619026</v>
      </c>
      <c r="AV66" s="197">
        <f t="shared" si="190"/>
        <v>1780.4839349112426</v>
      </c>
      <c r="AW66" s="197">
        <f t="shared" si="191"/>
        <v>36357.910505747888</v>
      </c>
      <c r="AX66" s="197">
        <f t="shared" si="192"/>
        <v>-11381.517885128873</v>
      </c>
      <c r="AY66" s="199">
        <f t="shared" si="193"/>
        <v>-9601.0339502176284</v>
      </c>
      <c r="BB66" s="204">
        <f t="shared" si="213"/>
        <v>4</v>
      </c>
      <c r="BC66" s="219" t="s">
        <v>5</v>
      </c>
      <c r="BD66" s="757">
        <f>'Arable Inputs'!$F$18</f>
        <v>3.5</v>
      </c>
      <c r="BE66" s="757">
        <f>'Arable Inputs'!$F$25</f>
        <v>1645</v>
      </c>
      <c r="BF66" s="757">
        <f>'Arable Inputs'!$F$19</f>
        <v>5.6</v>
      </c>
      <c r="BG66" s="757">
        <f>'Arable Inputs'!$F$26</f>
        <v>120</v>
      </c>
      <c r="BH66" s="759">
        <f>BD66*BE66+BF66*BG66</f>
        <v>6429.5</v>
      </c>
      <c r="BI66" s="197">
        <f>'Arable NPV'!$E146</f>
        <v>471.64</v>
      </c>
      <c r="BJ66" s="197">
        <f t="shared" si="194"/>
        <v>6901.14</v>
      </c>
      <c r="BK66" s="197">
        <f>'Arable NPV'!$G146</f>
        <v>3562.03775</v>
      </c>
      <c r="BL66" s="197">
        <f>'Arable NPV'!$H146</f>
        <v>2542.6675999999998</v>
      </c>
      <c r="BM66" s="197">
        <f>'Arable NPV'!$I146-0.5*'Arable NPV'!$I146</f>
        <v>3052.3526750000001</v>
      </c>
      <c r="BN66" s="197">
        <f t="shared" si="195"/>
        <v>3377.1473249999999</v>
      </c>
      <c r="BO66" s="197">
        <f t="shared" si="162"/>
        <v>3848.7873250000002</v>
      </c>
      <c r="BP66" s="196">
        <f t="shared" si="163"/>
        <v>5715.8020880746471</v>
      </c>
      <c r="BQ66" s="197">
        <f t="shared" si="164"/>
        <v>419.28624260355025</v>
      </c>
      <c r="BR66" s="197">
        <f t="shared" si="165"/>
        <v>2713.5304134544263</v>
      </c>
      <c r="BS66" s="197">
        <f t="shared" si="166"/>
        <v>3002.2716746202204</v>
      </c>
      <c r="BT66" s="199">
        <f t="shared" si="167"/>
        <v>3421.5579172237708</v>
      </c>
      <c r="BU66" s="196">
        <f t="shared" si="196"/>
        <v>24976.392620619026</v>
      </c>
      <c r="BV66" s="197">
        <f t="shared" si="197"/>
        <v>1780.4839349112426</v>
      </c>
      <c r="BW66" s="197">
        <f t="shared" si="198"/>
        <v>12119.303501915963</v>
      </c>
      <c r="BX66" s="197">
        <f t="shared" si="199"/>
        <v>12857.089118703059</v>
      </c>
      <c r="BY66" s="199">
        <f t="shared" si="200"/>
        <v>14637.573053614302</v>
      </c>
      <c r="CB66" s="204">
        <f t="shared" si="214"/>
        <v>4</v>
      </c>
      <c r="CC66" s="219" t="s">
        <v>5</v>
      </c>
      <c r="CD66" s="757">
        <f>'Arable Inputs'!$F$18</f>
        <v>3.5</v>
      </c>
      <c r="CE66" s="757">
        <f>'Arable Inputs'!$F$25</f>
        <v>1645</v>
      </c>
      <c r="CF66" s="757">
        <f>'Arable Inputs'!$F$19</f>
        <v>5.6</v>
      </c>
      <c r="CG66" s="757">
        <f>'Arable Inputs'!$F$26</f>
        <v>120</v>
      </c>
      <c r="CH66" s="759">
        <f>CD66*CE66+CF66*CG66</f>
        <v>6429.5</v>
      </c>
      <c r="CI66" s="197">
        <f>'Arable NPV'!$E146</f>
        <v>471.64</v>
      </c>
      <c r="CJ66" s="197">
        <f t="shared" si="168"/>
        <v>6901.14</v>
      </c>
      <c r="CK66" s="197">
        <f>'Arable NPV'!$G146</f>
        <v>3562.03775</v>
      </c>
      <c r="CL66" s="197">
        <f>'Arable NPV'!$H146</f>
        <v>2542.6675999999998</v>
      </c>
      <c r="CM66" s="197">
        <f>'Arable NPV'!$I146+'Arable NPV'!$I146</f>
        <v>12209.4107</v>
      </c>
      <c r="CN66" s="197">
        <f t="shared" si="169"/>
        <v>-5779.9107000000004</v>
      </c>
      <c r="CO66" s="197">
        <f t="shared" si="170"/>
        <v>-5308.2707</v>
      </c>
      <c r="CP66" s="196">
        <f t="shared" si="171"/>
        <v>5715.8020880746471</v>
      </c>
      <c r="CQ66" s="197">
        <f t="shared" si="172"/>
        <v>419.28624260355025</v>
      </c>
      <c r="CR66" s="197">
        <f t="shared" si="173"/>
        <v>10854.121653817705</v>
      </c>
      <c r="CS66" s="197">
        <f t="shared" si="174"/>
        <v>-5138.3195657430588</v>
      </c>
      <c r="CT66" s="199">
        <f t="shared" si="175"/>
        <v>-4719.033323139508</v>
      </c>
      <c r="CU66" s="196">
        <f t="shared" si="201"/>
        <v>24976.392620619026</v>
      </c>
      <c r="CV66" s="197">
        <f t="shared" si="202"/>
        <v>1780.4839349112426</v>
      </c>
      <c r="CW66" s="197">
        <f t="shared" si="203"/>
        <v>48477.214007663853</v>
      </c>
      <c r="CX66" s="197">
        <f t="shared" si="204"/>
        <v>-23500.821387044834</v>
      </c>
      <c r="CY66" s="199">
        <f t="shared" si="205"/>
        <v>-21720.337452133594</v>
      </c>
      <c r="DB66" s="204">
        <f t="shared" si="215"/>
        <v>4</v>
      </c>
      <c r="DC66" s="219" t="s">
        <v>5</v>
      </c>
      <c r="DD66" s="757">
        <f>'Arable Inputs'!$F$18</f>
        <v>3.5</v>
      </c>
      <c r="DE66" s="757">
        <f>'Arable Inputs'!$F$25</f>
        <v>1645</v>
      </c>
      <c r="DF66" s="757">
        <f>'Arable Inputs'!$F$19</f>
        <v>5.6</v>
      </c>
      <c r="DG66" s="757">
        <f>'Arable Inputs'!$F$26</f>
        <v>120</v>
      </c>
      <c r="DH66" s="759">
        <f>DD66*DE66+DF66*DG66</f>
        <v>6429.5</v>
      </c>
      <c r="DI66" s="197">
        <f>'Arable NPV'!$E146</f>
        <v>471.64</v>
      </c>
      <c r="DJ66" s="197">
        <f t="shared" si="176"/>
        <v>6901.14</v>
      </c>
      <c r="DK66" s="197">
        <f>'Arable NPV'!$G146</f>
        <v>3562.03775</v>
      </c>
      <c r="DL66" s="197">
        <f>'Arable NPV'!$H146</f>
        <v>2542.6675999999998</v>
      </c>
      <c r="DM66" s="197">
        <f>'Arable NPV'!$I146-'Arable NPV'!$I146</f>
        <v>0</v>
      </c>
      <c r="DN66" s="197">
        <f t="shared" si="177"/>
        <v>6429.5</v>
      </c>
      <c r="DO66" s="197">
        <f t="shared" si="178"/>
        <v>6901.14</v>
      </c>
      <c r="DP66" s="196">
        <f t="shared" si="179"/>
        <v>5715.8020880746471</v>
      </c>
      <c r="DQ66" s="197">
        <f t="shared" si="180"/>
        <v>419.28624260355025</v>
      </c>
      <c r="DR66" s="197">
        <f t="shared" si="181"/>
        <v>0</v>
      </c>
      <c r="DS66" s="197">
        <f t="shared" si="182"/>
        <v>5715.8020880746471</v>
      </c>
      <c r="DT66" s="199">
        <f t="shared" si="183"/>
        <v>6135.0883306781971</v>
      </c>
      <c r="DU66" s="196">
        <f t="shared" si="206"/>
        <v>24976.392620619026</v>
      </c>
      <c r="DV66" s="197">
        <f t="shared" si="207"/>
        <v>1780.4839349112426</v>
      </c>
      <c r="DW66" s="197">
        <f t="shared" si="208"/>
        <v>0</v>
      </c>
      <c r="DX66" s="197">
        <f t="shared" si="209"/>
        <v>24976.392620619026</v>
      </c>
      <c r="DY66" s="199">
        <f t="shared" si="210"/>
        <v>26756.876555530267</v>
      </c>
    </row>
    <row r="67" spans="2:129" x14ac:dyDescent="0.3">
      <c r="B67" s="204">
        <f t="shared" si="211"/>
        <v>5</v>
      </c>
      <c r="C67" s="219" t="s">
        <v>647</v>
      </c>
      <c r="D67" s="757">
        <f>'Arable Inputs'!$E$18</f>
        <v>2.5</v>
      </c>
      <c r="E67" s="757">
        <f>'Arable Inputs'!$E$25</f>
        <v>721</v>
      </c>
      <c r="F67" s="757">
        <f>'Arable Inputs'!$E$19</f>
        <v>3</v>
      </c>
      <c r="G67" s="757">
        <f>'Arable Inputs'!$E$26</f>
        <v>120</v>
      </c>
      <c r="H67" s="759">
        <f>D67*E67+F67*G67</f>
        <v>2162.5</v>
      </c>
      <c r="I67" s="197">
        <f>'Arable NPV'!$E147</f>
        <v>471.64</v>
      </c>
      <c r="J67" s="197">
        <f t="shared" si="145"/>
        <v>2634.14</v>
      </c>
      <c r="K67" s="197">
        <f>'Arable NPV'!$G147</f>
        <v>1959.4805899999999</v>
      </c>
      <c r="L67" s="197">
        <f>'Arable NPV'!$H147</f>
        <v>3608.9468000000006</v>
      </c>
      <c r="M67" s="197">
        <f t="shared" si="146"/>
        <v>5568.4273900000007</v>
      </c>
      <c r="N67" s="197">
        <f t="shared" si="147"/>
        <v>-3405.9273900000007</v>
      </c>
      <c r="O67" s="197">
        <f t="shared" si="148"/>
        <v>-2934.2873900000009</v>
      </c>
      <c r="P67" s="196">
        <f t="shared" si="149"/>
        <v>1848.5140631017819</v>
      </c>
      <c r="Q67" s="197">
        <f t="shared" si="150"/>
        <v>403.15984865725983</v>
      </c>
      <c r="R67" s="197">
        <f t="shared" si="151"/>
        <v>4759.9150704167178</v>
      </c>
      <c r="S67" s="197">
        <f t="shared" si="152"/>
        <v>-2911.4010073149357</v>
      </c>
      <c r="T67" s="199">
        <f t="shared" si="153"/>
        <v>-2508.2411586576759</v>
      </c>
      <c r="U67" s="196">
        <f t="shared" si="184"/>
        <v>26824.906683720808</v>
      </c>
      <c r="V67" s="197">
        <f t="shared" si="185"/>
        <v>2183.6437835685024</v>
      </c>
      <c r="W67" s="197">
        <f t="shared" si="186"/>
        <v>28998.522074248645</v>
      </c>
      <c r="X67" s="197">
        <f t="shared" si="187"/>
        <v>-2173.6153905278416</v>
      </c>
      <c r="Y67" s="199">
        <f t="shared" si="188"/>
        <v>10.028393040661285</v>
      </c>
      <c r="AB67" s="204">
        <f t="shared" si="212"/>
        <v>5</v>
      </c>
      <c r="AC67" s="219" t="s">
        <v>647</v>
      </c>
      <c r="AD67" s="757">
        <f>'Arable Inputs'!$E$18</f>
        <v>2.5</v>
      </c>
      <c r="AE67" s="757">
        <f>'Arable Inputs'!$E$25</f>
        <v>721</v>
      </c>
      <c r="AF67" s="757">
        <f>'Arable Inputs'!$E$19</f>
        <v>3</v>
      </c>
      <c r="AG67" s="757">
        <f>'Arable Inputs'!$E$26</f>
        <v>120</v>
      </c>
      <c r="AH67" s="759">
        <f>AD67*AE67+AF67*AG67</f>
        <v>2162.5</v>
      </c>
      <c r="AI67" s="197">
        <f>'Arable NPV'!$E147</f>
        <v>471.64</v>
      </c>
      <c r="AJ67" s="197">
        <f t="shared" si="154"/>
        <v>2634.14</v>
      </c>
      <c r="AK67" s="197">
        <f>'Arable NPV'!$G147</f>
        <v>1959.4805899999999</v>
      </c>
      <c r="AL67" s="197">
        <f>'Arable NPV'!$H147</f>
        <v>3608.9468000000006</v>
      </c>
      <c r="AM67" s="197">
        <f>'Arable NPV'!$I147+0.5*'Arable NPV'!$I147</f>
        <v>8352.6410850000011</v>
      </c>
      <c r="AN67" s="197">
        <f t="shared" si="155"/>
        <v>-6190.1410850000011</v>
      </c>
      <c r="AO67" s="197">
        <f t="shared" si="156"/>
        <v>-5718.5010850000017</v>
      </c>
      <c r="AP67" s="196">
        <f t="shared" si="157"/>
        <v>1848.5140631017819</v>
      </c>
      <c r="AQ67" s="197">
        <f t="shared" si="158"/>
        <v>403.15984865725983</v>
      </c>
      <c r="AR67" s="197">
        <f t="shared" si="159"/>
        <v>7139.8726056250762</v>
      </c>
      <c r="AS67" s="197">
        <f t="shared" si="160"/>
        <v>-5291.3585425232941</v>
      </c>
      <c r="AT67" s="199">
        <f t="shared" si="161"/>
        <v>-4888.1986938660348</v>
      </c>
      <c r="AU67" s="196">
        <f t="shared" si="189"/>
        <v>26824.906683720808</v>
      </c>
      <c r="AV67" s="197">
        <f t="shared" si="190"/>
        <v>2183.6437835685024</v>
      </c>
      <c r="AW67" s="197">
        <f t="shared" si="191"/>
        <v>43497.783111372963</v>
      </c>
      <c r="AX67" s="197">
        <f t="shared" si="192"/>
        <v>-16672.876427652169</v>
      </c>
      <c r="AY67" s="199">
        <f t="shared" si="193"/>
        <v>-14489.232644083662</v>
      </c>
      <c r="BB67" s="204">
        <f t="shared" si="213"/>
        <v>5</v>
      </c>
      <c r="BC67" s="219" t="s">
        <v>647</v>
      </c>
      <c r="BD67" s="757">
        <f>'Arable Inputs'!$E$18</f>
        <v>2.5</v>
      </c>
      <c r="BE67" s="757">
        <f>'Arable Inputs'!$E$25</f>
        <v>721</v>
      </c>
      <c r="BF67" s="757">
        <f>'Arable Inputs'!$E$19</f>
        <v>3</v>
      </c>
      <c r="BG67" s="757">
        <f>'Arable Inputs'!$E$26</f>
        <v>120</v>
      </c>
      <c r="BH67" s="759">
        <f>BD67*BE67+BF67*BG67</f>
        <v>2162.5</v>
      </c>
      <c r="BI67" s="197">
        <f>'Arable NPV'!$E147</f>
        <v>471.64</v>
      </c>
      <c r="BJ67" s="197">
        <f t="shared" si="194"/>
        <v>2634.14</v>
      </c>
      <c r="BK67" s="197">
        <f>'Arable NPV'!$G147</f>
        <v>1959.4805899999999</v>
      </c>
      <c r="BL67" s="197">
        <f>'Arable NPV'!$H147</f>
        <v>3608.9468000000006</v>
      </c>
      <c r="BM67" s="197">
        <f>'Arable NPV'!$I147-0.5*'Arable NPV'!$I147</f>
        <v>2784.2136950000004</v>
      </c>
      <c r="BN67" s="197">
        <f t="shared" si="195"/>
        <v>-621.71369500000037</v>
      </c>
      <c r="BO67" s="197">
        <f t="shared" si="162"/>
        <v>-150.0736950000005</v>
      </c>
      <c r="BP67" s="196">
        <f t="shared" si="163"/>
        <v>1848.5140631017819</v>
      </c>
      <c r="BQ67" s="197">
        <f t="shared" si="164"/>
        <v>403.15984865725983</v>
      </c>
      <c r="BR67" s="197">
        <f t="shared" si="165"/>
        <v>2379.9575352083589</v>
      </c>
      <c r="BS67" s="197">
        <f t="shared" si="166"/>
        <v>-531.44347210657691</v>
      </c>
      <c r="BT67" s="199">
        <f t="shared" si="167"/>
        <v>-128.28362344931722</v>
      </c>
      <c r="BU67" s="196">
        <f t="shared" si="196"/>
        <v>26824.906683720808</v>
      </c>
      <c r="BV67" s="197">
        <f t="shared" si="197"/>
        <v>2183.6437835685024</v>
      </c>
      <c r="BW67" s="197">
        <f t="shared" si="198"/>
        <v>14499.261037124323</v>
      </c>
      <c r="BX67" s="197">
        <f t="shared" si="199"/>
        <v>12325.645646596482</v>
      </c>
      <c r="BY67" s="199">
        <f t="shared" si="200"/>
        <v>14509.289430164985</v>
      </c>
      <c r="CB67" s="204">
        <f t="shared" si="214"/>
        <v>5</v>
      </c>
      <c r="CC67" s="219" t="s">
        <v>647</v>
      </c>
      <c r="CD67" s="757">
        <f>'Arable Inputs'!$E$18</f>
        <v>2.5</v>
      </c>
      <c r="CE67" s="757">
        <f>'Arable Inputs'!$E$25</f>
        <v>721</v>
      </c>
      <c r="CF67" s="757">
        <f>'Arable Inputs'!$E$19</f>
        <v>3</v>
      </c>
      <c r="CG67" s="757">
        <f>'Arable Inputs'!$E$26</f>
        <v>120</v>
      </c>
      <c r="CH67" s="759">
        <f>CD67*CE67+CF67*CG67</f>
        <v>2162.5</v>
      </c>
      <c r="CI67" s="197">
        <f>'Arable NPV'!$E147</f>
        <v>471.64</v>
      </c>
      <c r="CJ67" s="197">
        <f t="shared" si="168"/>
        <v>2634.14</v>
      </c>
      <c r="CK67" s="197">
        <f>'Arable NPV'!$G147</f>
        <v>1959.4805899999999</v>
      </c>
      <c r="CL67" s="197">
        <f>'Arable NPV'!$H147</f>
        <v>3608.9468000000006</v>
      </c>
      <c r="CM67" s="197">
        <f>'Arable NPV'!$I147+'Arable NPV'!$I147</f>
        <v>11136.854780000001</v>
      </c>
      <c r="CN67" s="197">
        <f t="shared" si="169"/>
        <v>-8974.3547800000015</v>
      </c>
      <c r="CO67" s="197">
        <f t="shared" si="170"/>
        <v>-8502.7147800000021</v>
      </c>
      <c r="CP67" s="196">
        <f t="shared" si="171"/>
        <v>1848.5140631017819</v>
      </c>
      <c r="CQ67" s="197">
        <f t="shared" si="172"/>
        <v>403.15984865725983</v>
      </c>
      <c r="CR67" s="197">
        <f t="shared" si="173"/>
        <v>9519.8301408334355</v>
      </c>
      <c r="CS67" s="197">
        <f t="shared" si="174"/>
        <v>-7671.3160777316534</v>
      </c>
      <c r="CT67" s="199">
        <f t="shared" si="175"/>
        <v>-7268.1562290743941</v>
      </c>
      <c r="CU67" s="196">
        <f t="shared" si="201"/>
        <v>26824.906683720808</v>
      </c>
      <c r="CV67" s="197">
        <f t="shared" si="202"/>
        <v>2183.6437835685024</v>
      </c>
      <c r="CW67" s="197">
        <f t="shared" si="203"/>
        <v>57997.044148497291</v>
      </c>
      <c r="CX67" s="197">
        <f t="shared" si="204"/>
        <v>-31172.13746477649</v>
      </c>
      <c r="CY67" s="199">
        <f t="shared" si="205"/>
        <v>-28988.493681207987</v>
      </c>
      <c r="DB67" s="204">
        <f t="shared" si="215"/>
        <v>5</v>
      </c>
      <c r="DC67" s="219" t="s">
        <v>647</v>
      </c>
      <c r="DD67" s="757">
        <f>'Arable Inputs'!$E$18</f>
        <v>2.5</v>
      </c>
      <c r="DE67" s="757">
        <f>'Arable Inputs'!$E$25</f>
        <v>721</v>
      </c>
      <c r="DF67" s="757">
        <f>'Arable Inputs'!$E$19</f>
        <v>3</v>
      </c>
      <c r="DG67" s="757">
        <f>'Arable Inputs'!$E$26</f>
        <v>120</v>
      </c>
      <c r="DH67" s="759">
        <f>DD67*DE67+DF67*DG67</f>
        <v>2162.5</v>
      </c>
      <c r="DI67" s="197">
        <f>'Arable NPV'!$E147</f>
        <v>471.64</v>
      </c>
      <c r="DJ67" s="197">
        <f t="shared" si="176"/>
        <v>2634.14</v>
      </c>
      <c r="DK67" s="197">
        <f>'Arable NPV'!$G147</f>
        <v>1959.4805899999999</v>
      </c>
      <c r="DL67" s="197">
        <f>'Arable NPV'!$H147</f>
        <v>3608.9468000000006</v>
      </c>
      <c r="DM67" s="197">
        <f>'Arable NPV'!$I147-'Arable NPV'!$I147</f>
        <v>0</v>
      </c>
      <c r="DN67" s="197">
        <f t="shared" si="177"/>
        <v>2162.5</v>
      </c>
      <c r="DO67" s="197">
        <f t="shared" si="178"/>
        <v>2634.14</v>
      </c>
      <c r="DP67" s="196">
        <f t="shared" si="179"/>
        <v>1848.5140631017819</v>
      </c>
      <c r="DQ67" s="197">
        <f t="shared" si="180"/>
        <v>403.15984865725983</v>
      </c>
      <c r="DR67" s="197">
        <f t="shared" si="181"/>
        <v>0</v>
      </c>
      <c r="DS67" s="197">
        <f t="shared" si="182"/>
        <v>1848.5140631017819</v>
      </c>
      <c r="DT67" s="199">
        <f t="shared" si="183"/>
        <v>2251.6739117590414</v>
      </c>
      <c r="DU67" s="196">
        <f t="shared" si="206"/>
        <v>26824.906683720808</v>
      </c>
      <c r="DV67" s="197">
        <f t="shared" si="207"/>
        <v>2183.6437835685024</v>
      </c>
      <c r="DW67" s="197">
        <f t="shared" si="208"/>
        <v>0</v>
      </c>
      <c r="DX67" s="197">
        <f t="shared" si="209"/>
        <v>26824.906683720808</v>
      </c>
      <c r="DY67" s="199">
        <f t="shared" si="210"/>
        <v>29008.550467289308</v>
      </c>
    </row>
    <row r="68" spans="2:129" x14ac:dyDescent="0.3">
      <c r="B68" s="204">
        <f t="shared" si="211"/>
        <v>6</v>
      </c>
      <c r="C68" s="219" t="s">
        <v>4</v>
      </c>
      <c r="D68" s="757">
        <f>'Arable Inputs'!$D$18</f>
        <v>4.5999999999999996</v>
      </c>
      <c r="E68" s="757">
        <f>'Arable Inputs'!$D$25</f>
        <v>867</v>
      </c>
      <c r="F68" s="757">
        <f>'Arable Inputs'!$D$19</f>
        <v>4.9000000000000004</v>
      </c>
      <c r="G68" s="757">
        <f>'Arable Inputs'!$D$26</f>
        <v>140</v>
      </c>
      <c r="H68" s="759">
        <f>D68*E68+F68*G68</f>
        <v>4674.2</v>
      </c>
      <c r="I68" s="197">
        <f>'Arable NPV'!$E148</f>
        <v>471.64</v>
      </c>
      <c r="J68" s="197">
        <f t="shared" si="145"/>
        <v>5145.84</v>
      </c>
      <c r="K68" s="197">
        <f>'Arable NPV'!$G148</f>
        <v>2731.3292000000006</v>
      </c>
      <c r="L68" s="197">
        <f>'Arable NPV'!$H148</f>
        <v>4055.6064000000006</v>
      </c>
      <c r="M68" s="197">
        <f t="shared" si="146"/>
        <v>6786.9356000000007</v>
      </c>
      <c r="N68" s="197">
        <f t="shared" si="147"/>
        <v>-2112.7356000000009</v>
      </c>
      <c r="O68" s="197">
        <f t="shared" si="148"/>
        <v>-1641.0956000000006</v>
      </c>
      <c r="P68" s="196">
        <f t="shared" si="149"/>
        <v>3841.8516824145609</v>
      </c>
      <c r="Q68" s="197">
        <f t="shared" si="150"/>
        <v>387.65370063198054</v>
      </c>
      <c r="R68" s="197">
        <f t="shared" si="151"/>
        <v>5578.3663414700441</v>
      </c>
      <c r="S68" s="197">
        <f t="shared" si="152"/>
        <v>-1736.5146590554834</v>
      </c>
      <c r="T68" s="199">
        <f t="shared" si="153"/>
        <v>-1348.8609584235026</v>
      </c>
      <c r="U68" s="196">
        <f t="shared" si="184"/>
        <v>30666.758366135371</v>
      </c>
      <c r="V68" s="197">
        <f t="shared" si="185"/>
        <v>2571.2974842004828</v>
      </c>
      <c r="W68" s="197">
        <f t="shared" si="186"/>
        <v>34576.888415718691</v>
      </c>
      <c r="X68" s="197">
        <f t="shared" si="187"/>
        <v>-3910.1300495833248</v>
      </c>
      <c r="Y68" s="199">
        <f t="shared" si="188"/>
        <v>-1338.8325653828413</v>
      </c>
      <c r="AB68" s="204">
        <f t="shared" si="212"/>
        <v>6</v>
      </c>
      <c r="AC68" s="219" t="s">
        <v>4</v>
      </c>
      <c r="AD68" s="757">
        <f>'Arable Inputs'!$D$18</f>
        <v>4.5999999999999996</v>
      </c>
      <c r="AE68" s="757">
        <f>'Arable Inputs'!$D$25</f>
        <v>867</v>
      </c>
      <c r="AF68" s="757">
        <f>'Arable Inputs'!$D$19</f>
        <v>4.9000000000000004</v>
      </c>
      <c r="AG68" s="757">
        <f>'Arable Inputs'!$D$26</f>
        <v>140</v>
      </c>
      <c r="AH68" s="759">
        <f>AD68*AE68+AF68*AG68</f>
        <v>4674.2</v>
      </c>
      <c r="AI68" s="197">
        <f>'Arable NPV'!$E148</f>
        <v>471.64</v>
      </c>
      <c r="AJ68" s="197">
        <f t="shared" si="154"/>
        <v>5145.84</v>
      </c>
      <c r="AK68" s="197">
        <f>'Arable NPV'!$G148</f>
        <v>2731.3292000000006</v>
      </c>
      <c r="AL68" s="197">
        <f>'Arable NPV'!$H148</f>
        <v>4055.6064000000006</v>
      </c>
      <c r="AM68" s="197">
        <f>'Arable NPV'!$I148+0.5*'Arable NPV'!$I148</f>
        <v>10180.403400000001</v>
      </c>
      <c r="AN68" s="197">
        <f t="shared" si="155"/>
        <v>-5506.2034000000012</v>
      </c>
      <c r="AO68" s="197">
        <f t="shared" si="156"/>
        <v>-5034.5634000000009</v>
      </c>
      <c r="AP68" s="196">
        <f t="shared" si="157"/>
        <v>3841.8516824145609</v>
      </c>
      <c r="AQ68" s="197">
        <f t="shared" si="158"/>
        <v>387.65370063198054</v>
      </c>
      <c r="AR68" s="197">
        <f t="shared" si="159"/>
        <v>8367.549512205067</v>
      </c>
      <c r="AS68" s="197">
        <f t="shared" si="160"/>
        <v>-4525.6978297905052</v>
      </c>
      <c r="AT68" s="199">
        <f t="shared" si="161"/>
        <v>-4138.0441291585248</v>
      </c>
      <c r="AU68" s="196">
        <f t="shared" si="189"/>
        <v>30666.758366135371</v>
      </c>
      <c r="AV68" s="197">
        <f t="shared" si="190"/>
        <v>2571.2974842004828</v>
      </c>
      <c r="AW68" s="197">
        <f t="shared" si="191"/>
        <v>51865.332623578026</v>
      </c>
      <c r="AX68" s="197">
        <f t="shared" si="192"/>
        <v>-21198.574257442673</v>
      </c>
      <c r="AY68" s="199">
        <f t="shared" si="193"/>
        <v>-18627.276773242185</v>
      </c>
      <c r="BB68" s="204">
        <f t="shared" si="213"/>
        <v>6</v>
      </c>
      <c r="BC68" s="219" t="s">
        <v>4</v>
      </c>
      <c r="BD68" s="757">
        <f>'Arable Inputs'!$D$18</f>
        <v>4.5999999999999996</v>
      </c>
      <c r="BE68" s="757">
        <f>'Arable Inputs'!$D$25</f>
        <v>867</v>
      </c>
      <c r="BF68" s="757">
        <f>'Arable Inputs'!$D$19</f>
        <v>4.9000000000000004</v>
      </c>
      <c r="BG68" s="757">
        <f>'Arable Inputs'!$D$26</f>
        <v>140</v>
      </c>
      <c r="BH68" s="759">
        <f>BD68*BE68+BF68*BG68</f>
        <v>4674.2</v>
      </c>
      <c r="BI68" s="197">
        <f>'Arable NPV'!$E148</f>
        <v>471.64</v>
      </c>
      <c r="BJ68" s="197">
        <f t="shared" si="194"/>
        <v>5145.84</v>
      </c>
      <c r="BK68" s="197">
        <f>'Arable NPV'!$G148</f>
        <v>2731.3292000000006</v>
      </c>
      <c r="BL68" s="197">
        <f>'Arable NPV'!$H148</f>
        <v>4055.6064000000006</v>
      </c>
      <c r="BM68" s="197">
        <f>'Arable NPV'!$I148-0.5*'Arable NPV'!$I148</f>
        <v>3393.4678000000004</v>
      </c>
      <c r="BN68" s="197">
        <f t="shared" si="195"/>
        <v>1280.7321999999995</v>
      </c>
      <c r="BO68" s="197">
        <f t="shared" si="162"/>
        <v>1752.3721999999998</v>
      </c>
      <c r="BP68" s="196">
        <f t="shared" si="163"/>
        <v>3841.8516824145609</v>
      </c>
      <c r="BQ68" s="197">
        <f t="shared" si="164"/>
        <v>387.65370063198054</v>
      </c>
      <c r="BR68" s="197">
        <f t="shared" si="165"/>
        <v>2789.183170735022</v>
      </c>
      <c r="BS68" s="197">
        <f t="shared" si="166"/>
        <v>1052.6685116795388</v>
      </c>
      <c r="BT68" s="199">
        <f t="shared" si="167"/>
        <v>1440.3222123115195</v>
      </c>
      <c r="BU68" s="196">
        <f t="shared" si="196"/>
        <v>30666.758366135371</v>
      </c>
      <c r="BV68" s="197">
        <f t="shared" si="197"/>
        <v>2571.2974842004828</v>
      </c>
      <c r="BW68" s="197">
        <f t="shared" si="198"/>
        <v>17288.444207859346</v>
      </c>
      <c r="BX68" s="197">
        <f t="shared" si="199"/>
        <v>13378.314158276022</v>
      </c>
      <c r="BY68" s="199">
        <f t="shared" si="200"/>
        <v>15949.611642476504</v>
      </c>
      <c r="CB68" s="204">
        <f t="shared" si="214"/>
        <v>6</v>
      </c>
      <c r="CC68" s="219" t="s">
        <v>4</v>
      </c>
      <c r="CD68" s="757">
        <f>'Arable Inputs'!$D$18</f>
        <v>4.5999999999999996</v>
      </c>
      <c r="CE68" s="757">
        <f>'Arable Inputs'!$D$25</f>
        <v>867</v>
      </c>
      <c r="CF68" s="757">
        <f>'Arable Inputs'!$D$19</f>
        <v>4.9000000000000004</v>
      </c>
      <c r="CG68" s="757">
        <f>'Arable Inputs'!$D$26</f>
        <v>140</v>
      </c>
      <c r="CH68" s="759">
        <f>CD68*CE68+CF68*CG68</f>
        <v>4674.2</v>
      </c>
      <c r="CI68" s="197">
        <f>'Arable NPV'!$E148</f>
        <v>471.64</v>
      </c>
      <c r="CJ68" s="197">
        <f t="shared" si="168"/>
        <v>5145.84</v>
      </c>
      <c r="CK68" s="197">
        <f>'Arable NPV'!$G148</f>
        <v>2731.3292000000006</v>
      </c>
      <c r="CL68" s="197">
        <f>'Arable NPV'!$H148</f>
        <v>4055.6064000000006</v>
      </c>
      <c r="CM68" s="197">
        <f>'Arable NPV'!$I148+'Arable NPV'!$I148</f>
        <v>13573.871200000001</v>
      </c>
      <c r="CN68" s="197">
        <f t="shared" si="169"/>
        <v>-8899.6712000000007</v>
      </c>
      <c r="CO68" s="197">
        <f t="shared" si="170"/>
        <v>-8428.0312000000013</v>
      </c>
      <c r="CP68" s="196">
        <f t="shared" si="171"/>
        <v>3841.8516824145609</v>
      </c>
      <c r="CQ68" s="197">
        <f t="shared" si="172"/>
        <v>387.65370063198054</v>
      </c>
      <c r="CR68" s="197">
        <f t="shared" si="173"/>
        <v>11156.732682940088</v>
      </c>
      <c r="CS68" s="197">
        <f t="shared" si="174"/>
        <v>-7314.8810005255273</v>
      </c>
      <c r="CT68" s="199">
        <f t="shared" si="175"/>
        <v>-6927.2272998935468</v>
      </c>
      <c r="CU68" s="196">
        <f t="shared" si="201"/>
        <v>30666.758366135371</v>
      </c>
      <c r="CV68" s="197">
        <f t="shared" si="202"/>
        <v>2571.2974842004828</v>
      </c>
      <c r="CW68" s="197">
        <f t="shared" si="203"/>
        <v>69153.776831437382</v>
      </c>
      <c r="CX68" s="197">
        <f t="shared" si="204"/>
        <v>-38487.018465302019</v>
      </c>
      <c r="CY68" s="199">
        <f t="shared" si="205"/>
        <v>-35915.720981101535</v>
      </c>
      <c r="DB68" s="204">
        <f t="shared" si="215"/>
        <v>6</v>
      </c>
      <c r="DC68" s="219" t="s">
        <v>4</v>
      </c>
      <c r="DD68" s="757">
        <f>'Arable Inputs'!$D$18</f>
        <v>4.5999999999999996</v>
      </c>
      <c r="DE68" s="757">
        <f>'Arable Inputs'!$D$25</f>
        <v>867</v>
      </c>
      <c r="DF68" s="757">
        <f>'Arable Inputs'!$D$19</f>
        <v>4.9000000000000004</v>
      </c>
      <c r="DG68" s="757">
        <f>'Arable Inputs'!$D$26</f>
        <v>140</v>
      </c>
      <c r="DH68" s="759">
        <f>DD68*DE68+DF68*DG68</f>
        <v>4674.2</v>
      </c>
      <c r="DI68" s="197">
        <f>'Arable NPV'!$E148</f>
        <v>471.64</v>
      </c>
      <c r="DJ68" s="197">
        <f t="shared" si="176"/>
        <v>5145.84</v>
      </c>
      <c r="DK68" s="197">
        <f>'Arable NPV'!$G148</f>
        <v>2731.3292000000006</v>
      </c>
      <c r="DL68" s="197">
        <f>'Arable NPV'!$H148</f>
        <v>4055.6064000000006</v>
      </c>
      <c r="DM68" s="197">
        <f>'Arable NPV'!$I148-'Arable NPV'!$I148</f>
        <v>0</v>
      </c>
      <c r="DN68" s="197">
        <f t="shared" si="177"/>
        <v>4674.2</v>
      </c>
      <c r="DO68" s="197">
        <f t="shared" si="178"/>
        <v>5145.84</v>
      </c>
      <c r="DP68" s="196">
        <f t="shared" si="179"/>
        <v>3841.8516824145609</v>
      </c>
      <c r="DQ68" s="197">
        <f t="shared" si="180"/>
        <v>387.65370063198054</v>
      </c>
      <c r="DR68" s="197">
        <f t="shared" si="181"/>
        <v>0</v>
      </c>
      <c r="DS68" s="197">
        <f t="shared" si="182"/>
        <v>3841.8516824145609</v>
      </c>
      <c r="DT68" s="199">
        <f t="shared" si="183"/>
        <v>4229.5053830465413</v>
      </c>
      <c r="DU68" s="196">
        <f t="shared" si="206"/>
        <v>30666.758366135371</v>
      </c>
      <c r="DV68" s="197">
        <f t="shared" si="207"/>
        <v>2571.2974842004828</v>
      </c>
      <c r="DW68" s="197">
        <f t="shared" si="208"/>
        <v>0</v>
      </c>
      <c r="DX68" s="197">
        <f t="shared" si="209"/>
        <v>30666.758366135371</v>
      </c>
      <c r="DY68" s="199">
        <f t="shared" si="210"/>
        <v>33238.055850335848</v>
      </c>
    </row>
    <row r="69" spans="2:129" x14ac:dyDescent="0.3">
      <c r="B69" s="204">
        <f t="shared" si="211"/>
        <v>7</v>
      </c>
      <c r="C69" s="219" t="s">
        <v>6</v>
      </c>
      <c r="D69" s="757">
        <f>'Arable Inputs'!$G$18</f>
        <v>56.8</v>
      </c>
      <c r="E69" s="757">
        <f>'Arable Inputs'!$G$25</f>
        <v>120</v>
      </c>
      <c r="H69" s="759">
        <f>D69*E69</f>
        <v>6816</v>
      </c>
      <c r="I69" s="197">
        <f>'Arable NPV'!$E149</f>
        <v>471.64</v>
      </c>
      <c r="J69" s="197">
        <f t="shared" si="145"/>
        <v>7287.64</v>
      </c>
      <c r="K69" s="197">
        <f>'Arable NPV'!$G149</f>
        <v>3648.3062999999997</v>
      </c>
      <c r="L69" s="197">
        <f>'Arable NPV'!$H149</f>
        <v>3375.8132000000005</v>
      </c>
      <c r="M69" s="197">
        <f t="shared" si="146"/>
        <v>7024.1195000000007</v>
      </c>
      <c r="N69" s="197">
        <f t="shared" si="147"/>
        <v>-208.1195000000007</v>
      </c>
      <c r="O69" s="197">
        <f t="shared" si="148"/>
        <v>263.52049999999963</v>
      </c>
      <c r="P69" s="196">
        <f t="shared" si="149"/>
        <v>5386.7838073766734</v>
      </c>
      <c r="Q69" s="197">
        <f t="shared" si="150"/>
        <v>372.74394291536589</v>
      </c>
      <c r="R69" s="197">
        <f t="shared" si="151"/>
        <v>5551.2636713143684</v>
      </c>
      <c r="S69" s="197">
        <f t="shared" si="152"/>
        <v>-164.47986393769563</v>
      </c>
      <c r="T69" s="199">
        <f t="shared" si="153"/>
        <v>208.26407897767058</v>
      </c>
      <c r="U69" s="196">
        <f t="shared" si="184"/>
        <v>36053.542173512047</v>
      </c>
      <c r="V69" s="197">
        <f t="shared" si="185"/>
        <v>2944.0414271158488</v>
      </c>
      <c r="W69" s="197">
        <f t="shared" si="186"/>
        <v>40128.152087033057</v>
      </c>
      <c r="X69" s="197">
        <f t="shared" si="187"/>
        <v>-4074.6099135210202</v>
      </c>
      <c r="Y69" s="199">
        <f t="shared" si="188"/>
        <v>-1130.5684864051707</v>
      </c>
      <c r="AB69" s="204">
        <f t="shared" si="212"/>
        <v>7</v>
      </c>
      <c r="AC69" s="219" t="s">
        <v>6</v>
      </c>
      <c r="AD69" s="757">
        <f>'Arable Inputs'!$G$18</f>
        <v>56.8</v>
      </c>
      <c r="AE69" s="757">
        <f>'Arable Inputs'!$G$25</f>
        <v>120</v>
      </c>
      <c r="AH69" s="759">
        <f>AD69*AE69</f>
        <v>6816</v>
      </c>
      <c r="AI69" s="197">
        <f>'Arable NPV'!$E149</f>
        <v>471.64</v>
      </c>
      <c r="AJ69" s="197">
        <f t="shared" si="154"/>
        <v>7287.64</v>
      </c>
      <c r="AK69" s="197">
        <f>'Arable NPV'!$G149</f>
        <v>3648.3062999999997</v>
      </c>
      <c r="AL69" s="197">
        <f>'Arable NPV'!$H149</f>
        <v>3375.8132000000005</v>
      </c>
      <c r="AM69" s="197">
        <f>'Arable NPV'!$I149+0.5*'Arable NPV'!$I149</f>
        <v>10536.179250000001</v>
      </c>
      <c r="AN69" s="197">
        <f t="shared" si="155"/>
        <v>-3720.179250000001</v>
      </c>
      <c r="AO69" s="197">
        <f t="shared" si="156"/>
        <v>-3248.5392500000007</v>
      </c>
      <c r="AP69" s="196">
        <f t="shared" si="157"/>
        <v>5386.7838073766734</v>
      </c>
      <c r="AQ69" s="197">
        <f t="shared" si="158"/>
        <v>372.74394291536589</v>
      </c>
      <c r="AR69" s="197">
        <f t="shared" si="159"/>
        <v>8326.8955069715539</v>
      </c>
      <c r="AS69" s="197">
        <f t="shared" si="160"/>
        <v>-2940.1116995948801</v>
      </c>
      <c r="AT69" s="199">
        <f t="shared" si="161"/>
        <v>-2567.3677566795136</v>
      </c>
      <c r="AU69" s="196">
        <f t="shared" si="189"/>
        <v>36053.542173512047</v>
      </c>
      <c r="AV69" s="197">
        <f t="shared" si="190"/>
        <v>2944.0414271158488</v>
      </c>
      <c r="AW69" s="197">
        <f t="shared" si="191"/>
        <v>60192.228130549578</v>
      </c>
      <c r="AX69" s="197">
        <f t="shared" si="192"/>
        <v>-24138.685957037553</v>
      </c>
      <c r="AY69" s="199">
        <f t="shared" si="193"/>
        <v>-21194.644529921698</v>
      </c>
      <c r="BB69" s="204">
        <f t="shared" si="213"/>
        <v>7</v>
      </c>
      <c r="BC69" s="219" t="s">
        <v>6</v>
      </c>
      <c r="BD69" s="757">
        <f>'Arable Inputs'!$G$18</f>
        <v>56.8</v>
      </c>
      <c r="BE69" s="757">
        <f>'Arable Inputs'!$G$25</f>
        <v>120</v>
      </c>
      <c r="BH69" s="759">
        <f>BD69*BE69</f>
        <v>6816</v>
      </c>
      <c r="BI69" s="197">
        <f>'Arable NPV'!$E149</f>
        <v>471.64</v>
      </c>
      <c r="BJ69" s="197">
        <f t="shared" si="194"/>
        <v>7287.64</v>
      </c>
      <c r="BK69" s="197">
        <f>'Arable NPV'!$G149</f>
        <v>3648.3062999999997</v>
      </c>
      <c r="BL69" s="197">
        <f>'Arable NPV'!$H149</f>
        <v>3375.8132000000005</v>
      </c>
      <c r="BM69" s="197">
        <f>'Arable NPV'!$I149-0.5*'Arable NPV'!$I149</f>
        <v>3512.0597500000003</v>
      </c>
      <c r="BN69" s="197">
        <f t="shared" si="195"/>
        <v>3303.9402499999997</v>
      </c>
      <c r="BO69" s="197">
        <f t="shared" si="162"/>
        <v>3775.58025</v>
      </c>
      <c r="BP69" s="196">
        <f t="shared" si="163"/>
        <v>5386.7838073766734</v>
      </c>
      <c r="BQ69" s="197">
        <f t="shared" si="164"/>
        <v>372.74394291536589</v>
      </c>
      <c r="BR69" s="197">
        <f t="shared" si="165"/>
        <v>2775.6318356571842</v>
      </c>
      <c r="BS69" s="197">
        <f t="shared" si="166"/>
        <v>2611.1519717194888</v>
      </c>
      <c r="BT69" s="199">
        <f t="shared" si="167"/>
        <v>2983.8959146348548</v>
      </c>
      <c r="BU69" s="196">
        <f t="shared" si="196"/>
        <v>36053.542173512047</v>
      </c>
      <c r="BV69" s="197">
        <f t="shared" si="197"/>
        <v>2944.0414271158488</v>
      </c>
      <c r="BW69" s="197">
        <f t="shared" si="198"/>
        <v>20064.076043516528</v>
      </c>
      <c r="BX69" s="197">
        <f t="shared" si="199"/>
        <v>15989.466129995511</v>
      </c>
      <c r="BY69" s="199">
        <f t="shared" si="200"/>
        <v>18933.507557111359</v>
      </c>
      <c r="CB69" s="204">
        <f t="shared" si="214"/>
        <v>7</v>
      </c>
      <c r="CC69" s="219" t="s">
        <v>6</v>
      </c>
      <c r="CD69" s="757">
        <f>'Arable Inputs'!$G$18</f>
        <v>56.8</v>
      </c>
      <c r="CE69" s="757">
        <f>'Arable Inputs'!$G$25</f>
        <v>120</v>
      </c>
      <c r="CH69" s="759">
        <f>CD69*CE69</f>
        <v>6816</v>
      </c>
      <c r="CI69" s="197">
        <f>'Arable NPV'!$E149</f>
        <v>471.64</v>
      </c>
      <c r="CJ69" s="197">
        <f t="shared" si="168"/>
        <v>7287.64</v>
      </c>
      <c r="CK69" s="197">
        <f>'Arable NPV'!$G149</f>
        <v>3648.3062999999997</v>
      </c>
      <c r="CL69" s="197">
        <f>'Arable NPV'!$H149</f>
        <v>3375.8132000000005</v>
      </c>
      <c r="CM69" s="197">
        <f>'Arable NPV'!$I149+'Arable NPV'!$I149</f>
        <v>14048.239000000001</v>
      </c>
      <c r="CN69" s="197">
        <f t="shared" si="169"/>
        <v>-7232.2390000000014</v>
      </c>
      <c r="CO69" s="197">
        <f t="shared" si="170"/>
        <v>-6760.5990000000011</v>
      </c>
      <c r="CP69" s="196">
        <f t="shared" si="171"/>
        <v>5386.7838073766734</v>
      </c>
      <c r="CQ69" s="197">
        <f t="shared" si="172"/>
        <v>372.74394291536589</v>
      </c>
      <c r="CR69" s="197">
        <f t="shared" si="173"/>
        <v>11102.527342628737</v>
      </c>
      <c r="CS69" s="197">
        <f t="shared" si="174"/>
        <v>-5715.7435352520642</v>
      </c>
      <c r="CT69" s="199">
        <f t="shared" si="175"/>
        <v>-5342.9995923366978</v>
      </c>
      <c r="CU69" s="196">
        <f t="shared" si="201"/>
        <v>36053.542173512047</v>
      </c>
      <c r="CV69" s="197">
        <f t="shared" si="202"/>
        <v>2944.0414271158488</v>
      </c>
      <c r="CW69" s="197">
        <f t="shared" si="203"/>
        <v>80256.304174066114</v>
      </c>
      <c r="CX69" s="197">
        <f t="shared" si="204"/>
        <v>-44202.762000554081</v>
      </c>
      <c r="CY69" s="199">
        <f t="shared" si="205"/>
        <v>-41258.72057343823</v>
      </c>
      <c r="DB69" s="204">
        <f t="shared" si="215"/>
        <v>7</v>
      </c>
      <c r="DC69" s="219" t="s">
        <v>6</v>
      </c>
      <c r="DD69" s="757">
        <f>'Arable Inputs'!$G$18</f>
        <v>56.8</v>
      </c>
      <c r="DE69" s="757">
        <f>'Arable Inputs'!$G$25</f>
        <v>120</v>
      </c>
      <c r="DH69" s="759">
        <f>DD69*DE69</f>
        <v>6816</v>
      </c>
      <c r="DI69" s="197">
        <f>'Arable NPV'!$E149</f>
        <v>471.64</v>
      </c>
      <c r="DJ69" s="197">
        <f t="shared" si="176"/>
        <v>7287.64</v>
      </c>
      <c r="DK69" s="197">
        <f>'Arable NPV'!$G149</f>
        <v>3648.3062999999997</v>
      </c>
      <c r="DL69" s="197">
        <f>'Arable NPV'!$H149</f>
        <v>3375.8132000000005</v>
      </c>
      <c r="DM69" s="197">
        <f>'Arable NPV'!$I149-'Arable NPV'!$I149</f>
        <v>0</v>
      </c>
      <c r="DN69" s="197">
        <f t="shared" si="177"/>
        <v>6816</v>
      </c>
      <c r="DO69" s="197">
        <f t="shared" si="178"/>
        <v>7287.64</v>
      </c>
      <c r="DP69" s="196">
        <f t="shared" si="179"/>
        <v>5386.7838073766734</v>
      </c>
      <c r="DQ69" s="197">
        <f t="shared" si="180"/>
        <v>372.74394291536589</v>
      </c>
      <c r="DR69" s="197">
        <f t="shared" si="181"/>
        <v>0</v>
      </c>
      <c r="DS69" s="197">
        <f t="shared" si="182"/>
        <v>5386.7838073766734</v>
      </c>
      <c r="DT69" s="199">
        <f t="shared" si="183"/>
        <v>5759.5277502920389</v>
      </c>
      <c r="DU69" s="196">
        <f t="shared" si="206"/>
        <v>36053.542173512047</v>
      </c>
      <c r="DV69" s="197">
        <f t="shared" si="207"/>
        <v>2944.0414271158488</v>
      </c>
      <c r="DW69" s="197">
        <f t="shared" si="208"/>
        <v>0</v>
      </c>
      <c r="DX69" s="197">
        <f t="shared" si="209"/>
        <v>36053.542173512047</v>
      </c>
      <c r="DY69" s="199">
        <f t="shared" si="210"/>
        <v>38997.583600627884</v>
      </c>
    </row>
    <row r="70" spans="2:129" x14ac:dyDescent="0.3">
      <c r="B70" s="204">
        <f t="shared" si="211"/>
        <v>8</v>
      </c>
      <c r="C70" s="219" t="s">
        <v>29</v>
      </c>
      <c r="D70" s="757">
        <f>'Arable Inputs'!$H$18</f>
        <v>12</v>
      </c>
      <c r="E70" s="757">
        <f>'Arable Inputs'!$H$25</f>
        <v>724</v>
      </c>
      <c r="H70" s="759">
        <f>D70*E70</f>
        <v>8688</v>
      </c>
      <c r="I70" s="197">
        <f>'Arable NPV'!$E150</f>
        <v>471.64</v>
      </c>
      <c r="J70" s="197">
        <f t="shared" si="145"/>
        <v>9159.64</v>
      </c>
      <c r="K70" s="197">
        <f>'Arable NPV'!$G150</f>
        <v>2474.37212</v>
      </c>
      <c r="L70" s="197">
        <f>'Arable NPV'!$H150</f>
        <v>3226.3624</v>
      </c>
      <c r="M70" s="197">
        <f t="shared" si="146"/>
        <v>5700.73452</v>
      </c>
      <c r="N70" s="197">
        <f t="shared" si="147"/>
        <v>2987.26548</v>
      </c>
      <c r="O70" s="197">
        <f t="shared" si="148"/>
        <v>3458.9054799999994</v>
      </c>
      <c r="P70" s="196">
        <f t="shared" si="149"/>
        <v>6602.1659610995257</v>
      </c>
      <c r="Q70" s="197">
        <f t="shared" si="150"/>
        <v>358.40763741862111</v>
      </c>
      <c r="R70" s="197">
        <f t="shared" si="151"/>
        <v>4332.0897100839138</v>
      </c>
      <c r="S70" s="197">
        <f t="shared" si="152"/>
        <v>2270.0762510156119</v>
      </c>
      <c r="T70" s="199">
        <f t="shared" si="153"/>
        <v>2628.4838884342325</v>
      </c>
      <c r="U70" s="196">
        <f t="shared" si="184"/>
        <v>42655.708134611574</v>
      </c>
      <c r="V70" s="197">
        <f t="shared" si="185"/>
        <v>3302.4490645344699</v>
      </c>
      <c r="W70" s="197">
        <f t="shared" si="186"/>
        <v>44460.241797116971</v>
      </c>
      <c r="X70" s="197">
        <f t="shared" si="187"/>
        <v>-1804.5336625054083</v>
      </c>
      <c r="Y70" s="199">
        <f t="shared" si="188"/>
        <v>1497.9154020290619</v>
      </c>
      <c r="AB70" s="204">
        <f t="shared" si="212"/>
        <v>8</v>
      </c>
      <c r="AC70" s="219" t="s">
        <v>29</v>
      </c>
      <c r="AD70" s="757">
        <f>'Arable Inputs'!$H$18</f>
        <v>12</v>
      </c>
      <c r="AE70" s="757">
        <f>'Arable Inputs'!$H$25</f>
        <v>724</v>
      </c>
      <c r="AH70" s="759">
        <f>AD70*AE70</f>
        <v>8688</v>
      </c>
      <c r="AI70" s="197">
        <f>'Arable NPV'!$E150</f>
        <v>471.64</v>
      </c>
      <c r="AJ70" s="197">
        <f t="shared" si="154"/>
        <v>9159.64</v>
      </c>
      <c r="AK70" s="197">
        <f>'Arable NPV'!$G150</f>
        <v>2474.37212</v>
      </c>
      <c r="AL70" s="197">
        <f>'Arable NPV'!$H150</f>
        <v>3226.3624</v>
      </c>
      <c r="AM70" s="197">
        <f>'Arable NPV'!$I150+0.5*'Arable NPV'!$I150</f>
        <v>8551.1017800000009</v>
      </c>
      <c r="AN70" s="197">
        <f t="shared" si="155"/>
        <v>136.89821999999913</v>
      </c>
      <c r="AO70" s="197">
        <f t="shared" si="156"/>
        <v>608.53821999999855</v>
      </c>
      <c r="AP70" s="196">
        <f t="shared" si="157"/>
        <v>6602.1659610995257</v>
      </c>
      <c r="AQ70" s="197">
        <f t="shared" si="158"/>
        <v>358.40763741862111</v>
      </c>
      <c r="AR70" s="197">
        <f t="shared" si="159"/>
        <v>6498.1345651258716</v>
      </c>
      <c r="AS70" s="197">
        <f t="shared" si="160"/>
        <v>104.0313959736543</v>
      </c>
      <c r="AT70" s="199">
        <f t="shared" si="161"/>
        <v>462.43903339227495</v>
      </c>
      <c r="AU70" s="196">
        <f t="shared" si="189"/>
        <v>42655.708134611574</v>
      </c>
      <c r="AV70" s="197">
        <f t="shared" si="190"/>
        <v>3302.4490645344699</v>
      </c>
      <c r="AW70" s="197">
        <f t="shared" si="191"/>
        <v>66690.362695675445</v>
      </c>
      <c r="AX70" s="197">
        <f t="shared" si="192"/>
        <v>-24034.654561063897</v>
      </c>
      <c r="AY70" s="199">
        <f t="shared" si="193"/>
        <v>-20732.205496529423</v>
      </c>
      <c r="BB70" s="204">
        <f t="shared" si="213"/>
        <v>8</v>
      </c>
      <c r="BC70" s="219" t="s">
        <v>29</v>
      </c>
      <c r="BD70" s="757">
        <f>'Arable Inputs'!$H$18</f>
        <v>12</v>
      </c>
      <c r="BE70" s="757">
        <f>'Arable Inputs'!$H$25</f>
        <v>724</v>
      </c>
      <c r="BH70" s="759">
        <f>BD70*BE70</f>
        <v>8688</v>
      </c>
      <c r="BI70" s="197">
        <f>'Arable NPV'!$E150</f>
        <v>471.64</v>
      </c>
      <c r="BJ70" s="197">
        <f t="shared" si="194"/>
        <v>9159.64</v>
      </c>
      <c r="BK70" s="197">
        <f>'Arable NPV'!$G150</f>
        <v>2474.37212</v>
      </c>
      <c r="BL70" s="197">
        <f>'Arable NPV'!$H150</f>
        <v>3226.3624</v>
      </c>
      <c r="BM70" s="197">
        <f>'Arable NPV'!$I150-0.5*'Arable NPV'!$I150</f>
        <v>2850.36726</v>
      </c>
      <c r="BN70" s="197">
        <f t="shared" si="195"/>
        <v>5837.63274</v>
      </c>
      <c r="BO70" s="197">
        <f t="shared" si="162"/>
        <v>6309.2727399999994</v>
      </c>
      <c r="BP70" s="196">
        <f t="shared" si="163"/>
        <v>6602.1659610995257</v>
      </c>
      <c r="BQ70" s="197">
        <f t="shared" si="164"/>
        <v>358.40763741862111</v>
      </c>
      <c r="BR70" s="197">
        <f t="shared" si="165"/>
        <v>2166.0448550419569</v>
      </c>
      <c r="BS70" s="197">
        <f t="shared" si="166"/>
        <v>4436.1211060575688</v>
      </c>
      <c r="BT70" s="199">
        <f t="shared" si="167"/>
        <v>4794.5287434761894</v>
      </c>
      <c r="BU70" s="196">
        <f t="shared" si="196"/>
        <v>42655.708134611574</v>
      </c>
      <c r="BV70" s="197">
        <f t="shared" si="197"/>
        <v>3302.4490645344699</v>
      </c>
      <c r="BW70" s="197">
        <f t="shared" si="198"/>
        <v>22230.120898558485</v>
      </c>
      <c r="BX70" s="197">
        <f t="shared" si="199"/>
        <v>20425.587236053081</v>
      </c>
      <c r="BY70" s="199">
        <f t="shared" si="200"/>
        <v>23728.036300587548</v>
      </c>
      <c r="CB70" s="204">
        <f t="shared" si="214"/>
        <v>8</v>
      </c>
      <c r="CC70" s="219" t="s">
        <v>29</v>
      </c>
      <c r="CD70" s="757">
        <f>'Arable Inputs'!$H$18</f>
        <v>12</v>
      </c>
      <c r="CE70" s="757">
        <f>'Arable Inputs'!$H$25</f>
        <v>724</v>
      </c>
      <c r="CH70" s="759">
        <f>CD70*CE70</f>
        <v>8688</v>
      </c>
      <c r="CI70" s="197">
        <f>'Arable NPV'!$E150</f>
        <v>471.64</v>
      </c>
      <c r="CJ70" s="197">
        <f t="shared" si="168"/>
        <v>9159.64</v>
      </c>
      <c r="CK70" s="197">
        <f>'Arable NPV'!$G150</f>
        <v>2474.37212</v>
      </c>
      <c r="CL70" s="197">
        <f>'Arable NPV'!$H150</f>
        <v>3226.3624</v>
      </c>
      <c r="CM70" s="197">
        <f>'Arable NPV'!$I150+'Arable NPV'!$I150</f>
        <v>11401.46904</v>
      </c>
      <c r="CN70" s="197">
        <f t="shared" si="169"/>
        <v>-2713.4690399999999</v>
      </c>
      <c r="CO70" s="197">
        <f t="shared" si="170"/>
        <v>-2241.8290400000005</v>
      </c>
      <c r="CP70" s="196">
        <f t="shared" si="171"/>
        <v>6602.1659610995257</v>
      </c>
      <c r="CQ70" s="197">
        <f t="shared" si="172"/>
        <v>358.40763741862111</v>
      </c>
      <c r="CR70" s="197">
        <f t="shared" si="173"/>
        <v>8664.1794201678276</v>
      </c>
      <c r="CS70" s="197">
        <f t="shared" si="174"/>
        <v>-2062.0134590683019</v>
      </c>
      <c r="CT70" s="199">
        <f t="shared" si="175"/>
        <v>-1703.6058216496813</v>
      </c>
      <c r="CU70" s="196">
        <f t="shared" si="201"/>
        <v>42655.708134611574</v>
      </c>
      <c r="CV70" s="197">
        <f t="shared" si="202"/>
        <v>3302.4490645344699</v>
      </c>
      <c r="CW70" s="197">
        <f t="shared" si="203"/>
        <v>88920.483594233941</v>
      </c>
      <c r="CX70" s="197">
        <f t="shared" si="204"/>
        <v>-46264.775459622382</v>
      </c>
      <c r="CY70" s="199">
        <f t="shared" si="205"/>
        <v>-42962.326395087912</v>
      </c>
      <c r="DB70" s="204">
        <f t="shared" si="215"/>
        <v>8</v>
      </c>
      <c r="DC70" s="219" t="s">
        <v>29</v>
      </c>
      <c r="DD70" s="757">
        <f>'Arable Inputs'!$H$18</f>
        <v>12</v>
      </c>
      <c r="DE70" s="757">
        <f>'Arable Inputs'!$H$25</f>
        <v>724</v>
      </c>
      <c r="DH70" s="759">
        <f>DD70*DE70</f>
        <v>8688</v>
      </c>
      <c r="DI70" s="197">
        <f>'Arable NPV'!$E150</f>
        <v>471.64</v>
      </c>
      <c r="DJ70" s="197">
        <f t="shared" si="176"/>
        <v>9159.64</v>
      </c>
      <c r="DK70" s="197">
        <f>'Arable NPV'!$G150</f>
        <v>2474.37212</v>
      </c>
      <c r="DL70" s="197">
        <f>'Arable NPV'!$H150</f>
        <v>3226.3624</v>
      </c>
      <c r="DM70" s="197">
        <f>'Arable NPV'!$I150-'Arable NPV'!$I150</f>
        <v>0</v>
      </c>
      <c r="DN70" s="197">
        <f t="shared" si="177"/>
        <v>8688</v>
      </c>
      <c r="DO70" s="197">
        <f t="shared" si="178"/>
        <v>9159.64</v>
      </c>
      <c r="DP70" s="196">
        <f t="shared" si="179"/>
        <v>6602.1659610995257</v>
      </c>
      <c r="DQ70" s="197">
        <f t="shared" si="180"/>
        <v>358.40763741862111</v>
      </c>
      <c r="DR70" s="197">
        <f t="shared" si="181"/>
        <v>0</v>
      </c>
      <c r="DS70" s="197">
        <f t="shared" si="182"/>
        <v>6602.1659610995257</v>
      </c>
      <c r="DT70" s="199">
        <f t="shared" si="183"/>
        <v>6960.5735985181464</v>
      </c>
      <c r="DU70" s="196">
        <f t="shared" si="206"/>
        <v>42655.708134611574</v>
      </c>
      <c r="DV70" s="197">
        <f t="shared" si="207"/>
        <v>3302.4490645344699</v>
      </c>
      <c r="DW70" s="197">
        <f t="shared" si="208"/>
        <v>0</v>
      </c>
      <c r="DX70" s="197">
        <f t="shared" si="209"/>
        <v>42655.708134611574</v>
      </c>
      <c r="DY70" s="199">
        <f t="shared" si="210"/>
        <v>45958.15719914603</v>
      </c>
    </row>
    <row r="71" spans="2:129" x14ac:dyDescent="0.3">
      <c r="B71" s="204">
        <f t="shared" si="211"/>
        <v>9</v>
      </c>
      <c r="C71" s="219" t="s">
        <v>5</v>
      </c>
      <c r="D71" s="757">
        <f>'Arable Inputs'!$F$18</f>
        <v>3.5</v>
      </c>
      <c r="E71" s="757">
        <f>'Arable Inputs'!$F$25</f>
        <v>1645</v>
      </c>
      <c r="F71" s="757">
        <f>'Arable Inputs'!$F$19</f>
        <v>5.6</v>
      </c>
      <c r="G71" s="757">
        <f>'Arable Inputs'!$F$26</f>
        <v>120</v>
      </c>
      <c r="H71" s="759">
        <f>D71*E71+F71*G71</f>
        <v>6429.5</v>
      </c>
      <c r="I71" s="197">
        <f>'Arable NPV'!$E151</f>
        <v>471.64</v>
      </c>
      <c r="J71" s="197">
        <f t="shared" si="145"/>
        <v>6901.14</v>
      </c>
      <c r="K71" s="197">
        <f>'Arable NPV'!$G151</f>
        <v>3562.03775</v>
      </c>
      <c r="L71" s="197">
        <f>'Arable NPV'!$H151</f>
        <v>2542.6675999999998</v>
      </c>
      <c r="M71" s="197">
        <f t="shared" si="146"/>
        <v>6104.7053500000002</v>
      </c>
      <c r="N71" s="197">
        <f t="shared" si="147"/>
        <v>324.79464999999982</v>
      </c>
      <c r="O71" s="197">
        <f t="shared" si="148"/>
        <v>796.43465000000015</v>
      </c>
      <c r="P71" s="196">
        <f t="shared" si="149"/>
        <v>4697.9726730602542</v>
      </c>
      <c r="Q71" s="197">
        <f t="shared" si="150"/>
        <v>344.6227282871356</v>
      </c>
      <c r="R71" s="197">
        <f t="shared" si="151"/>
        <v>4460.6484036682068</v>
      </c>
      <c r="S71" s="197">
        <f t="shared" si="152"/>
        <v>237.32426939204743</v>
      </c>
      <c r="T71" s="199">
        <f t="shared" si="153"/>
        <v>581.94699767918326</v>
      </c>
      <c r="U71" s="196">
        <f t="shared" si="184"/>
        <v>47353.68080767183</v>
      </c>
      <c r="V71" s="197">
        <f t="shared" si="185"/>
        <v>3647.0717928216054</v>
      </c>
      <c r="W71" s="197">
        <f t="shared" si="186"/>
        <v>48920.890200785179</v>
      </c>
      <c r="X71" s="197">
        <f t="shared" si="187"/>
        <v>-1567.2093931133609</v>
      </c>
      <c r="Y71" s="199">
        <f t="shared" si="188"/>
        <v>2079.862399708245</v>
      </c>
      <c r="AB71" s="204">
        <f t="shared" si="212"/>
        <v>9</v>
      </c>
      <c r="AC71" s="219" t="s">
        <v>5</v>
      </c>
      <c r="AD71" s="757">
        <f>'Arable Inputs'!$F$18</f>
        <v>3.5</v>
      </c>
      <c r="AE71" s="757">
        <f>'Arable Inputs'!$F$25</f>
        <v>1645</v>
      </c>
      <c r="AF71" s="757">
        <f>'Arable Inputs'!$F$19</f>
        <v>5.6</v>
      </c>
      <c r="AG71" s="757">
        <f>'Arable Inputs'!$F$26</f>
        <v>120</v>
      </c>
      <c r="AH71" s="759">
        <f>AD71*AE71+AF71*AG71</f>
        <v>6429.5</v>
      </c>
      <c r="AI71" s="197">
        <f>'Arable NPV'!$E151</f>
        <v>471.64</v>
      </c>
      <c r="AJ71" s="197">
        <f t="shared" si="154"/>
        <v>6901.14</v>
      </c>
      <c r="AK71" s="197">
        <f>'Arable NPV'!$G151</f>
        <v>3562.03775</v>
      </c>
      <c r="AL71" s="197">
        <f>'Arable NPV'!$H151</f>
        <v>2542.6675999999998</v>
      </c>
      <c r="AM71" s="197">
        <f>'Arable NPV'!$I151+0.5*'Arable NPV'!$I151</f>
        <v>9157.0580250000003</v>
      </c>
      <c r="AN71" s="197">
        <f t="shared" si="155"/>
        <v>-2727.5580250000003</v>
      </c>
      <c r="AO71" s="197">
        <f t="shared" si="156"/>
        <v>-2255.9180249999999</v>
      </c>
      <c r="AP71" s="196">
        <f t="shared" si="157"/>
        <v>4697.9726730602542</v>
      </c>
      <c r="AQ71" s="197">
        <f t="shared" si="158"/>
        <v>344.6227282871356</v>
      </c>
      <c r="AR71" s="197">
        <f t="shared" si="159"/>
        <v>6690.9726055023111</v>
      </c>
      <c r="AS71" s="197">
        <f t="shared" si="160"/>
        <v>-1992.9999324420562</v>
      </c>
      <c r="AT71" s="199">
        <f t="shared" si="161"/>
        <v>-1648.3772041549203</v>
      </c>
      <c r="AU71" s="196">
        <f t="shared" si="189"/>
        <v>47353.68080767183</v>
      </c>
      <c r="AV71" s="197">
        <f t="shared" si="190"/>
        <v>3647.0717928216054</v>
      </c>
      <c r="AW71" s="197">
        <f t="shared" si="191"/>
        <v>73381.335301177751</v>
      </c>
      <c r="AX71" s="197">
        <f t="shared" si="192"/>
        <v>-26027.654493505954</v>
      </c>
      <c r="AY71" s="199">
        <f t="shared" si="193"/>
        <v>-22380.582700684343</v>
      </c>
      <c r="BB71" s="204">
        <f t="shared" si="213"/>
        <v>9</v>
      </c>
      <c r="BC71" s="219" t="s">
        <v>5</v>
      </c>
      <c r="BD71" s="757">
        <f>'Arable Inputs'!$F$18</f>
        <v>3.5</v>
      </c>
      <c r="BE71" s="757">
        <f>'Arable Inputs'!$F$25</f>
        <v>1645</v>
      </c>
      <c r="BF71" s="757">
        <f>'Arable Inputs'!$F$19</f>
        <v>5.6</v>
      </c>
      <c r="BG71" s="757">
        <f>'Arable Inputs'!$F$26</f>
        <v>120</v>
      </c>
      <c r="BH71" s="759">
        <f>BD71*BE71+BF71*BG71</f>
        <v>6429.5</v>
      </c>
      <c r="BI71" s="197">
        <f>'Arable NPV'!$E151</f>
        <v>471.64</v>
      </c>
      <c r="BJ71" s="197">
        <f t="shared" si="194"/>
        <v>6901.14</v>
      </c>
      <c r="BK71" s="197">
        <f>'Arable NPV'!$G151</f>
        <v>3562.03775</v>
      </c>
      <c r="BL71" s="197">
        <f>'Arable NPV'!$H151</f>
        <v>2542.6675999999998</v>
      </c>
      <c r="BM71" s="197">
        <f>'Arable NPV'!$I151-0.5*'Arable NPV'!$I151</f>
        <v>3052.3526750000001</v>
      </c>
      <c r="BN71" s="197">
        <f t="shared" si="195"/>
        <v>3377.1473249999999</v>
      </c>
      <c r="BO71" s="197">
        <f t="shared" si="162"/>
        <v>3848.7873250000002</v>
      </c>
      <c r="BP71" s="196">
        <f t="shared" si="163"/>
        <v>4697.9726730602542</v>
      </c>
      <c r="BQ71" s="197">
        <f t="shared" si="164"/>
        <v>344.6227282871356</v>
      </c>
      <c r="BR71" s="197">
        <f t="shared" si="165"/>
        <v>2230.3242018341034</v>
      </c>
      <c r="BS71" s="197">
        <f t="shared" si="166"/>
        <v>2467.6484712261513</v>
      </c>
      <c r="BT71" s="199">
        <f t="shared" si="167"/>
        <v>2812.2711995132868</v>
      </c>
      <c r="BU71" s="196">
        <f t="shared" si="196"/>
        <v>47353.68080767183</v>
      </c>
      <c r="BV71" s="197">
        <f t="shared" si="197"/>
        <v>3647.0717928216054</v>
      </c>
      <c r="BW71" s="197">
        <f t="shared" si="198"/>
        <v>24460.44510039259</v>
      </c>
      <c r="BX71" s="197">
        <f t="shared" si="199"/>
        <v>22893.235707279233</v>
      </c>
      <c r="BY71" s="199">
        <f t="shared" si="200"/>
        <v>26540.307500100833</v>
      </c>
      <c r="CB71" s="204">
        <f t="shared" si="214"/>
        <v>9</v>
      </c>
      <c r="CC71" s="219" t="s">
        <v>5</v>
      </c>
      <c r="CD71" s="757">
        <f>'Arable Inputs'!$F$18</f>
        <v>3.5</v>
      </c>
      <c r="CE71" s="757">
        <f>'Arable Inputs'!$F$25</f>
        <v>1645</v>
      </c>
      <c r="CF71" s="757">
        <f>'Arable Inputs'!$F$19</f>
        <v>5.6</v>
      </c>
      <c r="CG71" s="757">
        <f>'Arable Inputs'!$F$26</f>
        <v>120</v>
      </c>
      <c r="CH71" s="759">
        <f>CD71*CE71+CF71*CG71</f>
        <v>6429.5</v>
      </c>
      <c r="CI71" s="197">
        <f>'Arable NPV'!$E151</f>
        <v>471.64</v>
      </c>
      <c r="CJ71" s="197">
        <f t="shared" si="168"/>
        <v>6901.14</v>
      </c>
      <c r="CK71" s="197">
        <f>'Arable NPV'!$G151</f>
        <v>3562.03775</v>
      </c>
      <c r="CL71" s="197">
        <f>'Arable NPV'!$H151</f>
        <v>2542.6675999999998</v>
      </c>
      <c r="CM71" s="197">
        <f>'Arable NPV'!$I151+'Arable NPV'!$I151</f>
        <v>12209.4107</v>
      </c>
      <c r="CN71" s="197">
        <f t="shared" si="169"/>
        <v>-5779.9107000000004</v>
      </c>
      <c r="CO71" s="197">
        <f t="shared" si="170"/>
        <v>-5308.2707</v>
      </c>
      <c r="CP71" s="196">
        <f t="shared" si="171"/>
        <v>4697.9726730602542</v>
      </c>
      <c r="CQ71" s="197">
        <f t="shared" si="172"/>
        <v>344.6227282871356</v>
      </c>
      <c r="CR71" s="197">
        <f t="shared" si="173"/>
        <v>8921.2968073364136</v>
      </c>
      <c r="CS71" s="197">
        <f t="shared" si="174"/>
        <v>-4223.3241342761594</v>
      </c>
      <c r="CT71" s="199">
        <f t="shared" si="175"/>
        <v>-3878.7014059890239</v>
      </c>
      <c r="CU71" s="196">
        <f t="shared" si="201"/>
        <v>47353.68080767183</v>
      </c>
      <c r="CV71" s="197">
        <f t="shared" si="202"/>
        <v>3647.0717928216054</v>
      </c>
      <c r="CW71" s="197">
        <f t="shared" si="203"/>
        <v>97841.780401570359</v>
      </c>
      <c r="CX71" s="197">
        <f t="shared" si="204"/>
        <v>-50488.099593898543</v>
      </c>
      <c r="CY71" s="199">
        <f t="shared" si="205"/>
        <v>-46841.027801076933</v>
      </c>
      <c r="DB71" s="204">
        <f t="shared" si="215"/>
        <v>9</v>
      </c>
      <c r="DC71" s="219" t="s">
        <v>5</v>
      </c>
      <c r="DD71" s="757">
        <f>'Arable Inputs'!$F$18</f>
        <v>3.5</v>
      </c>
      <c r="DE71" s="757">
        <f>'Arable Inputs'!$F$25</f>
        <v>1645</v>
      </c>
      <c r="DF71" s="757">
        <f>'Arable Inputs'!$F$19</f>
        <v>5.6</v>
      </c>
      <c r="DG71" s="757">
        <f>'Arable Inputs'!$F$26</f>
        <v>120</v>
      </c>
      <c r="DH71" s="759">
        <f>DD71*DE71+DF71*DG71</f>
        <v>6429.5</v>
      </c>
      <c r="DI71" s="197">
        <f>'Arable NPV'!$E151</f>
        <v>471.64</v>
      </c>
      <c r="DJ71" s="197">
        <f t="shared" si="176"/>
        <v>6901.14</v>
      </c>
      <c r="DK71" s="197">
        <f>'Arable NPV'!$G151</f>
        <v>3562.03775</v>
      </c>
      <c r="DL71" s="197">
        <f>'Arable NPV'!$H151</f>
        <v>2542.6675999999998</v>
      </c>
      <c r="DM71" s="197">
        <f>'Arable NPV'!$I151-'Arable NPV'!$I151</f>
        <v>0</v>
      </c>
      <c r="DN71" s="197">
        <f t="shared" si="177"/>
        <v>6429.5</v>
      </c>
      <c r="DO71" s="197">
        <f t="shared" si="178"/>
        <v>6901.14</v>
      </c>
      <c r="DP71" s="196">
        <f t="shared" si="179"/>
        <v>4697.9726730602542</v>
      </c>
      <c r="DQ71" s="197">
        <f t="shared" si="180"/>
        <v>344.6227282871356</v>
      </c>
      <c r="DR71" s="197">
        <f t="shared" si="181"/>
        <v>0</v>
      </c>
      <c r="DS71" s="197">
        <f t="shared" si="182"/>
        <v>4697.9726730602542</v>
      </c>
      <c r="DT71" s="199">
        <f t="shared" si="183"/>
        <v>5042.5954013473902</v>
      </c>
      <c r="DU71" s="196">
        <f t="shared" si="206"/>
        <v>47353.68080767183</v>
      </c>
      <c r="DV71" s="197">
        <f t="shared" si="207"/>
        <v>3647.0717928216054</v>
      </c>
      <c r="DW71" s="197">
        <f t="shared" si="208"/>
        <v>0</v>
      </c>
      <c r="DX71" s="197">
        <f t="shared" si="209"/>
        <v>47353.68080767183</v>
      </c>
      <c r="DY71" s="199">
        <f t="shared" si="210"/>
        <v>51000.752600493419</v>
      </c>
    </row>
    <row r="72" spans="2:129" x14ac:dyDescent="0.3">
      <c r="B72" s="204">
        <f t="shared" si="211"/>
        <v>10</v>
      </c>
      <c r="C72" s="219" t="s">
        <v>647</v>
      </c>
      <c r="D72" s="757">
        <f>'Arable Inputs'!$E$18</f>
        <v>2.5</v>
      </c>
      <c r="E72" s="757">
        <f>'Arable Inputs'!$E$25</f>
        <v>721</v>
      </c>
      <c r="F72" s="757">
        <f>'Arable Inputs'!$E$19</f>
        <v>3</v>
      </c>
      <c r="G72" s="757">
        <f>'Arable Inputs'!$E$26</f>
        <v>120</v>
      </c>
      <c r="H72" s="759">
        <f>D72*E72+F72*G72</f>
        <v>2162.5</v>
      </c>
      <c r="I72" s="197">
        <f>'Arable NPV'!$E152</f>
        <v>471.64</v>
      </c>
      <c r="J72" s="197">
        <f t="shared" si="145"/>
        <v>2634.14</v>
      </c>
      <c r="K72" s="197">
        <f>'Arable NPV'!$G152</f>
        <v>1959.4805899999999</v>
      </c>
      <c r="L72" s="197">
        <f>'Arable NPV'!$H152</f>
        <v>3608.9468000000006</v>
      </c>
      <c r="M72" s="197">
        <f t="shared" si="146"/>
        <v>5568.4273900000007</v>
      </c>
      <c r="N72" s="197">
        <f t="shared" si="147"/>
        <v>-3405.9273900000007</v>
      </c>
      <c r="O72" s="197">
        <f t="shared" si="148"/>
        <v>-2934.2873900000009</v>
      </c>
      <c r="P72" s="196">
        <f t="shared" si="149"/>
        <v>1519.3438156892209</v>
      </c>
      <c r="Q72" s="197">
        <f t="shared" si="150"/>
        <v>331.36800796839958</v>
      </c>
      <c r="R72" s="197">
        <f t="shared" si="151"/>
        <v>3912.3032222478478</v>
      </c>
      <c r="S72" s="197">
        <f t="shared" si="152"/>
        <v>-2392.9594065586266</v>
      </c>
      <c r="T72" s="199">
        <f t="shared" si="153"/>
        <v>-2061.5913985902271</v>
      </c>
      <c r="U72" s="196">
        <f t="shared" si="184"/>
        <v>48873.024623361052</v>
      </c>
      <c r="V72" s="197">
        <f t="shared" si="185"/>
        <v>3978.4398007900049</v>
      </c>
      <c r="W72" s="197">
        <f t="shared" si="186"/>
        <v>52833.19342303303</v>
      </c>
      <c r="X72" s="197">
        <f t="shared" si="187"/>
        <v>-3960.1687996719875</v>
      </c>
      <c r="Y72" s="199">
        <f t="shared" si="188"/>
        <v>18.271001118017921</v>
      </c>
      <c r="AB72" s="204">
        <f t="shared" si="212"/>
        <v>10</v>
      </c>
      <c r="AC72" s="219" t="s">
        <v>647</v>
      </c>
      <c r="AD72" s="757">
        <f>'Arable Inputs'!$E$18</f>
        <v>2.5</v>
      </c>
      <c r="AE72" s="757">
        <f>'Arable Inputs'!$E$25</f>
        <v>721</v>
      </c>
      <c r="AF72" s="757">
        <f>'Arable Inputs'!$E$19</f>
        <v>3</v>
      </c>
      <c r="AG72" s="757">
        <f>'Arable Inputs'!$E$26</f>
        <v>120</v>
      </c>
      <c r="AH72" s="759">
        <f>AD72*AE72+AF72*AG72</f>
        <v>2162.5</v>
      </c>
      <c r="AI72" s="197">
        <f>'Arable NPV'!$E152</f>
        <v>471.64</v>
      </c>
      <c r="AJ72" s="197">
        <f t="shared" si="154"/>
        <v>2634.14</v>
      </c>
      <c r="AK72" s="197">
        <f>'Arable NPV'!$G152</f>
        <v>1959.4805899999999</v>
      </c>
      <c r="AL72" s="197">
        <f>'Arable NPV'!$H152</f>
        <v>3608.9468000000006</v>
      </c>
      <c r="AM72" s="197">
        <f>'Arable NPV'!$I152+0.5*'Arable NPV'!$I152</f>
        <v>8352.6410850000011</v>
      </c>
      <c r="AN72" s="197">
        <f t="shared" si="155"/>
        <v>-6190.1410850000011</v>
      </c>
      <c r="AO72" s="197">
        <f t="shared" si="156"/>
        <v>-5718.5010850000017</v>
      </c>
      <c r="AP72" s="196">
        <f t="shared" si="157"/>
        <v>1519.3438156892209</v>
      </c>
      <c r="AQ72" s="197">
        <f t="shared" si="158"/>
        <v>331.36800796839958</v>
      </c>
      <c r="AR72" s="197">
        <f t="shared" si="159"/>
        <v>5868.4548333717712</v>
      </c>
      <c r="AS72" s="197">
        <f t="shared" si="160"/>
        <v>-4349.1110176825505</v>
      </c>
      <c r="AT72" s="199">
        <f t="shared" si="161"/>
        <v>-4017.7430097141514</v>
      </c>
      <c r="AU72" s="196">
        <f t="shared" si="189"/>
        <v>48873.024623361052</v>
      </c>
      <c r="AV72" s="197">
        <f t="shared" si="190"/>
        <v>3978.4398007900049</v>
      </c>
      <c r="AW72" s="197">
        <f t="shared" si="191"/>
        <v>79249.790134549519</v>
      </c>
      <c r="AX72" s="197">
        <f t="shared" si="192"/>
        <v>-30376.765511188503</v>
      </c>
      <c r="AY72" s="199">
        <f t="shared" si="193"/>
        <v>-26398.325710398494</v>
      </c>
      <c r="BB72" s="204">
        <f t="shared" si="213"/>
        <v>10</v>
      </c>
      <c r="BC72" s="219" t="s">
        <v>647</v>
      </c>
      <c r="BD72" s="757">
        <f>'Arable Inputs'!$E$18</f>
        <v>2.5</v>
      </c>
      <c r="BE72" s="757">
        <f>'Arable Inputs'!$E$25</f>
        <v>721</v>
      </c>
      <c r="BF72" s="757">
        <f>'Arable Inputs'!$E$19</f>
        <v>3</v>
      </c>
      <c r="BG72" s="757">
        <f>'Arable Inputs'!$E$26</f>
        <v>120</v>
      </c>
      <c r="BH72" s="759">
        <f>BD72*BE72+BF72*BG72</f>
        <v>2162.5</v>
      </c>
      <c r="BI72" s="197">
        <f>'Arable NPV'!$E152</f>
        <v>471.64</v>
      </c>
      <c r="BJ72" s="197">
        <f t="shared" si="194"/>
        <v>2634.14</v>
      </c>
      <c r="BK72" s="197">
        <f>'Arable NPV'!$G152</f>
        <v>1959.4805899999999</v>
      </c>
      <c r="BL72" s="197">
        <f>'Arable NPV'!$H152</f>
        <v>3608.9468000000006</v>
      </c>
      <c r="BM72" s="197">
        <f>'Arable NPV'!$I152-0.5*'Arable NPV'!$I152</f>
        <v>2784.2136950000004</v>
      </c>
      <c r="BN72" s="197">
        <f t="shared" si="195"/>
        <v>-621.71369500000037</v>
      </c>
      <c r="BO72" s="197">
        <f t="shared" si="162"/>
        <v>-150.0736950000005</v>
      </c>
      <c r="BP72" s="196">
        <f t="shared" si="163"/>
        <v>1519.3438156892209</v>
      </c>
      <c r="BQ72" s="197">
        <f t="shared" si="164"/>
        <v>331.36800796839958</v>
      </c>
      <c r="BR72" s="197">
        <f t="shared" si="165"/>
        <v>1956.1516111239239</v>
      </c>
      <c r="BS72" s="197">
        <f t="shared" si="166"/>
        <v>-436.80779543470294</v>
      </c>
      <c r="BT72" s="199">
        <f t="shared" si="167"/>
        <v>-105.4397874663034</v>
      </c>
      <c r="BU72" s="196">
        <f t="shared" si="196"/>
        <v>48873.024623361052</v>
      </c>
      <c r="BV72" s="197">
        <f t="shared" si="197"/>
        <v>3978.4398007900049</v>
      </c>
      <c r="BW72" s="197">
        <f t="shared" si="198"/>
        <v>26416.596711516515</v>
      </c>
      <c r="BX72" s="197">
        <f t="shared" si="199"/>
        <v>22456.42791184453</v>
      </c>
      <c r="BY72" s="199">
        <f t="shared" si="200"/>
        <v>26434.867712634528</v>
      </c>
      <c r="CB72" s="204">
        <f t="shared" si="214"/>
        <v>10</v>
      </c>
      <c r="CC72" s="219" t="s">
        <v>647</v>
      </c>
      <c r="CD72" s="757">
        <f>'Arable Inputs'!$E$18</f>
        <v>2.5</v>
      </c>
      <c r="CE72" s="757">
        <f>'Arable Inputs'!$E$25</f>
        <v>721</v>
      </c>
      <c r="CF72" s="757">
        <f>'Arable Inputs'!$E$19</f>
        <v>3</v>
      </c>
      <c r="CG72" s="757">
        <f>'Arable Inputs'!$E$26</f>
        <v>120</v>
      </c>
      <c r="CH72" s="759">
        <f>CD72*CE72+CF72*CG72</f>
        <v>2162.5</v>
      </c>
      <c r="CI72" s="197">
        <f>'Arable NPV'!$E152</f>
        <v>471.64</v>
      </c>
      <c r="CJ72" s="197">
        <f t="shared" si="168"/>
        <v>2634.14</v>
      </c>
      <c r="CK72" s="197">
        <f>'Arable NPV'!$G152</f>
        <v>1959.4805899999999</v>
      </c>
      <c r="CL72" s="197">
        <f>'Arable NPV'!$H152</f>
        <v>3608.9468000000006</v>
      </c>
      <c r="CM72" s="197">
        <f>'Arable NPV'!$I152+'Arable NPV'!$I152</f>
        <v>11136.854780000001</v>
      </c>
      <c r="CN72" s="197">
        <f t="shared" si="169"/>
        <v>-8974.3547800000015</v>
      </c>
      <c r="CO72" s="197">
        <f t="shared" si="170"/>
        <v>-8502.7147800000021</v>
      </c>
      <c r="CP72" s="196">
        <f t="shared" si="171"/>
        <v>1519.3438156892209</v>
      </c>
      <c r="CQ72" s="197">
        <f t="shared" si="172"/>
        <v>331.36800796839958</v>
      </c>
      <c r="CR72" s="197">
        <f t="shared" si="173"/>
        <v>7824.6064444956955</v>
      </c>
      <c r="CS72" s="197">
        <f t="shared" si="174"/>
        <v>-6305.2626288064748</v>
      </c>
      <c r="CT72" s="199">
        <f t="shared" si="175"/>
        <v>-5973.8946208380758</v>
      </c>
      <c r="CU72" s="196">
        <f t="shared" si="201"/>
        <v>48873.024623361052</v>
      </c>
      <c r="CV72" s="197">
        <f t="shared" si="202"/>
        <v>3978.4398007900049</v>
      </c>
      <c r="CW72" s="197">
        <f t="shared" si="203"/>
        <v>105666.38684606606</v>
      </c>
      <c r="CX72" s="197">
        <f t="shared" si="204"/>
        <v>-56793.362222705022</v>
      </c>
      <c r="CY72" s="199">
        <f t="shared" si="205"/>
        <v>-52814.922421915006</v>
      </c>
      <c r="DB72" s="204">
        <f t="shared" si="215"/>
        <v>10</v>
      </c>
      <c r="DC72" s="219" t="s">
        <v>647</v>
      </c>
      <c r="DD72" s="757">
        <f>'Arable Inputs'!$E$18</f>
        <v>2.5</v>
      </c>
      <c r="DE72" s="757">
        <f>'Arable Inputs'!$E$25</f>
        <v>721</v>
      </c>
      <c r="DF72" s="757">
        <f>'Arable Inputs'!$E$19</f>
        <v>3</v>
      </c>
      <c r="DG72" s="757">
        <f>'Arable Inputs'!$E$26</f>
        <v>120</v>
      </c>
      <c r="DH72" s="759">
        <f>DD72*DE72+DF72*DG72</f>
        <v>2162.5</v>
      </c>
      <c r="DI72" s="197">
        <f>'Arable NPV'!$E152</f>
        <v>471.64</v>
      </c>
      <c r="DJ72" s="197">
        <f t="shared" si="176"/>
        <v>2634.14</v>
      </c>
      <c r="DK72" s="197">
        <f>'Arable NPV'!$G152</f>
        <v>1959.4805899999999</v>
      </c>
      <c r="DL72" s="197">
        <f>'Arable NPV'!$H152</f>
        <v>3608.9468000000006</v>
      </c>
      <c r="DM72" s="197">
        <f>'Arable NPV'!$I152-'Arable NPV'!$I152</f>
        <v>0</v>
      </c>
      <c r="DN72" s="197">
        <f t="shared" si="177"/>
        <v>2162.5</v>
      </c>
      <c r="DO72" s="197">
        <f t="shared" si="178"/>
        <v>2634.14</v>
      </c>
      <c r="DP72" s="196">
        <f t="shared" si="179"/>
        <v>1519.3438156892209</v>
      </c>
      <c r="DQ72" s="197">
        <f t="shared" si="180"/>
        <v>331.36800796839958</v>
      </c>
      <c r="DR72" s="197">
        <f t="shared" si="181"/>
        <v>0</v>
      </c>
      <c r="DS72" s="197">
        <f t="shared" si="182"/>
        <v>1519.3438156892209</v>
      </c>
      <c r="DT72" s="199">
        <f t="shared" si="183"/>
        <v>1850.7118236576205</v>
      </c>
      <c r="DU72" s="196">
        <f t="shared" si="206"/>
        <v>48873.024623361052</v>
      </c>
      <c r="DV72" s="197">
        <f t="shared" si="207"/>
        <v>3978.4398007900049</v>
      </c>
      <c r="DW72" s="197">
        <f t="shared" si="208"/>
        <v>0</v>
      </c>
      <c r="DX72" s="197">
        <f t="shared" si="209"/>
        <v>48873.024623361052</v>
      </c>
      <c r="DY72" s="199">
        <f t="shared" si="210"/>
        <v>52851.46442415104</v>
      </c>
    </row>
    <row r="73" spans="2:129" x14ac:dyDescent="0.3">
      <c r="B73" s="204">
        <f t="shared" si="211"/>
        <v>11</v>
      </c>
      <c r="C73" s="219" t="s">
        <v>4</v>
      </c>
      <c r="D73" s="757">
        <f>'Arable Inputs'!$D$18</f>
        <v>4.5999999999999996</v>
      </c>
      <c r="E73" s="757">
        <f>'Arable Inputs'!$D$25</f>
        <v>867</v>
      </c>
      <c r="F73" s="757">
        <f>'Arable Inputs'!$D$19</f>
        <v>4.9000000000000004</v>
      </c>
      <c r="G73" s="757">
        <f>'Arable Inputs'!$D$26</f>
        <v>140</v>
      </c>
      <c r="H73" s="759">
        <f>D73*E73+F73*G73</f>
        <v>4674.2</v>
      </c>
      <c r="I73" s="197">
        <f>'Arable NPV'!$E153</f>
        <v>471.64</v>
      </c>
      <c r="J73" s="197">
        <f t="shared" si="145"/>
        <v>5145.84</v>
      </c>
      <c r="K73" s="197">
        <f>'Arable NPV'!$G153</f>
        <v>2731.3292000000006</v>
      </c>
      <c r="L73" s="197">
        <f>'Arable NPV'!$H153</f>
        <v>4055.6064000000006</v>
      </c>
      <c r="M73" s="197">
        <f t="shared" si="146"/>
        <v>6786.9356000000007</v>
      </c>
      <c r="N73" s="197">
        <f t="shared" si="147"/>
        <v>-2112.7356000000009</v>
      </c>
      <c r="O73" s="197">
        <f t="shared" si="148"/>
        <v>-1641.0956000000006</v>
      </c>
      <c r="P73" s="196">
        <f t="shared" si="149"/>
        <v>3157.7220379255473</v>
      </c>
      <c r="Q73" s="197">
        <f t="shared" si="150"/>
        <v>318.62308458499962</v>
      </c>
      <c r="R73" s="197">
        <f t="shared" si="151"/>
        <v>4585.0105074882231</v>
      </c>
      <c r="S73" s="197">
        <f t="shared" si="152"/>
        <v>-1427.2884695626753</v>
      </c>
      <c r="T73" s="199">
        <f t="shared" si="153"/>
        <v>-1108.6653849776756</v>
      </c>
      <c r="U73" s="196">
        <f t="shared" si="184"/>
        <v>52030.746661286597</v>
      </c>
      <c r="V73" s="197">
        <f t="shared" si="185"/>
        <v>4297.062885375005</v>
      </c>
      <c r="W73" s="197">
        <f t="shared" si="186"/>
        <v>57418.203930521253</v>
      </c>
      <c r="X73" s="197">
        <f t="shared" si="187"/>
        <v>-5387.4572692346628</v>
      </c>
      <c r="Y73" s="199">
        <f t="shared" si="188"/>
        <v>-1090.3943838596576</v>
      </c>
      <c r="AB73" s="204">
        <f t="shared" si="212"/>
        <v>11</v>
      </c>
      <c r="AC73" s="219" t="s">
        <v>4</v>
      </c>
      <c r="AD73" s="757">
        <f>'Arable Inputs'!$D$18</f>
        <v>4.5999999999999996</v>
      </c>
      <c r="AE73" s="757">
        <f>'Arable Inputs'!$D$25</f>
        <v>867</v>
      </c>
      <c r="AF73" s="757">
        <f>'Arable Inputs'!$D$19</f>
        <v>4.9000000000000004</v>
      </c>
      <c r="AG73" s="757">
        <f>'Arable Inputs'!$D$26</f>
        <v>140</v>
      </c>
      <c r="AH73" s="759">
        <f>AD73*AE73+AF73*AG73</f>
        <v>4674.2</v>
      </c>
      <c r="AI73" s="197">
        <f>'Arable NPV'!$E153</f>
        <v>471.64</v>
      </c>
      <c r="AJ73" s="197">
        <f t="shared" si="154"/>
        <v>5145.84</v>
      </c>
      <c r="AK73" s="197">
        <f>'Arable NPV'!$G153</f>
        <v>2731.3292000000006</v>
      </c>
      <c r="AL73" s="197">
        <f>'Arable NPV'!$H153</f>
        <v>4055.6064000000006</v>
      </c>
      <c r="AM73" s="197">
        <f>'Arable NPV'!$I153+0.5*'Arable NPV'!$I153</f>
        <v>10180.403400000001</v>
      </c>
      <c r="AN73" s="197">
        <f t="shared" si="155"/>
        <v>-5506.2034000000012</v>
      </c>
      <c r="AO73" s="197">
        <f t="shared" si="156"/>
        <v>-5034.5634000000009</v>
      </c>
      <c r="AP73" s="196">
        <f t="shared" si="157"/>
        <v>3157.7220379255473</v>
      </c>
      <c r="AQ73" s="197">
        <f t="shared" si="158"/>
        <v>318.62308458499962</v>
      </c>
      <c r="AR73" s="197">
        <f t="shared" si="159"/>
        <v>6877.5157612323346</v>
      </c>
      <c r="AS73" s="197">
        <f t="shared" si="160"/>
        <v>-3719.7937233067869</v>
      </c>
      <c r="AT73" s="199">
        <f t="shared" si="161"/>
        <v>-3401.1706387217869</v>
      </c>
      <c r="AU73" s="196">
        <f t="shared" si="189"/>
        <v>52030.746661286597</v>
      </c>
      <c r="AV73" s="197">
        <f t="shared" si="190"/>
        <v>4297.062885375005</v>
      </c>
      <c r="AW73" s="197">
        <f t="shared" si="191"/>
        <v>86127.305895781858</v>
      </c>
      <c r="AX73" s="197">
        <f t="shared" si="192"/>
        <v>-34096.559234495289</v>
      </c>
      <c r="AY73" s="199">
        <f t="shared" si="193"/>
        <v>-29799.49634912028</v>
      </c>
      <c r="BB73" s="204">
        <f t="shared" si="213"/>
        <v>11</v>
      </c>
      <c r="BC73" s="219" t="s">
        <v>4</v>
      </c>
      <c r="BD73" s="757">
        <f>'Arable Inputs'!$D$18</f>
        <v>4.5999999999999996</v>
      </c>
      <c r="BE73" s="757">
        <f>'Arable Inputs'!$D$25</f>
        <v>867</v>
      </c>
      <c r="BF73" s="757">
        <f>'Arable Inputs'!$D$19</f>
        <v>4.9000000000000004</v>
      </c>
      <c r="BG73" s="757">
        <f>'Arable Inputs'!$D$26</f>
        <v>140</v>
      </c>
      <c r="BH73" s="759">
        <f>BD73*BE73+BF73*BG73</f>
        <v>4674.2</v>
      </c>
      <c r="BI73" s="197">
        <f>'Arable NPV'!$E153</f>
        <v>471.64</v>
      </c>
      <c r="BJ73" s="197">
        <f t="shared" si="194"/>
        <v>5145.84</v>
      </c>
      <c r="BK73" s="197">
        <f>'Arable NPV'!$G153</f>
        <v>2731.3292000000006</v>
      </c>
      <c r="BL73" s="197">
        <f>'Arable NPV'!$H153</f>
        <v>4055.6064000000006</v>
      </c>
      <c r="BM73" s="197">
        <f>'Arable NPV'!$I153-0.5*'Arable NPV'!$I153</f>
        <v>3393.4678000000004</v>
      </c>
      <c r="BN73" s="197">
        <f t="shared" si="195"/>
        <v>1280.7321999999995</v>
      </c>
      <c r="BO73" s="197">
        <f t="shared" si="162"/>
        <v>1752.3721999999998</v>
      </c>
      <c r="BP73" s="196">
        <f t="shared" si="163"/>
        <v>3157.7220379255473</v>
      </c>
      <c r="BQ73" s="197">
        <f t="shared" si="164"/>
        <v>318.62308458499962</v>
      </c>
      <c r="BR73" s="197">
        <f t="shared" si="165"/>
        <v>2292.5052537441115</v>
      </c>
      <c r="BS73" s="197">
        <f t="shared" si="166"/>
        <v>865.21678418143608</v>
      </c>
      <c r="BT73" s="199">
        <f t="shared" si="167"/>
        <v>1183.839868766436</v>
      </c>
      <c r="BU73" s="196">
        <f t="shared" si="196"/>
        <v>52030.746661286597</v>
      </c>
      <c r="BV73" s="197">
        <f t="shared" si="197"/>
        <v>4297.062885375005</v>
      </c>
      <c r="BW73" s="197">
        <f t="shared" si="198"/>
        <v>28709.101965260626</v>
      </c>
      <c r="BX73" s="197">
        <f t="shared" si="199"/>
        <v>23321.644696025967</v>
      </c>
      <c r="BY73" s="199">
        <f t="shared" si="200"/>
        <v>27618.707581400966</v>
      </c>
      <c r="CB73" s="204">
        <f t="shared" si="214"/>
        <v>11</v>
      </c>
      <c r="CC73" s="219" t="s">
        <v>4</v>
      </c>
      <c r="CD73" s="757">
        <f>'Arable Inputs'!$D$18</f>
        <v>4.5999999999999996</v>
      </c>
      <c r="CE73" s="757">
        <f>'Arable Inputs'!$D$25</f>
        <v>867</v>
      </c>
      <c r="CF73" s="757">
        <f>'Arable Inputs'!$D$19</f>
        <v>4.9000000000000004</v>
      </c>
      <c r="CG73" s="757">
        <f>'Arable Inputs'!$D$26</f>
        <v>140</v>
      </c>
      <c r="CH73" s="759">
        <f>CD73*CE73+CF73*CG73</f>
        <v>4674.2</v>
      </c>
      <c r="CI73" s="197">
        <f>'Arable NPV'!$E153</f>
        <v>471.64</v>
      </c>
      <c r="CJ73" s="197">
        <f t="shared" si="168"/>
        <v>5145.84</v>
      </c>
      <c r="CK73" s="197">
        <f>'Arable NPV'!$G153</f>
        <v>2731.3292000000006</v>
      </c>
      <c r="CL73" s="197">
        <f>'Arable NPV'!$H153</f>
        <v>4055.6064000000006</v>
      </c>
      <c r="CM73" s="197">
        <f>'Arable NPV'!$I153+'Arable NPV'!$I153</f>
        <v>13573.871200000001</v>
      </c>
      <c r="CN73" s="197">
        <f t="shared" si="169"/>
        <v>-8899.6712000000007</v>
      </c>
      <c r="CO73" s="197">
        <f t="shared" si="170"/>
        <v>-8428.0312000000013</v>
      </c>
      <c r="CP73" s="196">
        <f t="shared" si="171"/>
        <v>3157.7220379255473</v>
      </c>
      <c r="CQ73" s="197">
        <f t="shared" si="172"/>
        <v>318.62308458499962</v>
      </c>
      <c r="CR73" s="197">
        <f t="shared" si="173"/>
        <v>9170.0210149764462</v>
      </c>
      <c r="CS73" s="197">
        <f t="shared" si="174"/>
        <v>-6012.2989770508975</v>
      </c>
      <c r="CT73" s="199">
        <f t="shared" si="175"/>
        <v>-5693.6758924658989</v>
      </c>
      <c r="CU73" s="196">
        <f t="shared" si="201"/>
        <v>52030.746661286597</v>
      </c>
      <c r="CV73" s="197">
        <f t="shared" si="202"/>
        <v>4297.062885375005</v>
      </c>
      <c r="CW73" s="197">
        <f t="shared" si="203"/>
        <v>114836.40786104251</v>
      </c>
      <c r="CX73" s="197">
        <f t="shared" si="204"/>
        <v>-62805.661199755923</v>
      </c>
      <c r="CY73" s="199">
        <f t="shared" si="205"/>
        <v>-58508.598314380906</v>
      </c>
      <c r="DB73" s="204">
        <f t="shared" si="215"/>
        <v>11</v>
      </c>
      <c r="DC73" s="219" t="s">
        <v>4</v>
      </c>
      <c r="DD73" s="757">
        <f>'Arable Inputs'!$D$18</f>
        <v>4.5999999999999996</v>
      </c>
      <c r="DE73" s="757">
        <f>'Arable Inputs'!$D$25</f>
        <v>867</v>
      </c>
      <c r="DF73" s="757">
        <f>'Arable Inputs'!$D$19</f>
        <v>4.9000000000000004</v>
      </c>
      <c r="DG73" s="757">
        <f>'Arable Inputs'!$D$26</f>
        <v>140</v>
      </c>
      <c r="DH73" s="759">
        <f>DD73*DE73+DF73*DG73</f>
        <v>4674.2</v>
      </c>
      <c r="DI73" s="197">
        <f>'Arable NPV'!$E153</f>
        <v>471.64</v>
      </c>
      <c r="DJ73" s="197">
        <f t="shared" si="176"/>
        <v>5145.84</v>
      </c>
      <c r="DK73" s="197">
        <f>'Arable NPV'!$G153</f>
        <v>2731.3292000000006</v>
      </c>
      <c r="DL73" s="197">
        <f>'Arable NPV'!$H153</f>
        <v>4055.6064000000006</v>
      </c>
      <c r="DM73" s="197">
        <f>'Arable NPV'!$I153-'Arable NPV'!$I153</f>
        <v>0</v>
      </c>
      <c r="DN73" s="197">
        <f t="shared" si="177"/>
        <v>4674.2</v>
      </c>
      <c r="DO73" s="197">
        <f t="shared" si="178"/>
        <v>5145.84</v>
      </c>
      <c r="DP73" s="196">
        <f t="shared" si="179"/>
        <v>3157.7220379255473</v>
      </c>
      <c r="DQ73" s="197">
        <f t="shared" si="180"/>
        <v>318.62308458499962</v>
      </c>
      <c r="DR73" s="197">
        <f t="shared" si="181"/>
        <v>0</v>
      </c>
      <c r="DS73" s="197">
        <f t="shared" si="182"/>
        <v>3157.7220379255473</v>
      </c>
      <c r="DT73" s="199">
        <f t="shared" si="183"/>
        <v>3476.3451225105473</v>
      </c>
      <c r="DU73" s="196">
        <f t="shared" si="206"/>
        <v>52030.746661286597</v>
      </c>
      <c r="DV73" s="197">
        <f t="shared" si="207"/>
        <v>4297.062885375005</v>
      </c>
      <c r="DW73" s="197">
        <f t="shared" si="208"/>
        <v>0</v>
      </c>
      <c r="DX73" s="197">
        <f t="shared" si="209"/>
        <v>52030.746661286597</v>
      </c>
      <c r="DY73" s="199">
        <f t="shared" si="210"/>
        <v>56327.809546661585</v>
      </c>
    </row>
    <row r="74" spans="2:129" x14ac:dyDescent="0.3">
      <c r="B74" s="204">
        <f t="shared" si="211"/>
        <v>12</v>
      </c>
      <c r="C74" s="219" t="s">
        <v>6</v>
      </c>
      <c r="D74" s="757">
        <f>'Arable Inputs'!$G$18</f>
        <v>56.8</v>
      </c>
      <c r="E74" s="757">
        <f>'Arable Inputs'!$G$25</f>
        <v>120</v>
      </c>
      <c r="H74" s="759">
        <f>D74*E74</f>
        <v>6816</v>
      </c>
      <c r="I74" s="197">
        <f>'Arable NPV'!$E154</f>
        <v>471.64</v>
      </c>
      <c r="J74" s="197">
        <f t="shared" si="145"/>
        <v>7287.64</v>
      </c>
      <c r="K74" s="197">
        <f>'Arable NPV'!$G154</f>
        <v>3648.3062999999997</v>
      </c>
      <c r="L74" s="197">
        <f>'Arable NPV'!$H154</f>
        <v>3375.8132000000005</v>
      </c>
      <c r="M74" s="197">
        <f t="shared" si="146"/>
        <v>7024.1195000000007</v>
      </c>
      <c r="N74" s="197">
        <f t="shared" si="147"/>
        <v>-208.1195000000007</v>
      </c>
      <c r="O74" s="197">
        <f t="shared" si="148"/>
        <v>263.52049999999963</v>
      </c>
      <c r="P74" s="196">
        <f t="shared" si="149"/>
        <v>4427.5436295352338</v>
      </c>
      <c r="Q74" s="197">
        <f t="shared" si="150"/>
        <v>306.36835056249964</v>
      </c>
      <c r="R74" s="197">
        <f t="shared" si="151"/>
        <v>4562.7340882217159</v>
      </c>
      <c r="S74" s="197">
        <f t="shared" si="152"/>
        <v>-135.19045868648197</v>
      </c>
      <c r="T74" s="199">
        <f t="shared" si="153"/>
        <v>171.1778918760179</v>
      </c>
      <c r="U74" s="196">
        <f t="shared" si="184"/>
        <v>56458.290290821831</v>
      </c>
      <c r="V74" s="197">
        <f t="shared" si="185"/>
        <v>4603.4312359375044</v>
      </c>
      <c r="W74" s="197">
        <f t="shared" si="186"/>
        <v>61980.938018742971</v>
      </c>
      <c r="X74" s="197">
        <f t="shared" si="187"/>
        <v>-5522.6477279211449</v>
      </c>
      <c r="Y74" s="199">
        <f t="shared" si="188"/>
        <v>-919.2164919836398</v>
      </c>
      <c r="AB74" s="204">
        <f t="shared" si="212"/>
        <v>12</v>
      </c>
      <c r="AC74" s="219" t="s">
        <v>6</v>
      </c>
      <c r="AD74" s="757">
        <f>'Arable Inputs'!$G$18</f>
        <v>56.8</v>
      </c>
      <c r="AE74" s="757">
        <f>'Arable Inputs'!$G$25</f>
        <v>120</v>
      </c>
      <c r="AH74" s="759">
        <f>AD74*AE74</f>
        <v>6816</v>
      </c>
      <c r="AI74" s="197">
        <f>'Arable NPV'!$E154</f>
        <v>471.64</v>
      </c>
      <c r="AJ74" s="197">
        <f t="shared" si="154"/>
        <v>7287.64</v>
      </c>
      <c r="AK74" s="197">
        <f>'Arable NPV'!$G154</f>
        <v>3648.3062999999997</v>
      </c>
      <c r="AL74" s="197">
        <f>'Arable NPV'!$H154</f>
        <v>3375.8132000000005</v>
      </c>
      <c r="AM74" s="197">
        <f>'Arable NPV'!$I154+0.5*'Arable NPV'!$I154</f>
        <v>10536.179250000001</v>
      </c>
      <c r="AN74" s="197">
        <f t="shared" si="155"/>
        <v>-3720.179250000001</v>
      </c>
      <c r="AO74" s="197">
        <f t="shared" si="156"/>
        <v>-3248.5392500000007</v>
      </c>
      <c r="AP74" s="196">
        <f t="shared" si="157"/>
        <v>4427.5436295352338</v>
      </c>
      <c r="AQ74" s="197">
        <f t="shared" si="158"/>
        <v>306.36835056249964</v>
      </c>
      <c r="AR74" s="197">
        <f t="shared" si="159"/>
        <v>6844.1011323325738</v>
      </c>
      <c r="AS74" s="197">
        <f t="shared" si="160"/>
        <v>-2416.55750279734</v>
      </c>
      <c r="AT74" s="199">
        <f t="shared" si="161"/>
        <v>-2110.1891522348401</v>
      </c>
      <c r="AU74" s="196">
        <f t="shared" si="189"/>
        <v>56458.290290821831</v>
      </c>
      <c r="AV74" s="197">
        <f t="shared" si="190"/>
        <v>4603.4312359375044</v>
      </c>
      <c r="AW74" s="197">
        <f t="shared" si="191"/>
        <v>92971.407028114438</v>
      </c>
      <c r="AX74" s="197">
        <f t="shared" si="192"/>
        <v>-36513.116737292628</v>
      </c>
      <c r="AY74" s="199">
        <f t="shared" si="193"/>
        <v>-31909.685501355121</v>
      </c>
      <c r="BB74" s="204">
        <f t="shared" si="213"/>
        <v>12</v>
      </c>
      <c r="BC74" s="219" t="s">
        <v>6</v>
      </c>
      <c r="BD74" s="757">
        <f>'Arable Inputs'!$G$18</f>
        <v>56.8</v>
      </c>
      <c r="BE74" s="757">
        <f>'Arable Inputs'!$G$25</f>
        <v>120</v>
      </c>
      <c r="BH74" s="759">
        <f>BD74*BE74</f>
        <v>6816</v>
      </c>
      <c r="BI74" s="197">
        <f>'Arable NPV'!$E154</f>
        <v>471.64</v>
      </c>
      <c r="BJ74" s="197">
        <f t="shared" si="194"/>
        <v>7287.64</v>
      </c>
      <c r="BK74" s="197">
        <f>'Arable NPV'!$G154</f>
        <v>3648.3062999999997</v>
      </c>
      <c r="BL74" s="197">
        <f>'Arable NPV'!$H154</f>
        <v>3375.8132000000005</v>
      </c>
      <c r="BM74" s="197">
        <f>'Arable NPV'!$I154-0.5*'Arable NPV'!$I154</f>
        <v>3512.0597500000003</v>
      </c>
      <c r="BN74" s="197">
        <f t="shared" si="195"/>
        <v>3303.9402499999997</v>
      </c>
      <c r="BO74" s="197">
        <f t="shared" si="162"/>
        <v>3775.58025</v>
      </c>
      <c r="BP74" s="196">
        <f t="shared" si="163"/>
        <v>4427.5436295352338</v>
      </c>
      <c r="BQ74" s="197">
        <f t="shared" si="164"/>
        <v>306.36835056249964</v>
      </c>
      <c r="BR74" s="197">
        <f t="shared" si="165"/>
        <v>2281.3670441108579</v>
      </c>
      <c r="BS74" s="197">
        <f t="shared" si="166"/>
        <v>2146.1765854243758</v>
      </c>
      <c r="BT74" s="199">
        <f t="shared" si="167"/>
        <v>2452.5449359868758</v>
      </c>
      <c r="BU74" s="196">
        <f t="shared" si="196"/>
        <v>56458.290290821831</v>
      </c>
      <c r="BV74" s="197">
        <f t="shared" si="197"/>
        <v>4603.4312359375044</v>
      </c>
      <c r="BW74" s="197">
        <f t="shared" si="198"/>
        <v>30990.469009371485</v>
      </c>
      <c r="BX74" s="197">
        <f t="shared" si="199"/>
        <v>25467.821281450342</v>
      </c>
      <c r="BY74" s="199">
        <f t="shared" si="200"/>
        <v>30071.252517387842</v>
      </c>
      <c r="CB74" s="204">
        <f t="shared" si="214"/>
        <v>12</v>
      </c>
      <c r="CC74" s="219" t="s">
        <v>6</v>
      </c>
      <c r="CD74" s="757">
        <f>'Arable Inputs'!$G$18</f>
        <v>56.8</v>
      </c>
      <c r="CE74" s="757">
        <f>'Arable Inputs'!$G$25</f>
        <v>120</v>
      </c>
      <c r="CH74" s="759">
        <f>CD74*CE74</f>
        <v>6816</v>
      </c>
      <c r="CI74" s="197">
        <f>'Arable NPV'!$E154</f>
        <v>471.64</v>
      </c>
      <c r="CJ74" s="197">
        <f t="shared" si="168"/>
        <v>7287.64</v>
      </c>
      <c r="CK74" s="197">
        <f>'Arable NPV'!$G154</f>
        <v>3648.3062999999997</v>
      </c>
      <c r="CL74" s="197">
        <f>'Arable NPV'!$H154</f>
        <v>3375.8132000000005</v>
      </c>
      <c r="CM74" s="197">
        <f>'Arable NPV'!$I154+'Arable NPV'!$I154</f>
        <v>14048.239000000001</v>
      </c>
      <c r="CN74" s="197">
        <f t="shared" si="169"/>
        <v>-7232.2390000000014</v>
      </c>
      <c r="CO74" s="197">
        <f t="shared" si="170"/>
        <v>-6760.5990000000011</v>
      </c>
      <c r="CP74" s="196">
        <f t="shared" si="171"/>
        <v>4427.5436295352338</v>
      </c>
      <c r="CQ74" s="197">
        <f t="shared" si="172"/>
        <v>306.36835056249964</v>
      </c>
      <c r="CR74" s="197">
        <f t="shared" si="173"/>
        <v>9125.4681764434317</v>
      </c>
      <c r="CS74" s="197">
        <f t="shared" si="174"/>
        <v>-4697.924546908198</v>
      </c>
      <c r="CT74" s="199">
        <f t="shared" si="175"/>
        <v>-4391.5561963456976</v>
      </c>
      <c r="CU74" s="196">
        <f t="shared" si="201"/>
        <v>56458.290290821831</v>
      </c>
      <c r="CV74" s="197">
        <f t="shared" si="202"/>
        <v>4603.4312359375044</v>
      </c>
      <c r="CW74" s="197">
        <f t="shared" si="203"/>
        <v>123961.87603748594</v>
      </c>
      <c r="CX74" s="197">
        <f t="shared" si="204"/>
        <v>-67503.585746664117</v>
      </c>
      <c r="CY74" s="199">
        <f t="shared" si="205"/>
        <v>-62900.154510726607</v>
      </c>
      <c r="DB74" s="204">
        <f t="shared" si="215"/>
        <v>12</v>
      </c>
      <c r="DC74" s="219" t="s">
        <v>6</v>
      </c>
      <c r="DD74" s="757">
        <f>'Arable Inputs'!$G$18</f>
        <v>56.8</v>
      </c>
      <c r="DE74" s="757">
        <f>'Arable Inputs'!$G$25</f>
        <v>120</v>
      </c>
      <c r="DH74" s="759">
        <f>DD74*DE74</f>
        <v>6816</v>
      </c>
      <c r="DI74" s="197">
        <f>'Arable NPV'!$E154</f>
        <v>471.64</v>
      </c>
      <c r="DJ74" s="197">
        <f t="shared" si="176"/>
        <v>7287.64</v>
      </c>
      <c r="DK74" s="197">
        <f>'Arable NPV'!$G154</f>
        <v>3648.3062999999997</v>
      </c>
      <c r="DL74" s="197">
        <f>'Arable NPV'!$H154</f>
        <v>3375.8132000000005</v>
      </c>
      <c r="DM74" s="197">
        <f>'Arable NPV'!$I154-'Arable NPV'!$I154</f>
        <v>0</v>
      </c>
      <c r="DN74" s="197">
        <f t="shared" si="177"/>
        <v>6816</v>
      </c>
      <c r="DO74" s="197">
        <f t="shared" si="178"/>
        <v>7287.64</v>
      </c>
      <c r="DP74" s="196">
        <f t="shared" si="179"/>
        <v>4427.5436295352338</v>
      </c>
      <c r="DQ74" s="197">
        <f t="shared" si="180"/>
        <v>306.36835056249964</v>
      </c>
      <c r="DR74" s="197">
        <f t="shared" si="181"/>
        <v>0</v>
      </c>
      <c r="DS74" s="197">
        <f t="shared" si="182"/>
        <v>4427.5436295352338</v>
      </c>
      <c r="DT74" s="199">
        <f t="shared" si="183"/>
        <v>4733.9119800977342</v>
      </c>
      <c r="DU74" s="196">
        <f t="shared" si="206"/>
        <v>56458.290290821831</v>
      </c>
      <c r="DV74" s="197">
        <f t="shared" si="207"/>
        <v>4603.4312359375044</v>
      </c>
      <c r="DW74" s="197">
        <f t="shared" si="208"/>
        <v>0</v>
      </c>
      <c r="DX74" s="197">
        <f t="shared" si="209"/>
        <v>56458.290290821831</v>
      </c>
      <c r="DY74" s="199">
        <f t="shared" si="210"/>
        <v>61061.72152675932</v>
      </c>
    </row>
    <row r="75" spans="2:129" x14ac:dyDescent="0.3">
      <c r="B75" s="204">
        <f t="shared" si="211"/>
        <v>13</v>
      </c>
      <c r="C75" s="219" t="s">
        <v>29</v>
      </c>
      <c r="D75" s="757">
        <f>'Arable Inputs'!$H$18</f>
        <v>12</v>
      </c>
      <c r="E75" s="757">
        <f>'Arable Inputs'!$H$25</f>
        <v>724</v>
      </c>
      <c r="H75" s="759">
        <f>D75*E75</f>
        <v>8688</v>
      </c>
      <c r="I75" s="197">
        <f>'Arable NPV'!$E155</f>
        <v>471.64</v>
      </c>
      <c r="J75" s="197">
        <f t="shared" si="145"/>
        <v>9159.64</v>
      </c>
      <c r="K75" s="197">
        <f>'Arable NPV'!$G155</f>
        <v>2474.37212</v>
      </c>
      <c r="L75" s="197">
        <f>'Arable NPV'!$H155</f>
        <v>3226.3624</v>
      </c>
      <c r="M75" s="197">
        <f t="shared" si="146"/>
        <v>5700.73452</v>
      </c>
      <c r="N75" s="197">
        <f t="shared" si="147"/>
        <v>2987.26548</v>
      </c>
      <c r="O75" s="197">
        <f t="shared" si="148"/>
        <v>3458.9054799999994</v>
      </c>
      <c r="P75" s="196">
        <f t="shared" si="149"/>
        <v>5426.499166751606</v>
      </c>
      <c r="Q75" s="197">
        <f t="shared" si="150"/>
        <v>294.58495246394193</v>
      </c>
      <c r="R75" s="197">
        <f t="shared" si="151"/>
        <v>3560.6619616312287</v>
      </c>
      <c r="S75" s="197">
        <f t="shared" si="152"/>
        <v>1865.8372051203771</v>
      </c>
      <c r="T75" s="199">
        <f t="shared" si="153"/>
        <v>2160.4221575843185</v>
      </c>
      <c r="U75" s="196">
        <f t="shared" si="184"/>
        <v>61884.789457573439</v>
      </c>
      <c r="V75" s="197">
        <f t="shared" si="185"/>
        <v>4898.016188401446</v>
      </c>
      <c r="W75" s="197">
        <f t="shared" si="186"/>
        <v>65541.599980374202</v>
      </c>
      <c r="X75" s="197">
        <f t="shared" si="187"/>
        <v>-3656.810522800768</v>
      </c>
      <c r="Y75" s="199">
        <f t="shared" si="188"/>
        <v>1241.2056656006787</v>
      </c>
      <c r="AB75" s="204">
        <f t="shared" si="212"/>
        <v>13</v>
      </c>
      <c r="AC75" s="219" t="s">
        <v>29</v>
      </c>
      <c r="AD75" s="757">
        <f>'Arable Inputs'!$H$18</f>
        <v>12</v>
      </c>
      <c r="AE75" s="757">
        <f>'Arable Inputs'!$H$25</f>
        <v>724</v>
      </c>
      <c r="AH75" s="759">
        <f>AD75*AE75</f>
        <v>8688</v>
      </c>
      <c r="AI75" s="197">
        <f>'Arable NPV'!$E155</f>
        <v>471.64</v>
      </c>
      <c r="AJ75" s="197">
        <f t="shared" si="154"/>
        <v>9159.64</v>
      </c>
      <c r="AK75" s="197">
        <f>'Arable NPV'!$G155</f>
        <v>2474.37212</v>
      </c>
      <c r="AL75" s="197">
        <f>'Arable NPV'!$H155</f>
        <v>3226.3624</v>
      </c>
      <c r="AM75" s="197">
        <f>'Arable NPV'!$I155+0.5*'Arable NPV'!$I155</f>
        <v>8551.1017800000009</v>
      </c>
      <c r="AN75" s="197">
        <f t="shared" si="155"/>
        <v>136.89821999999913</v>
      </c>
      <c r="AO75" s="197">
        <f t="shared" si="156"/>
        <v>608.53821999999855</v>
      </c>
      <c r="AP75" s="196">
        <f t="shared" si="157"/>
        <v>5426.499166751606</v>
      </c>
      <c r="AQ75" s="197">
        <f t="shared" si="158"/>
        <v>294.58495246394193</v>
      </c>
      <c r="AR75" s="197">
        <f t="shared" si="159"/>
        <v>5340.9929424468437</v>
      </c>
      <c r="AS75" s="197">
        <f t="shared" si="160"/>
        <v>85.506224304762114</v>
      </c>
      <c r="AT75" s="199">
        <f t="shared" si="161"/>
        <v>380.09117676870369</v>
      </c>
      <c r="AU75" s="196">
        <f t="shared" si="189"/>
        <v>61884.789457573439</v>
      </c>
      <c r="AV75" s="197">
        <f t="shared" si="190"/>
        <v>4898.016188401446</v>
      </c>
      <c r="AW75" s="197">
        <f t="shared" si="191"/>
        <v>98312.39997056128</v>
      </c>
      <c r="AX75" s="197">
        <f t="shared" si="192"/>
        <v>-36427.610512987863</v>
      </c>
      <c r="AY75" s="199">
        <f t="shared" si="193"/>
        <v>-31529.594324586418</v>
      </c>
      <c r="BB75" s="204">
        <f t="shared" si="213"/>
        <v>13</v>
      </c>
      <c r="BC75" s="219" t="s">
        <v>29</v>
      </c>
      <c r="BD75" s="757">
        <f>'Arable Inputs'!$H$18</f>
        <v>12</v>
      </c>
      <c r="BE75" s="757">
        <f>'Arable Inputs'!$H$25</f>
        <v>724</v>
      </c>
      <c r="BH75" s="759">
        <f>BD75*BE75</f>
        <v>8688</v>
      </c>
      <c r="BI75" s="197">
        <f>'Arable NPV'!$E155</f>
        <v>471.64</v>
      </c>
      <c r="BJ75" s="197">
        <f t="shared" si="194"/>
        <v>9159.64</v>
      </c>
      <c r="BK75" s="197">
        <f>'Arable NPV'!$G155</f>
        <v>2474.37212</v>
      </c>
      <c r="BL75" s="197">
        <f>'Arable NPV'!$H155</f>
        <v>3226.3624</v>
      </c>
      <c r="BM75" s="197">
        <f>'Arable NPV'!$I155-0.5*'Arable NPV'!$I155</f>
        <v>2850.36726</v>
      </c>
      <c r="BN75" s="197">
        <f t="shared" si="195"/>
        <v>5837.63274</v>
      </c>
      <c r="BO75" s="197">
        <f t="shared" si="162"/>
        <v>6309.2727399999994</v>
      </c>
      <c r="BP75" s="196">
        <f t="shared" si="163"/>
        <v>5426.499166751606</v>
      </c>
      <c r="BQ75" s="197">
        <f t="shared" si="164"/>
        <v>294.58495246394193</v>
      </c>
      <c r="BR75" s="197">
        <f t="shared" si="165"/>
        <v>1780.3309808156143</v>
      </c>
      <c r="BS75" s="197">
        <f t="shared" si="166"/>
        <v>3646.1681859359915</v>
      </c>
      <c r="BT75" s="199">
        <f t="shared" si="167"/>
        <v>3940.7531383999331</v>
      </c>
      <c r="BU75" s="196">
        <f t="shared" si="196"/>
        <v>61884.789457573439</v>
      </c>
      <c r="BV75" s="197">
        <f t="shared" si="197"/>
        <v>4898.016188401446</v>
      </c>
      <c r="BW75" s="197">
        <f t="shared" si="198"/>
        <v>32770.799990187101</v>
      </c>
      <c r="BX75" s="197">
        <f t="shared" si="199"/>
        <v>29113.989467386335</v>
      </c>
      <c r="BY75" s="199">
        <f t="shared" si="200"/>
        <v>34012.005655787776</v>
      </c>
      <c r="CB75" s="204">
        <f t="shared" si="214"/>
        <v>13</v>
      </c>
      <c r="CC75" s="219" t="s">
        <v>29</v>
      </c>
      <c r="CD75" s="757">
        <f>'Arable Inputs'!$H$18</f>
        <v>12</v>
      </c>
      <c r="CE75" s="757">
        <f>'Arable Inputs'!$H$25</f>
        <v>724</v>
      </c>
      <c r="CH75" s="759">
        <f>CD75*CE75</f>
        <v>8688</v>
      </c>
      <c r="CI75" s="197">
        <f>'Arable NPV'!$E155</f>
        <v>471.64</v>
      </c>
      <c r="CJ75" s="197">
        <f t="shared" si="168"/>
        <v>9159.64</v>
      </c>
      <c r="CK75" s="197">
        <f>'Arable NPV'!$G155</f>
        <v>2474.37212</v>
      </c>
      <c r="CL75" s="197">
        <f>'Arable NPV'!$H155</f>
        <v>3226.3624</v>
      </c>
      <c r="CM75" s="197">
        <f>'Arable NPV'!$I155+'Arable NPV'!$I155</f>
        <v>11401.46904</v>
      </c>
      <c r="CN75" s="197">
        <f t="shared" si="169"/>
        <v>-2713.4690399999999</v>
      </c>
      <c r="CO75" s="197">
        <f t="shared" si="170"/>
        <v>-2241.8290400000005</v>
      </c>
      <c r="CP75" s="196">
        <f t="shared" si="171"/>
        <v>5426.499166751606</v>
      </c>
      <c r="CQ75" s="197">
        <f t="shared" si="172"/>
        <v>294.58495246394193</v>
      </c>
      <c r="CR75" s="197">
        <f t="shared" si="173"/>
        <v>7121.3239232624574</v>
      </c>
      <c r="CS75" s="197">
        <f t="shared" si="174"/>
        <v>-1694.8247565108518</v>
      </c>
      <c r="CT75" s="199">
        <f t="shared" si="175"/>
        <v>-1400.2398040469102</v>
      </c>
      <c r="CU75" s="196">
        <f t="shared" si="201"/>
        <v>61884.789457573439</v>
      </c>
      <c r="CV75" s="197">
        <f t="shared" si="202"/>
        <v>4898.016188401446</v>
      </c>
      <c r="CW75" s="197">
        <f t="shared" si="203"/>
        <v>131083.1999607484</v>
      </c>
      <c r="CX75" s="197">
        <f t="shared" si="204"/>
        <v>-69198.410503174964</v>
      </c>
      <c r="CY75" s="199">
        <f t="shared" si="205"/>
        <v>-64300.394314773519</v>
      </c>
      <c r="DB75" s="204">
        <f t="shared" si="215"/>
        <v>13</v>
      </c>
      <c r="DC75" s="219" t="s">
        <v>29</v>
      </c>
      <c r="DD75" s="757">
        <f>'Arable Inputs'!$H$18</f>
        <v>12</v>
      </c>
      <c r="DE75" s="757">
        <f>'Arable Inputs'!$H$25</f>
        <v>724</v>
      </c>
      <c r="DH75" s="759">
        <f>DD75*DE75</f>
        <v>8688</v>
      </c>
      <c r="DI75" s="197">
        <f>'Arable NPV'!$E155</f>
        <v>471.64</v>
      </c>
      <c r="DJ75" s="197">
        <f t="shared" si="176"/>
        <v>9159.64</v>
      </c>
      <c r="DK75" s="197">
        <f>'Arable NPV'!$G155</f>
        <v>2474.37212</v>
      </c>
      <c r="DL75" s="197">
        <f>'Arable NPV'!$H155</f>
        <v>3226.3624</v>
      </c>
      <c r="DM75" s="197">
        <f>'Arable NPV'!$I155-'Arable NPV'!$I155</f>
        <v>0</v>
      </c>
      <c r="DN75" s="197">
        <f t="shared" si="177"/>
        <v>8688</v>
      </c>
      <c r="DO75" s="197">
        <f t="shared" si="178"/>
        <v>9159.64</v>
      </c>
      <c r="DP75" s="196">
        <f t="shared" si="179"/>
        <v>5426.499166751606</v>
      </c>
      <c r="DQ75" s="197">
        <f t="shared" si="180"/>
        <v>294.58495246394193</v>
      </c>
      <c r="DR75" s="197">
        <f t="shared" si="181"/>
        <v>0</v>
      </c>
      <c r="DS75" s="197">
        <f t="shared" si="182"/>
        <v>5426.499166751606</v>
      </c>
      <c r="DT75" s="199">
        <f t="shared" si="183"/>
        <v>5721.0841192155476</v>
      </c>
      <c r="DU75" s="196">
        <f t="shared" si="206"/>
        <v>61884.789457573439</v>
      </c>
      <c r="DV75" s="197">
        <f t="shared" si="207"/>
        <v>4898.016188401446</v>
      </c>
      <c r="DW75" s="197">
        <f t="shared" si="208"/>
        <v>0</v>
      </c>
      <c r="DX75" s="197">
        <f t="shared" si="209"/>
        <v>61884.789457573439</v>
      </c>
      <c r="DY75" s="199">
        <f t="shared" si="210"/>
        <v>66782.805645974862</v>
      </c>
    </row>
    <row r="76" spans="2:129" x14ac:dyDescent="0.3">
      <c r="B76" s="204">
        <f t="shared" si="211"/>
        <v>14</v>
      </c>
      <c r="C76" s="219" t="s">
        <v>5</v>
      </c>
      <c r="D76" s="757">
        <f>'Arable Inputs'!$F$18</f>
        <v>3.5</v>
      </c>
      <c r="E76" s="757">
        <f>'Arable Inputs'!$F$25</f>
        <v>1645</v>
      </c>
      <c r="F76" s="757">
        <f>'Arable Inputs'!$F$19</f>
        <v>5.6</v>
      </c>
      <c r="G76" s="757">
        <f>'Arable Inputs'!$F$26</f>
        <v>120</v>
      </c>
      <c r="H76" s="759">
        <f>D76*E76+F76*G76</f>
        <v>6429.5</v>
      </c>
      <c r="I76" s="197">
        <f>'Arable NPV'!$E156</f>
        <v>471.64</v>
      </c>
      <c r="J76" s="197">
        <f t="shared" si="145"/>
        <v>6901.14</v>
      </c>
      <c r="K76" s="197">
        <f>'Arable NPV'!$G156</f>
        <v>3562.03775</v>
      </c>
      <c r="L76" s="197">
        <f>'Arable NPV'!$H156</f>
        <v>2542.6675999999998</v>
      </c>
      <c r="M76" s="197">
        <f t="shared" si="146"/>
        <v>6104.7053500000002</v>
      </c>
      <c r="N76" s="197">
        <f t="shared" si="147"/>
        <v>324.79464999999982</v>
      </c>
      <c r="O76" s="197">
        <f t="shared" si="148"/>
        <v>796.43465000000015</v>
      </c>
      <c r="P76" s="196">
        <f t="shared" si="149"/>
        <v>3861.391086802912</v>
      </c>
      <c r="Q76" s="197">
        <f t="shared" si="150"/>
        <v>283.25476198455954</v>
      </c>
      <c r="R76" s="197">
        <f t="shared" si="151"/>
        <v>3666.3278366977297</v>
      </c>
      <c r="S76" s="197">
        <f t="shared" si="152"/>
        <v>195.06325010518248</v>
      </c>
      <c r="T76" s="199">
        <f t="shared" si="153"/>
        <v>478.31801208974224</v>
      </c>
      <c r="U76" s="196">
        <f t="shared" si="184"/>
        <v>65746.180544376344</v>
      </c>
      <c r="V76" s="197">
        <f t="shared" si="185"/>
        <v>5181.270950386006</v>
      </c>
      <c r="W76" s="197">
        <f t="shared" si="186"/>
        <v>69207.927817071934</v>
      </c>
      <c r="X76" s="197">
        <f t="shared" si="187"/>
        <v>-3461.7472726955857</v>
      </c>
      <c r="Y76" s="199">
        <f t="shared" si="188"/>
        <v>1719.523677690421</v>
      </c>
      <c r="AB76" s="204">
        <f t="shared" si="212"/>
        <v>14</v>
      </c>
      <c r="AC76" s="219" t="s">
        <v>5</v>
      </c>
      <c r="AD76" s="757">
        <f>'Arable Inputs'!$F$18</f>
        <v>3.5</v>
      </c>
      <c r="AE76" s="757">
        <f>'Arable Inputs'!$F$25</f>
        <v>1645</v>
      </c>
      <c r="AF76" s="757">
        <f>'Arable Inputs'!$F$19</f>
        <v>5.6</v>
      </c>
      <c r="AG76" s="757">
        <f>'Arable Inputs'!$F$26</f>
        <v>120</v>
      </c>
      <c r="AH76" s="759">
        <f>AD76*AE76+AF76*AG76</f>
        <v>6429.5</v>
      </c>
      <c r="AI76" s="197">
        <f>'Arable NPV'!$E156</f>
        <v>471.64</v>
      </c>
      <c r="AJ76" s="197">
        <f t="shared" si="154"/>
        <v>6901.14</v>
      </c>
      <c r="AK76" s="197">
        <f>'Arable NPV'!$G156</f>
        <v>3562.03775</v>
      </c>
      <c r="AL76" s="197">
        <f>'Arable NPV'!$H156</f>
        <v>2542.6675999999998</v>
      </c>
      <c r="AM76" s="197">
        <f>'Arable NPV'!$I156+0.5*'Arable NPV'!$I156</f>
        <v>9157.0580250000003</v>
      </c>
      <c r="AN76" s="197">
        <f t="shared" si="155"/>
        <v>-2727.5580250000003</v>
      </c>
      <c r="AO76" s="197">
        <f t="shared" si="156"/>
        <v>-2255.9180249999999</v>
      </c>
      <c r="AP76" s="196">
        <f t="shared" si="157"/>
        <v>3861.391086802912</v>
      </c>
      <c r="AQ76" s="197">
        <f t="shared" si="158"/>
        <v>283.25476198455954</v>
      </c>
      <c r="AR76" s="197">
        <f t="shared" si="159"/>
        <v>5499.4917550465943</v>
      </c>
      <c r="AS76" s="197">
        <f t="shared" si="160"/>
        <v>-1638.1006682436823</v>
      </c>
      <c r="AT76" s="199">
        <f t="shared" si="161"/>
        <v>-1354.8459062591226</v>
      </c>
      <c r="AU76" s="196">
        <f t="shared" si="189"/>
        <v>65746.180544376344</v>
      </c>
      <c r="AV76" s="197">
        <f t="shared" si="190"/>
        <v>5181.270950386006</v>
      </c>
      <c r="AW76" s="197">
        <f t="shared" si="191"/>
        <v>103811.89172560787</v>
      </c>
      <c r="AX76" s="197">
        <f t="shared" si="192"/>
        <v>-38065.711181231549</v>
      </c>
      <c r="AY76" s="199">
        <f t="shared" si="193"/>
        <v>-32884.440230845539</v>
      </c>
      <c r="BB76" s="204">
        <f t="shared" si="213"/>
        <v>14</v>
      </c>
      <c r="BC76" s="219" t="s">
        <v>5</v>
      </c>
      <c r="BD76" s="757">
        <f>'Arable Inputs'!$F$18</f>
        <v>3.5</v>
      </c>
      <c r="BE76" s="757">
        <f>'Arable Inputs'!$F$25</f>
        <v>1645</v>
      </c>
      <c r="BF76" s="757">
        <f>'Arable Inputs'!$F$19</f>
        <v>5.6</v>
      </c>
      <c r="BG76" s="757">
        <f>'Arable Inputs'!$F$26</f>
        <v>120</v>
      </c>
      <c r="BH76" s="759">
        <f>BD76*BE76+BF76*BG76</f>
        <v>6429.5</v>
      </c>
      <c r="BI76" s="197">
        <f>'Arable NPV'!$E156</f>
        <v>471.64</v>
      </c>
      <c r="BJ76" s="197">
        <f t="shared" si="194"/>
        <v>6901.14</v>
      </c>
      <c r="BK76" s="197">
        <f>'Arable NPV'!$G156</f>
        <v>3562.03775</v>
      </c>
      <c r="BL76" s="197">
        <f>'Arable NPV'!$H156</f>
        <v>2542.6675999999998</v>
      </c>
      <c r="BM76" s="197">
        <f>'Arable NPV'!$I156-0.5*'Arable NPV'!$I156</f>
        <v>3052.3526750000001</v>
      </c>
      <c r="BN76" s="197">
        <f t="shared" si="195"/>
        <v>3377.1473249999999</v>
      </c>
      <c r="BO76" s="197">
        <f t="shared" si="162"/>
        <v>3848.7873250000002</v>
      </c>
      <c r="BP76" s="196">
        <f t="shared" si="163"/>
        <v>3861.391086802912</v>
      </c>
      <c r="BQ76" s="197">
        <f t="shared" si="164"/>
        <v>283.25476198455954</v>
      </c>
      <c r="BR76" s="197">
        <f t="shared" si="165"/>
        <v>1833.1639183488649</v>
      </c>
      <c r="BS76" s="197">
        <f t="shared" si="166"/>
        <v>2028.2271684540474</v>
      </c>
      <c r="BT76" s="199">
        <f t="shared" si="167"/>
        <v>2311.4819304386069</v>
      </c>
      <c r="BU76" s="196">
        <f t="shared" si="196"/>
        <v>65746.180544376344</v>
      </c>
      <c r="BV76" s="197">
        <f t="shared" si="197"/>
        <v>5181.270950386006</v>
      </c>
      <c r="BW76" s="197">
        <f t="shared" si="198"/>
        <v>34603.963908535967</v>
      </c>
      <c r="BX76" s="197">
        <f t="shared" si="199"/>
        <v>31142.216635840381</v>
      </c>
      <c r="BY76" s="199">
        <f t="shared" si="200"/>
        <v>36323.48758622638</v>
      </c>
      <c r="CB76" s="204">
        <f t="shared" si="214"/>
        <v>14</v>
      </c>
      <c r="CC76" s="219" t="s">
        <v>5</v>
      </c>
      <c r="CD76" s="757">
        <f>'Arable Inputs'!$F$18</f>
        <v>3.5</v>
      </c>
      <c r="CE76" s="757">
        <f>'Arable Inputs'!$F$25</f>
        <v>1645</v>
      </c>
      <c r="CF76" s="757">
        <f>'Arable Inputs'!$F$19</f>
        <v>5.6</v>
      </c>
      <c r="CG76" s="757">
        <f>'Arable Inputs'!$F$26</f>
        <v>120</v>
      </c>
      <c r="CH76" s="759">
        <f>CD76*CE76+CF76*CG76</f>
        <v>6429.5</v>
      </c>
      <c r="CI76" s="197">
        <f>'Arable NPV'!$E156</f>
        <v>471.64</v>
      </c>
      <c r="CJ76" s="197">
        <f t="shared" si="168"/>
        <v>6901.14</v>
      </c>
      <c r="CK76" s="197">
        <f>'Arable NPV'!$G156</f>
        <v>3562.03775</v>
      </c>
      <c r="CL76" s="197">
        <f>'Arable NPV'!$H156</f>
        <v>2542.6675999999998</v>
      </c>
      <c r="CM76" s="197">
        <f>'Arable NPV'!$I156+'Arable NPV'!$I156</f>
        <v>12209.4107</v>
      </c>
      <c r="CN76" s="197">
        <f t="shared" si="169"/>
        <v>-5779.9107000000004</v>
      </c>
      <c r="CO76" s="197">
        <f t="shared" si="170"/>
        <v>-5308.2707</v>
      </c>
      <c r="CP76" s="196">
        <f t="shared" si="171"/>
        <v>3861.391086802912</v>
      </c>
      <c r="CQ76" s="197">
        <f t="shared" si="172"/>
        <v>283.25476198455954</v>
      </c>
      <c r="CR76" s="197">
        <f t="shared" si="173"/>
        <v>7332.6556733954594</v>
      </c>
      <c r="CS76" s="197">
        <f t="shared" si="174"/>
        <v>-3471.2645865925474</v>
      </c>
      <c r="CT76" s="199">
        <f t="shared" si="175"/>
        <v>-3188.0098246079874</v>
      </c>
      <c r="CU76" s="196">
        <f t="shared" si="201"/>
        <v>65746.180544376344</v>
      </c>
      <c r="CV76" s="197">
        <f t="shared" si="202"/>
        <v>5181.270950386006</v>
      </c>
      <c r="CW76" s="197">
        <f t="shared" si="203"/>
        <v>138415.85563414387</v>
      </c>
      <c r="CX76" s="197">
        <f t="shared" si="204"/>
        <v>-72669.675089767508</v>
      </c>
      <c r="CY76" s="199">
        <f t="shared" si="205"/>
        <v>-67488.404139381513</v>
      </c>
      <c r="DB76" s="204">
        <f t="shared" si="215"/>
        <v>14</v>
      </c>
      <c r="DC76" s="219" t="s">
        <v>5</v>
      </c>
      <c r="DD76" s="757">
        <f>'Arable Inputs'!$F$18</f>
        <v>3.5</v>
      </c>
      <c r="DE76" s="757">
        <f>'Arable Inputs'!$F$25</f>
        <v>1645</v>
      </c>
      <c r="DF76" s="757">
        <f>'Arable Inputs'!$F$19</f>
        <v>5.6</v>
      </c>
      <c r="DG76" s="757">
        <f>'Arable Inputs'!$F$26</f>
        <v>120</v>
      </c>
      <c r="DH76" s="759">
        <f>DD76*DE76+DF76*DG76</f>
        <v>6429.5</v>
      </c>
      <c r="DI76" s="197">
        <f>'Arable NPV'!$E156</f>
        <v>471.64</v>
      </c>
      <c r="DJ76" s="197">
        <f t="shared" si="176"/>
        <v>6901.14</v>
      </c>
      <c r="DK76" s="197">
        <f>'Arable NPV'!$G156</f>
        <v>3562.03775</v>
      </c>
      <c r="DL76" s="197">
        <f>'Arable NPV'!$H156</f>
        <v>2542.6675999999998</v>
      </c>
      <c r="DM76" s="197">
        <f>'Arable NPV'!$I156-'Arable NPV'!$I156</f>
        <v>0</v>
      </c>
      <c r="DN76" s="197">
        <f t="shared" si="177"/>
        <v>6429.5</v>
      </c>
      <c r="DO76" s="197">
        <f t="shared" si="178"/>
        <v>6901.14</v>
      </c>
      <c r="DP76" s="196">
        <f t="shared" si="179"/>
        <v>3861.391086802912</v>
      </c>
      <c r="DQ76" s="197">
        <f t="shared" si="180"/>
        <v>283.25476198455954</v>
      </c>
      <c r="DR76" s="197">
        <f t="shared" si="181"/>
        <v>0</v>
      </c>
      <c r="DS76" s="197">
        <f t="shared" si="182"/>
        <v>3861.391086802912</v>
      </c>
      <c r="DT76" s="199">
        <f t="shared" si="183"/>
        <v>4144.6458487874716</v>
      </c>
      <c r="DU76" s="196">
        <f t="shared" si="206"/>
        <v>65746.180544376344</v>
      </c>
      <c r="DV76" s="197">
        <f t="shared" si="207"/>
        <v>5181.270950386006</v>
      </c>
      <c r="DW76" s="197">
        <f t="shared" si="208"/>
        <v>0</v>
      </c>
      <c r="DX76" s="197">
        <f t="shared" si="209"/>
        <v>65746.180544376344</v>
      </c>
      <c r="DY76" s="199">
        <f t="shared" si="210"/>
        <v>70927.451494762339</v>
      </c>
    </row>
    <row r="77" spans="2:129" x14ac:dyDescent="0.3">
      <c r="B77" s="204">
        <f t="shared" si="211"/>
        <v>15</v>
      </c>
      <c r="C77" s="219" t="s">
        <v>647</v>
      </c>
      <c r="D77" s="757">
        <f>'Arable Inputs'!$E$18</f>
        <v>2.5</v>
      </c>
      <c r="E77" s="757">
        <f>'Arable Inputs'!$E$25</f>
        <v>721</v>
      </c>
      <c r="F77" s="757">
        <f>'Arable Inputs'!$E$19</f>
        <v>3</v>
      </c>
      <c r="G77" s="757">
        <f>'Arable Inputs'!$E$26</f>
        <v>120</v>
      </c>
      <c r="H77" s="759">
        <f>D77*E77+F77*G77</f>
        <v>2162.5</v>
      </c>
      <c r="I77" s="197">
        <f>'Arable NPV'!$E157</f>
        <v>471.64</v>
      </c>
      <c r="J77" s="197">
        <f t="shared" si="145"/>
        <v>2634.14</v>
      </c>
      <c r="K77" s="197">
        <f>'Arable NPV'!$G157</f>
        <v>1959.4805899999999</v>
      </c>
      <c r="L77" s="197">
        <f>'Arable NPV'!$H157</f>
        <v>3608.9468000000006</v>
      </c>
      <c r="M77" s="197">
        <f t="shared" si="146"/>
        <v>5568.4273900000007</v>
      </c>
      <c r="N77" s="197">
        <f t="shared" si="147"/>
        <v>-3405.9273900000007</v>
      </c>
      <c r="O77" s="197">
        <f t="shared" si="148"/>
        <v>-2934.2873900000009</v>
      </c>
      <c r="P77" s="196">
        <f t="shared" si="149"/>
        <v>1248.7898666021549</v>
      </c>
      <c r="Q77" s="197">
        <f t="shared" si="150"/>
        <v>272.36034806207647</v>
      </c>
      <c r="R77" s="197">
        <f t="shared" si="151"/>
        <v>3215.6280682274623</v>
      </c>
      <c r="S77" s="197">
        <f t="shared" si="152"/>
        <v>-1966.8382016253072</v>
      </c>
      <c r="T77" s="199">
        <f t="shared" si="153"/>
        <v>-1694.4778535632308</v>
      </c>
      <c r="U77" s="196">
        <f t="shared" si="184"/>
        <v>66994.970410978494</v>
      </c>
      <c r="V77" s="197">
        <f t="shared" si="185"/>
        <v>5453.6312984480828</v>
      </c>
      <c r="W77" s="197">
        <f t="shared" si="186"/>
        <v>72423.5558852994</v>
      </c>
      <c r="X77" s="197">
        <f t="shared" si="187"/>
        <v>-5428.5854743208929</v>
      </c>
      <c r="Y77" s="199">
        <f t="shared" si="188"/>
        <v>25.045824127190144</v>
      </c>
      <c r="AB77" s="204">
        <f t="shared" si="212"/>
        <v>15</v>
      </c>
      <c r="AC77" s="219" t="s">
        <v>647</v>
      </c>
      <c r="AD77" s="757">
        <f>'Arable Inputs'!$E$18</f>
        <v>2.5</v>
      </c>
      <c r="AE77" s="757">
        <f>'Arable Inputs'!$E$25</f>
        <v>721</v>
      </c>
      <c r="AF77" s="757">
        <f>'Arable Inputs'!$E$19</f>
        <v>3</v>
      </c>
      <c r="AG77" s="757">
        <f>'Arable Inputs'!$E$26</f>
        <v>120</v>
      </c>
      <c r="AH77" s="759">
        <f>AD77*AE77+AF77*AG77</f>
        <v>2162.5</v>
      </c>
      <c r="AI77" s="197">
        <f>'Arable NPV'!$E157</f>
        <v>471.64</v>
      </c>
      <c r="AJ77" s="197">
        <f t="shared" si="154"/>
        <v>2634.14</v>
      </c>
      <c r="AK77" s="197">
        <f>'Arable NPV'!$G157</f>
        <v>1959.4805899999999</v>
      </c>
      <c r="AL77" s="197">
        <f>'Arable NPV'!$H157</f>
        <v>3608.9468000000006</v>
      </c>
      <c r="AM77" s="197">
        <f>'Arable NPV'!$I157+0.5*'Arable NPV'!$I157</f>
        <v>8352.6410850000011</v>
      </c>
      <c r="AN77" s="197">
        <f t="shared" si="155"/>
        <v>-6190.1410850000011</v>
      </c>
      <c r="AO77" s="197">
        <f t="shared" si="156"/>
        <v>-5718.5010850000017</v>
      </c>
      <c r="AP77" s="196">
        <f t="shared" si="157"/>
        <v>1248.7898666021549</v>
      </c>
      <c r="AQ77" s="197">
        <f t="shared" si="158"/>
        <v>272.36034806207647</v>
      </c>
      <c r="AR77" s="197">
        <f t="shared" si="159"/>
        <v>4823.4421023411933</v>
      </c>
      <c r="AS77" s="197">
        <f t="shared" si="160"/>
        <v>-3574.6522357390381</v>
      </c>
      <c r="AT77" s="199">
        <f t="shared" si="161"/>
        <v>-3302.2918876769622</v>
      </c>
      <c r="AU77" s="196">
        <f t="shared" si="189"/>
        <v>66994.970410978494</v>
      </c>
      <c r="AV77" s="197">
        <f t="shared" si="190"/>
        <v>5453.6312984480828</v>
      </c>
      <c r="AW77" s="197">
        <f t="shared" si="191"/>
        <v>108635.33382794907</v>
      </c>
      <c r="AX77" s="197">
        <f t="shared" si="192"/>
        <v>-41640.363416970584</v>
      </c>
      <c r="AY77" s="199">
        <f t="shared" si="193"/>
        <v>-36186.732118522501</v>
      </c>
      <c r="BB77" s="204">
        <f t="shared" si="213"/>
        <v>15</v>
      </c>
      <c r="BC77" s="219" t="s">
        <v>647</v>
      </c>
      <c r="BD77" s="757">
        <f>'Arable Inputs'!$E$18</f>
        <v>2.5</v>
      </c>
      <c r="BE77" s="757">
        <f>'Arable Inputs'!$E$25</f>
        <v>721</v>
      </c>
      <c r="BF77" s="757">
        <f>'Arable Inputs'!$E$19</f>
        <v>3</v>
      </c>
      <c r="BG77" s="757">
        <f>'Arable Inputs'!$E$26</f>
        <v>120</v>
      </c>
      <c r="BH77" s="759">
        <f>BD77*BE77+BF77*BG77</f>
        <v>2162.5</v>
      </c>
      <c r="BI77" s="197">
        <f>'Arable NPV'!$E157</f>
        <v>471.64</v>
      </c>
      <c r="BJ77" s="197">
        <f t="shared" si="194"/>
        <v>2634.14</v>
      </c>
      <c r="BK77" s="197">
        <f>'Arable NPV'!$G157</f>
        <v>1959.4805899999999</v>
      </c>
      <c r="BL77" s="197">
        <f>'Arable NPV'!$H157</f>
        <v>3608.9468000000006</v>
      </c>
      <c r="BM77" s="197">
        <f>'Arable NPV'!$I157-0.5*'Arable NPV'!$I157</f>
        <v>2784.2136950000004</v>
      </c>
      <c r="BN77" s="197">
        <f t="shared" si="195"/>
        <v>-621.71369500000037</v>
      </c>
      <c r="BO77" s="197">
        <f t="shared" si="162"/>
        <v>-150.0736950000005</v>
      </c>
      <c r="BP77" s="196">
        <f t="shared" si="163"/>
        <v>1248.7898666021549</v>
      </c>
      <c r="BQ77" s="197">
        <f t="shared" si="164"/>
        <v>272.36034806207647</v>
      </c>
      <c r="BR77" s="197">
        <f t="shared" si="165"/>
        <v>1607.8140341137312</v>
      </c>
      <c r="BS77" s="197">
        <f t="shared" si="166"/>
        <v>-359.02416751157614</v>
      </c>
      <c r="BT77" s="199">
        <f t="shared" si="167"/>
        <v>-86.663819449499712</v>
      </c>
      <c r="BU77" s="196">
        <f t="shared" si="196"/>
        <v>66994.970410978494</v>
      </c>
      <c r="BV77" s="197">
        <f t="shared" si="197"/>
        <v>5453.6312984480828</v>
      </c>
      <c r="BW77" s="197">
        <f t="shared" si="198"/>
        <v>36211.7779426497</v>
      </c>
      <c r="BX77" s="197">
        <f t="shared" si="199"/>
        <v>30783.192468328805</v>
      </c>
      <c r="BY77" s="199">
        <f t="shared" si="200"/>
        <v>36236.823766776877</v>
      </c>
      <c r="CB77" s="204">
        <f t="shared" si="214"/>
        <v>15</v>
      </c>
      <c r="CC77" s="219" t="s">
        <v>647</v>
      </c>
      <c r="CD77" s="757">
        <f>'Arable Inputs'!$E$18</f>
        <v>2.5</v>
      </c>
      <c r="CE77" s="757">
        <f>'Arable Inputs'!$E$25</f>
        <v>721</v>
      </c>
      <c r="CF77" s="757">
        <f>'Arable Inputs'!$E$19</f>
        <v>3</v>
      </c>
      <c r="CG77" s="757">
        <f>'Arable Inputs'!$E$26</f>
        <v>120</v>
      </c>
      <c r="CH77" s="759">
        <f>CD77*CE77+CF77*CG77</f>
        <v>2162.5</v>
      </c>
      <c r="CI77" s="197">
        <f>'Arable NPV'!$E157</f>
        <v>471.64</v>
      </c>
      <c r="CJ77" s="197">
        <f t="shared" si="168"/>
        <v>2634.14</v>
      </c>
      <c r="CK77" s="197">
        <f>'Arable NPV'!$G157</f>
        <v>1959.4805899999999</v>
      </c>
      <c r="CL77" s="197">
        <f>'Arable NPV'!$H157</f>
        <v>3608.9468000000006</v>
      </c>
      <c r="CM77" s="197">
        <f>'Arable NPV'!$I157+'Arable NPV'!$I157</f>
        <v>11136.854780000001</v>
      </c>
      <c r="CN77" s="197">
        <f t="shared" si="169"/>
        <v>-8974.3547800000015</v>
      </c>
      <c r="CO77" s="197">
        <f t="shared" si="170"/>
        <v>-8502.7147800000021</v>
      </c>
      <c r="CP77" s="196">
        <f t="shared" si="171"/>
        <v>1248.7898666021549</v>
      </c>
      <c r="CQ77" s="197">
        <f t="shared" si="172"/>
        <v>272.36034806207647</v>
      </c>
      <c r="CR77" s="197">
        <f t="shared" si="173"/>
        <v>6431.2561364549247</v>
      </c>
      <c r="CS77" s="197">
        <f t="shared" si="174"/>
        <v>-5182.4662698527691</v>
      </c>
      <c r="CT77" s="199">
        <f t="shared" si="175"/>
        <v>-4910.1059217906932</v>
      </c>
      <c r="CU77" s="196">
        <f t="shared" si="201"/>
        <v>66994.970410978494</v>
      </c>
      <c r="CV77" s="197">
        <f t="shared" si="202"/>
        <v>5453.6312984480828</v>
      </c>
      <c r="CW77" s="197">
        <f t="shared" si="203"/>
        <v>144847.1117705988</v>
      </c>
      <c r="CX77" s="197">
        <f t="shared" si="204"/>
        <v>-77852.141359620276</v>
      </c>
      <c r="CY77" s="199">
        <f t="shared" si="205"/>
        <v>-72398.510061172201</v>
      </c>
      <c r="DB77" s="204">
        <f t="shared" si="215"/>
        <v>15</v>
      </c>
      <c r="DC77" s="219" t="s">
        <v>647</v>
      </c>
      <c r="DD77" s="757">
        <f>'Arable Inputs'!$E$18</f>
        <v>2.5</v>
      </c>
      <c r="DE77" s="757">
        <f>'Arable Inputs'!$E$25</f>
        <v>721</v>
      </c>
      <c r="DF77" s="757">
        <f>'Arable Inputs'!$E$19</f>
        <v>3</v>
      </c>
      <c r="DG77" s="757">
        <f>'Arable Inputs'!$E$26</f>
        <v>120</v>
      </c>
      <c r="DH77" s="759">
        <f>DD77*DE77+DF77*DG77</f>
        <v>2162.5</v>
      </c>
      <c r="DI77" s="197">
        <f>'Arable NPV'!$E157</f>
        <v>471.64</v>
      </c>
      <c r="DJ77" s="197">
        <f t="shared" si="176"/>
        <v>2634.14</v>
      </c>
      <c r="DK77" s="197">
        <f>'Arable NPV'!$G157</f>
        <v>1959.4805899999999</v>
      </c>
      <c r="DL77" s="197">
        <f>'Arable NPV'!$H157</f>
        <v>3608.9468000000006</v>
      </c>
      <c r="DM77" s="197">
        <f>'Arable NPV'!$I157-'Arable NPV'!$I157</f>
        <v>0</v>
      </c>
      <c r="DN77" s="197">
        <f t="shared" si="177"/>
        <v>2162.5</v>
      </c>
      <c r="DO77" s="197">
        <f t="shared" si="178"/>
        <v>2634.14</v>
      </c>
      <c r="DP77" s="196">
        <f t="shared" si="179"/>
        <v>1248.7898666021549</v>
      </c>
      <c r="DQ77" s="197">
        <f t="shared" si="180"/>
        <v>272.36034806207647</v>
      </c>
      <c r="DR77" s="197">
        <f t="shared" si="181"/>
        <v>0</v>
      </c>
      <c r="DS77" s="197">
        <f t="shared" si="182"/>
        <v>1248.7898666021549</v>
      </c>
      <c r="DT77" s="199">
        <f t="shared" si="183"/>
        <v>1521.1502146642315</v>
      </c>
      <c r="DU77" s="196">
        <f t="shared" si="206"/>
        <v>66994.970410978494</v>
      </c>
      <c r="DV77" s="197">
        <f t="shared" si="207"/>
        <v>5453.6312984480828</v>
      </c>
      <c r="DW77" s="197">
        <f t="shared" si="208"/>
        <v>0</v>
      </c>
      <c r="DX77" s="197">
        <f t="shared" si="209"/>
        <v>66994.970410978494</v>
      </c>
      <c r="DY77" s="199">
        <f t="shared" si="210"/>
        <v>72448.60170942657</v>
      </c>
    </row>
    <row r="78" spans="2:129" x14ac:dyDescent="0.3">
      <c r="B78" s="206">
        <f t="shared" si="211"/>
        <v>16</v>
      </c>
      <c r="C78" s="220" t="s">
        <v>4</v>
      </c>
      <c r="D78" s="758">
        <f>'Arable Inputs'!$D$18</f>
        <v>4.5999999999999996</v>
      </c>
      <c r="E78" s="758">
        <f>'Arable Inputs'!$D$25</f>
        <v>867</v>
      </c>
      <c r="F78" s="758">
        <f>'Arable Inputs'!$D$19</f>
        <v>4.9000000000000004</v>
      </c>
      <c r="G78" s="758">
        <f>'Arable Inputs'!$D$26</f>
        <v>140</v>
      </c>
      <c r="H78" s="207">
        <f>D78*E78+F78*G78</f>
        <v>4674.2</v>
      </c>
      <c r="I78" s="207">
        <f>'Arable NPV'!$E158</f>
        <v>471.64</v>
      </c>
      <c r="J78" s="207">
        <f t="shared" si="145"/>
        <v>5145.84</v>
      </c>
      <c r="K78" s="207">
        <f>'Arable NPV'!$G158</f>
        <v>2731.3292000000006</v>
      </c>
      <c r="L78" s="207">
        <f>'Arable NPV'!$H158</f>
        <v>4055.6064000000006</v>
      </c>
      <c r="M78" s="207">
        <f t="shared" si="146"/>
        <v>6786.9356000000007</v>
      </c>
      <c r="N78" s="207">
        <f t="shared" si="147"/>
        <v>-2112.7356000000009</v>
      </c>
      <c r="O78" s="207">
        <f t="shared" si="148"/>
        <v>-1641.0956000000006</v>
      </c>
      <c r="P78" s="208">
        <f t="shared" si="149"/>
        <v>2595.4173385823888</v>
      </c>
      <c r="Q78" s="207">
        <f t="shared" si="150"/>
        <v>261.88495005968895</v>
      </c>
      <c r="R78" s="207">
        <f t="shared" si="151"/>
        <v>3768.5444208810218</v>
      </c>
      <c r="S78" s="207">
        <f t="shared" si="152"/>
        <v>-1173.1270822986328</v>
      </c>
      <c r="T78" s="209">
        <f t="shared" si="153"/>
        <v>-911.24213223894367</v>
      </c>
      <c r="U78" s="208">
        <f t="shared" si="184"/>
        <v>69590.387749560876</v>
      </c>
      <c r="V78" s="207">
        <f t="shared" si="185"/>
        <v>5715.5162485077717</v>
      </c>
      <c r="W78" s="207">
        <f t="shared" si="186"/>
        <v>76192.100306180422</v>
      </c>
      <c r="X78" s="207">
        <f t="shared" si="187"/>
        <v>-6601.7125566195255</v>
      </c>
      <c r="Y78" s="209">
        <f t="shared" si="188"/>
        <v>-886.19630811175352</v>
      </c>
      <c r="AB78" s="206">
        <f t="shared" si="212"/>
        <v>16</v>
      </c>
      <c r="AC78" s="220" t="s">
        <v>4</v>
      </c>
      <c r="AD78" s="758">
        <f>'Arable Inputs'!$D$18</f>
        <v>4.5999999999999996</v>
      </c>
      <c r="AE78" s="758">
        <f>'Arable Inputs'!$D$25</f>
        <v>867</v>
      </c>
      <c r="AF78" s="758">
        <f>'Arable Inputs'!$D$19</f>
        <v>4.9000000000000004</v>
      </c>
      <c r="AG78" s="758">
        <f>'Arable Inputs'!$D$26</f>
        <v>140</v>
      </c>
      <c r="AH78" s="207">
        <f>AD78*AE78+AF78*AG78</f>
        <v>4674.2</v>
      </c>
      <c r="AI78" s="207">
        <f>'Arable NPV'!$E158</f>
        <v>471.64</v>
      </c>
      <c r="AJ78" s="207">
        <f t="shared" si="154"/>
        <v>5145.84</v>
      </c>
      <c r="AK78" s="207">
        <f>'Arable NPV'!$G158</f>
        <v>2731.3292000000006</v>
      </c>
      <c r="AL78" s="207">
        <f>'Arable NPV'!$H158</f>
        <v>4055.6064000000006</v>
      </c>
      <c r="AM78" s="207">
        <f>'Arable NPV'!$I158+0.5*'Arable NPV'!$I158</f>
        <v>10180.403400000001</v>
      </c>
      <c r="AN78" s="207">
        <f t="shared" si="155"/>
        <v>-5506.2034000000012</v>
      </c>
      <c r="AO78" s="207">
        <f t="shared" si="156"/>
        <v>-5034.5634000000009</v>
      </c>
      <c r="AP78" s="208">
        <f t="shared" si="157"/>
        <v>2595.4173385823888</v>
      </c>
      <c r="AQ78" s="207">
        <f t="shared" si="158"/>
        <v>261.88495005968895</v>
      </c>
      <c r="AR78" s="207">
        <f t="shared" si="159"/>
        <v>5652.8166313215324</v>
      </c>
      <c r="AS78" s="207">
        <f t="shared" si="160"/>
        <v>-3057.3992927391437</v>
      </c>
      <c r="AT78" s="209">
        <f t="shared" si="161"/>
        <v>-2795.5143426794543</v>
      </c>
      <c r="AU78" s="208">
        <f t="shared" si="189"/>
        <v>69590.387749560876</v>
      </c>
      <c r="AV78" s="207">
        <f t="shared" si="190"/>
        <v>5715.5162485077717</v>
      </c>
      <c r="AW78" s="207">
        <f t="shared" si="191"/>
        <v>114288.1504592706</v>
      </c>
      <c r="AX78" s="207">
        <f t="shared" si="192"/>
        <v>-44697.762709709728</v>
      </c>
      <c r="AY78" s="209">
        <f t="shared" si="193"/>
        <v>-38982.246461201954</v>
      </c>
      <c r="BB78" s="206">
        <f t="shared" si="213"/>
        <v>16</v>
      </c>
      <c r="BC78" s="220" t="s">
        <v>4</v>
      </c>
      <c r="BD78" s="758">
        <f>'Arable Inputs'!$D$18</f>
        <v>4.5999999999999996</v>
      </c>
      <c r="BE78" s="758">
        <f>'Arable Inputs'!$D$25</f>
        <v>867</v>
      </c>
      <c r="BF78" s="758">
        <f>'Arable Inputs'!$D$19</f>
        <v>4.9000000000000004</v>
      </c>
      <c r="BG78" s="758">
        <f>'Arable Inputs'!$D$26</f>
        <v>140</v>
      </c>
      <c r="BH78" s="207">
        <f>BD78*BE78+BF78*BG78</f>
        <v>4674.2</v>
      </c>
      <c r="BI78" s="207">
        <f>'Arable NPV'!$E158</f>
        <v>471.64</v>
      </c>
      <c r="BJ78" s="207">
        <f t="shared" si="194"/>
        <v>5145.84</v>
      </c>
      <c r="BK78" s="207">
        <f>'Arable NPV'!$G158</f>
        <v>2731.3292000000006</v>
      </c>
      <c r="BL78" s="207">
        <f>'Arable NPV'!$H158</f>
        <v>4055.6064000000006</v>
      </c>
      <c r="BM78" s="207">
        <f>'Arable NPV'!$I158-0.5*'Arable NPV'!$I158</f>
        <v>3393.4678000000004</v>
      </c>
      <c r="BN78" s="207">
        <f t="shared" si="195"/>
        <v>1280.7321999999995</v>
      </c>
      <c r="BO78" s="207">
        <f t="shared" si="162"/>
        <v>1752.3721999999998</v>
      </c>
      <c r="BP78" s="208">
        <f t="shared" si="163"/>
        <v>2595.4173385823888</v>
      </c>
      <c r="BQ78" s="207">
        <f t="shared" si="164"/>
        <v>261.88495005968895</v>
      </c>
      <c r="BR78" s="207">
        <f t="shared" si="165"/>
        <v>1884.2722104405109</v>
      </c>
      <c r="BS78" s="207">
        <f t="shared" si="166"/>
        <v>711.1451281418781</v>
      </c>
      <c r="BT78" s="209">
        <f t="shared" si="167"/>
        <v>973.03007820156722</v>
      </c>
      <c r="BU78" s="208">
        <f t="shared" si="196"/>
        <v>69590.387749560876</v>
      </c>
      <c r="BV78" s="207">
        <f t="shared" si="197"/>
        <v>5715.5162485077717</v>
      </c>
      <c r="BW78" s="207">
        <f t="shared" si="198"/>
        <v>38096.050153090211</v>
      </c>
      <c r="BX78" s="207">
        <f t="shared" si="199"/>
        <v>31494.337596470683</v>
      </c>
      <c r="BY78" s="209">
        <f t="shared" si="200"/>
        <v>37209.853844978446</v>
      </c>
      <c r="CB78" s="206">
        <f t="shared" si="214"/>
        <v>16</v>
      </c>
      <c r="CC78" s="220" t="s">
        <v>4</v>
      </c>
      <c r="CD78" s="758">
        <f>'Arable Inputs'!$D$18</f>
        <v>4.5999999999999996</v>
      </c>
      <c r="CE78" s="758">
        <f>'Arable Inputs'!$D$25</f>
        <v>867</v>
      </c>
      <c r="CF78" s="758">
        <f>'Arable Inputs'!$D$19</f>
        <v>4.9000000000000004</v>
      </c>
      <c r="CG78" s="758">
        <f>'Arable Inputs'!$D$26</f>
        <v>140</v>
      </c>
      <c r="CH78" s="207">
        <f>CD78*CE78+CF78*CG78</f>
        <v>4674.2</v>
      </c>
      <c r="CI78" s="207">
        <f>'Arable NPV'!$E158</f>
        <v>471.64</v>
      </c>
      <c r="CJ78" s="207">
        <f t="shared" si="168"/>
        <v>5145.84</v>
      </c>
      <c r="CK78" s="207">
        <f>'Arable NPV'!$G158</f>
        <v>2731.3292000000006</v>
      </c>
      <c r="CL78" s="207">
        <f>'Arable NPV'!$H158</f>
        <v>4055.6064000000006</v>
      </c>
      <c r="CM78" s="207">
        <f>'Arable NPV'!$I158+'Arable NPV'!$I158</f>
        <v>13573.871200000001</v>
      </c>
      <c r="CN78" s="207">
        <f t="shared" si="169"/>
        <v>-8899.6712000000007</v>
      </c>
      <c r="CO78" s="207">
        <f t="shared" si="170"/>
        <v>-8428.0312000000013</v>
      </c>
      <c r="CP78" s="208">
        <f t="shared" si="171"/>
        <v>2595.4173385823888</v>
      </c>
      <c r="CQ78" s="207">
        <f t="shared" si="172"/>
        <v>261.88495005968895</v>
      </c>
      <c r="CR78" s="207">
        <f t="shared" si="173"/>
        <v>7537.0888417620436</v>
      </c>
      <c r="CS78" s="207">
        <f t="shared" si="174"/>
        <v>-4941.6715031796539</v>
      </c>
      <c r="CT78" s="209">
        <f t="shared" si="175"/>
        <v>-4679.786553119965</v>
      </c>
      <c r="CU78" s="208">
        <f t="shared" si="201"/>
        <v>69590.387749560876</v>
      </c>
      <c r="CV78" s="207">
        <f t="shared" si="202"/>
        <v>5715.5162485077717</v>
      </c>
      <c r="CW78" s="207">
        <f t="shared" si="203"/>
        <v>152384.20061236084</v>
      </c>
      <c r="CX78" s="207">
        <f t="shared" si="204"/>
        <v>-82793.812862799925</v>
      </c>
      <c r="CY78" s="209">
        <f t="shared" si="205"/>
        <v>-77078.296614292165</v>
      </c>
      <c r="DB78" s="206">
        <f t="shared" si="215"/>
        <v>16</v>
      </c>
      <c r="DC78" s="220" t="s">
        <v>4</v>
      </c>
      <c r="DD78" s="758">
        <f>'Arable Inputs'!$D$18</f>
        <v>4.5999999999999996</v>
      </c>
      <c r="DE78" s="758">
        <f>'Arable Inputs'!$D$25</f>
        <v>867</v>
      </c>
      <c r="DF78" s="758">
        <f>'Arable Inputs'!$D$19</f>
        <v>4.9000000000000004</v>
      </c>
      <c r="DG78" s="758">
        <f>'Arable Inputs'!$D$26</f>
        <v>140</v>
      </c>
      <c r="DH78" s="207">
        <f>DD78*DE78+DF78*DG78</f>
        <v>4674.2</v>
      </c>
      <c r="DI78" s="207">
        <f>'Arable NPV'!$E158</f>
        <v>471.64</v>
      </c>
      <c r="DJ78" s="207">
        <f t="shared" si="176"/>
        <v>5145.84</v>
      </c>
      <c r="DK78" s="207">
        <f>'Arable NPV'!$G158</f>
        <v>2731.3292000000006</v>
      </c>
      <c r="DL78" s="207">
        <f>'Arable NPV'!$H158</f>
        <v>4055.6064000000006</v>
      </c>
      <c r="DM78" s="207">
        <f>'Arable NPV'!$I158-'Arable NPV'!$I158</f>
        <v>0</v>
      </c>
      <c r="DN78" s="207">
        <f t="shared" si="177"/>
        <v>4674.2</v>
      </c>
      <c r="DO78" s="207">
        <f t="shared" si="178"/>
        <v>5145.84</v>
      </c>
      <c r="DP78" s="208">
        <f t="shared" si="179"/>
        <v>2595.4173385823888</v>
      </c>
      <c r="DQ78" s="207">
        <f t="shared" si="180"/>
        <v>261.88495005968895</v>
      </c>
      <c r="DR78" s="207">
        <f t="shared" si="181"/>
        <v>0</v>
      </c>
      <c r="DS78" s="207">
        <f t="shared" si="182"/>
        <v>2595.4173385823888</v>
      </c>
      <c r="DT78" s="209">
        <f t="shared" si="183"/>
        <v>2857.3022886420781</v>
      </c>
      <c r="DU78" s="208">
        <f t="shared" si="206"/>
        <v>69590.387749560876</v>
      </c>
      <c r="DV78" s="207">
        <f t="shared" si="207"/>
        <v>5715.5162485077717</v>
      </c>
      <c r="DW78" s="207">
        <f t="shared" si="208"/>
        <v>0</v>
      </c>
      <c r="DX78" s="207">
        <f t="shared" si="209"/>
        <v>69590.387749560876</v>
      </c>
      <c r="DY78" s="209">
        <f t="shared" si="210"/>
        <v>75305.90399806865</v>
      </c>
    </row>
    <row r="84" spans="2:119" x14ac:dyDescent="0.3">
      <c r="B84" s="211" t="s">
        <v>92</v>
      </c>
      <c r="C84" s="760" t="s">
        <v>406</v>
      </c>
      <c r="D84" s="269" t="s">
        <v>397</v>
      </c>
      <c r="E84" s="194"/>
      <c r="F84" s="193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Z84" s="211" t="s">
        <v>92</v>
      </c>
      <c r="AA84" s="211" t="s">
        <v>326</v>
      </c>
      <c r="AB84" s="766"/>
      <c r="AC84" s="194"/>
      <c r="AD84" s="193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X84" s="211" t="s">
        <v>92</v>
      </c>
      <c r="AY84" s="211" t="s">
        <v>327</v>
      </c>
      <c r="AZ84" s="231"/>
      <c r="BA84" s="194"/>
      <c r="BB84" s="193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V84" s="211" t="s">
        <v>92</v>
      </c>
      <c r="BW84" s="211" t="s">
        <v>328</v>
      </c>
      <c r="BX84" s="231"/>
      <c r="BY84" s="194"/>
      <c r="BZ84" s="193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  <c r="CM84" s="102"/>
      <c r="CN84" s="102"/>
      <c r="CO84" s="102"/>
      <c r="CP84" s="102"/>
      <c r="CQ84" s="102"/>
      <c r="CT84" s="211" t="s">
        <v>92</v>
      </c>
      <c r="CU84" s="211" t="s">
        <v>329</v>
      </c>
      <c r="CV84" s="231"/>
      <c r="CW84" s="194"/>
      <c r="CX84" s="193"/>
      <c r="CY84" s="102"/>
      <c r="CZ84" s="102"/>
      <c r="DA84" s="102"/>
      <c r="DB84" s="102"/>
      <c r="DC84" s="102"/>
      <c r="DD84" s="102"/>
      <c r="DE84" s="102"/>
      <c r="DF84" s="102"/>
      <c r="DG84" s="102"/>
      <c r="DH84" s="102"/>
      <c r="DI84" s="102"/>
      <c r="DJ84" s="102"/>
      <c r="DK84" s="102"/>
      <c r="DL84" s="102"/>
      <c r="DM84" s="102"/>
      <c r="DN84" s="102"/>
      <c r="DO84" s="102"/>
    </row>
    <row r="85" spans="2:119" x14ac:dyDescent="0.3">
      <c r="B85" s="203"/>
      <c r="C85" s="148"/>
      <c r="D85" s="148"/>
      <c r="E85" s="1082"/>
      <c r="F85" s="1082"/>
      <c r="G85" s="1082"/>
      <c r="H85" s="148"/>
      <c r="I85" s="926"/>
      <c r="J85" s="1082"/>
      <c r="K85" s="1082"/>
      <c r="L85" s="148"/>
      <c r="M85" s="148"/>
      <c r="N85" s="1083" t="s">
        <v>273</v>
      </c>
      <c r="O85" s="1084"/>
      <c r="P85" s="1084"/>
      <c r="Q85" s="1084"/>
      <c r="R85" s="1085"/>
      <c r="S85" s="1083" t="s">
        <v>274</v>
      </c>
      <c r="T85" s="1084"/>
      <c r="U85" s="1084"/>
      <c r="V85" s="1084"/>
      <c r="W85" s="1085"/>
      <c r="Z85" s="203"/>
      <c r="AA85" s="148"/>
      <c r="AB85" s="148"/>
      <c r="AC85" s="985"/>
      <c r="AD85" s="985"/>
      <c r="AE85" s="985"/>
      <c r="AF85" s="148"/>
      <c r="AG85" s="926"/>
      <c r="AH85" s="985"/>
      <c r="AI85" s="985"/>
      <c r="AJ85" s="148"/>
      <c r="AK85" s="148"/>
      <c r="AL85" s="986" t="s">
        <v>273</v>
      </c>
      <c r="AM85" s="987"/>
      <c r="AN85" s="987"/>
      <c r="AO85" s="987"/>
      <c r="AP85" s="988"/>
      <c r="AQ85" s="986" t="s">
        <v>274</v>
      </c>
      <c r="AR85" s="987"/>
      <c r="AS85" s="987"/>
      <c r="AT85" s="987"/>
      <c r="AU85" s="988"/>
      <c r="AX85" s="203"/>
      <c r="AY85" s="148"/>
      <c r="AZ85" s="148"/>
      <c r="BA85" s="985"/>
      <c r="BB85" s="985"/>
      <c r="BC85" s="985"/>
      <c r="BD85" s="148"/>
      <c r="BE85" s="926"/>
      <c r="BF85" s="985"/>
      <c r="BG85" s="985"/>
      <c r="BH85" s="148"/>
      <c r="BI85" s="148"/>
      <c r="BJ85" s="986" t="s">
        <v>273</v>
      </c>
      <c r="BK85" s="987"/>
      <c r="BL85" s="987"/>
      <c r="BM85" s="987"/>
      <c r="BN85" s="988"/>
      <c r="BO85" s="986" t="s">
        <v>274</v>
      </c>
      <c r="BP85" s="987"/>
      <c r="BQ85" s="987"/>
      <c r="BR85" s="987"/>
      <c r="BS85" s="988"/>
      <c r="BV85" s="203"/>
      <c r="BW85" s="148"/>
      <c r="BX85" s="148"/>
      <c r="BY85" s="985"/>
      <c r="BZ85" s="985"/>
      <c r="CA85" s="985"/>
      <c r="CB85" s="148"/>
      <c r="CC85" s="926"/>
      <c r="CD85" s="985"/>
      <c r="CE85" s="985"/>
      <c r="CF85" s="148"/>
      <c r="CG85" s="148"/>
      <c r="CH85" s="986" t="s">
        <v>273</v>
      </c>
      <c r="CI85" s="987"/>
      <c r="CJ85" s="987"/>
      <c r="CK85" s="987"/>
      <c r="CL85" s="988"/>
      <c r="CM85" s="986" t="s">
        <v>274</v>
      </c>
      <c r="CN85" s="987"/>
      <c r="CO85" s="987"/>
      <c r="CP85" s="987"/>
      <c r="CQ85" s="988"/>
      <c r="CT85" s="203"/>
      <c r="CU85" s="148"/>
      <c r="CV85" s="148"/>
      <c r="CW85" s="985"/>
      <c r="CX85" s="985"/>
      <c r="CY85" s="985"/>
      <c r="CZ85" s="148"/>
      <c r="DA85" s="926"/>
      <c r="DB85" s="985"/>
      <c r="DC85" s="985"/>
      <c r="DD85" s="148"/>
      <c r="DE85" s="148"/>
      <c r="DF85" s="986" t="s">
        <v>273</v>
      </c>
      <c r="DG85" s="987"/>
      <c r="DH85" s="987"/>
      <c r="DI85" s="987"/>
      <c r="DJ85" s="988"/>
      <c r="DK85" s="986" t="s">
        <v>274</v>
      </c>
      <c r="DL85" s="987"/>
      <c r="DM85" s="987"/>
      <c r="DN85" s="987"/>
      <c r="DO85" s="988"/>
    </row>
    <row r="86" spans="2:119" ht="51" x14ac:dyDescent="0.3">
      <c r="B86" s="204" t="s">
        <v>275</v>
      </c>
      <c r="C86" s="205" t="s">
        <v>293</v>
      </c>
      <c r="D86" s="205" t="s">
        <v>294</v>
      </c>
      <c r="E86" s="171" t="s">
        <v>622</v>
      </c>
      <c r="F86" s="171" t="s">
        <v>591</v>
      </c>
      <c r="G86" s="171" t="s">
        <v>623</v>
      </c>
      <c r="H86" s="205" t="s">
        <v>291</v>
      </c>
      <c r="I86" s="930" t="str">
        <f>'Energy NPV'!U11</f>
        <v>Total Recurring Costs</v>
      </c>
      <c r="J86" s="205" t="s">
        <v>295</v>
      </c>
      <c r="K86" s="171" t="s">
        <v>279</v>
      </c>
      <c r="L86" s="171" t="s">
        <v>624</v>
      </c>
      <c r="M86" s="171" t="s">
        <v>625</v>
      </c>
      <c r="N86" s="195" t="s">
        <v>280</v>
      </c>
      <c r="O86" s="171" t="s">
        <v>626</v>
      </c>
      <c r="P86" s="171" t="s">
        <v>281</v>
      </c>
      <c r="Q86" s="171" t="s">
        <v>627</v>
      </c>
      <c r="R86" s="198" t="s">
        <v>282</v>
      </c>
      <c r="S86" s="195" t="s">
        <v>283</v>
      </c>
      <c r="T86" s="171" t="s">
        <v>628</v>
      </c>
      <c r="U86" s="171" t="s">
        <v>284</v>
      </c>
      <c r="V86" s="171" t="s">
        <v>629</v>
      </c>
      <c r="W86" s="198" t="s">
        <v>285</v>
      </c>
      <c r="Z86" s="204" t="s">
        <v>275</v>
      </c>
      <c r="AA86" s="205" t="s">
        <v>293</v>
      </c>
      <c r="AB86" s="205" t="s">
        <v>294</v>
      </c>
      <c r="AC86" s="171" t="s">
        <v>622</v>
      </c>
      <c r="AD86" s="171" t="s">
        <v>591</v>
      </c>
      <c r="AE86" s="171" t="s">
        <v>623</v>
      </c>
      <c r="AF86" s="205" t="s">
        <v>291</v>
      </c>
      <c r="AG86" s="930" t="str">
        <f>'Energy NPV'!U11</f>
        <v>Total Recurring Costs</v>
      </c>
      <c r="AH86" s="205" t="s">
        <v>295</v>
      </c>
      <c r="AI86" s="171" t="s">
        <v>279</v>
      </c>
      <c r="AJ86" s="171" t="s">
        <v>624</v>
      </c>
      <c r="AK86" s="171" t="s">
        <v>625</v>
      </c>
      <c r="AL86" s="195" t="s">
        <v>280</v>
      </c>
      <c r="AM86" s="171" t="s">
        <v>626</v>
      </c>
      <c r="AN86" s="171" t="s">
        <v>281</v>
      </c>
      <c r="AO86" s="171" t="s">
        <v>627</v>
      </c>
      <c r="AP86" s="198" t="s">
        <v>282</v>
      </c>
      <c r="AQ86" s="195" t="s">
        <v>283</v>
      </c>
      <c r="AR86" s="171" t="s">
        <v>628</v>
      </c>
      <c r="AS86" s="171" t="s">
        <v>284</v>
      </c>
      <c r="AT86" s="171" t="s">
        <v>629</v>
      </c>
      <c r="AU86" s="198" t="s">
        <v>285</v>
      </c>
      <c r="AX86" s="204" t="s">
        <v>275</v>
      </c>
      <c r="AY86" s="205" t="s">
        <v>293</v>
      </c>
      <c r="AZ86" s="205" t="s">
        <v>294</v>
      </c>
      <c r="BA86" s="171" t="s">
        <v>622</v>
      </c>
      <c r="BB86" s="171" t="s">
        <v>591</v>
      </c>
      <c r="BC86" s="171" t="s">
        <v>623</v>
      </c>
      <c r="BD86" s="205" t="s">
        <v>291</v>
      </c>
      <c r="BE86" s="930" t="str">
        <f>'Energy NPV'!U11</f>
        <v>Total Recurring Costs</v>
      </c>
      <c r="BF86" s="205" t="s">
        <v>295</v>
      </c>
      <c r="BG86" s="171" t="s">
        <v>279</v>
      </c>
      <c r="BH86" s="171" t="s">
        <v>624</v>
      </c>
      <c r="BI86" s="171" t="s">
        <v>625</v>
      </c>
      <c r="BJ86" s="195" t="s">
        <v>280</v>
      </c>
      <c r="BK86" s="171" t="s">
        <v>626</v>
      </c>
      <c r="BL86" s="171" t="s">
        <v>281</v>
      </c>
      <c r="BM86" s="171" t="s">
        <v>627</v>
      </c>
      <c r="BN86" s="198" t="s">
        <v>282</v>
      </c>
      <c r="BO86" s="195" t="s">
        <v>283</v>
      </c>
      <c r="BP86" s="171" t="s">
        <v>628</v>
      </c>
      <c r="BQ86" s="171" t="s">
        <v>284</v>
      </c>
      <c r="BR86" s="171" t="s">
        <v>629</v>
      </c>
      <c r="BS86" s="198" t="s">
        <v>285</v>
      </c>
      <c r="BV86" s="204" t="s">
        <v>275</v>
      </c>
      <c r="BW86" s="205" t="s">
        <v>293</v>
      </c>
      <c r="BX86" s="205" t="s">
        <v>294</v>
      </c>
      <c r="BY86" s="171" t="s">
        <v>622</v>
      </c>
      <c r="BZ86" s="171" t="s">
        <v>591</v>
      </c>
      <c r="CA86" s="171" t="s">
        <v>623</v>
      </c>
      <c r="CB86" s="205" t="s">
        <v>291</v>
      </c>
      <c r="CC86" s="930" t="str">
        <f>'Energy NPV'!U11</f>
        <v>Total Recurring Costs</v>
      </c>
      <c r="CD86" s="205" t="s">
        <v>295</v>
      </c>
      <c r="CE86" s="171" t="s">
        <v>279</v>
      </c>
      <c r="CF86" s="171" t="s">
        <v>624</v>
      </c>
      <c r="CG86" s="171" t="s">
        <v>625</v>
      </c>
      <c r="CH86" s="195" t="s">
        <v>280</v>
      </c>
      <c r="CI86" s="171" t="s">
        <v>626</v>
      </c>
      <c r="CJ86" s="171" t="s">
        <v>281</v>
      </c>
      <c r="CK86" s="171" t="s">
        <v>627</v>
      </c>
      <c r="CL86" s="198" t="s">
        <v>282</v>
      </c>
      <c r="CM86" s="195" t="s">
        <v>283</v>
      </c>
      <c r="CN86" s="171" t="s">
        <v>628</v>
      </c>
      <c r="CO86" s="171" t="s">
        <v>284</v>
      </c>
      <c r="CP86" s="171" t="s">
        <v>629</v>
      </c>
      <c r="CQ86" s="198" t="s">
        <v>285</v>
      </c>
      <c r="CT86" s="204" t="s">
        <v>275</v>
      </c>
      <c r="CU86" s="205" t="s">
        <v>293</v>
      </c>
      <c r="CV86" s="205" t="s">
        <v>294</v>
      </c>
      <c r="CW86" s="171" t="s">
        <v>622</v>
      </c>
      <c r="CX86" s="171" t="s">
        <v>591</v>
      </c>
      <c r="CY86" s="171" t="s">
        <v>623</v>
      </c>
      <c r="CZ86" s="205" t="s">
        <v>291</v>
      </c>
      <c r="DA86" s="930" t="str">
        <f>'Energy NPV'!U11</f>
        <v>Total Recurring Costs</v>
      </c>
      <c r="DB86" s="205" t="s">
        <v>295</v>
      </c>
      <c r="DC86" s="171" t="s">
        <v>279</v>
      </c>
      <c r="DD86" s="171" t="s">
        <v>624</v>
      </c>
      <c r="DE86" s="171" t="s">
        <v>625</v>
      </c>
      <c r="DF86" s="195" t="s">
        <v>280</v>
      </c>
      <c r="DG86" s="171" t="s">
        <v>626</v>
      </c>
      <c r="DH86" s="171" t="s">
        <v>281</v>
      </c>
      <c r="DI86" s="171" t="s">
        <v>627</v>
      </c>
      <c r="DJ86" s="198" t="s">
        <v>282</v>
      </c>
      <c r="DK86" s="195" t="s">
        <v>283</v>
      </c>
      <c r="DL86" s="171" t="s">
        <v>628</v>
      </c>
      <c r="DM86" s="171" t="s">
        <v>284</v>
      </c>
      <c r="DN86" s="171" t="s">
        <v>629</v>
      </c>
      <c r="DO86" s="198" t="s">
        <v>285</v>
      </c>
    </row>
    <row r="87" spans="2:119" x14ac:dyDescent="0.3">
      <c r="B87" s="173"/>
      <c r="C87" s="226" t="s">
        <v>336</v>
      </c>
      <c r="D87" s="226" t="s">
        <v>573</v>
      </c>
      <c r="E87" s="201" t="s">
        <v>571</v>
      </c>
      <c r="F87" s="201" t="s">
        <v>571</v>
      </c>
      <c r="G87" s="201" t="s">
        <v>571</v>
      </c>
      <c r="H87" s="201" t="s">
        <v>571</v>
      </c>
      <c r="I87" s="964" t="str">
        <f>'Energy NPV'!U12</f>
        <v>(PLN ha-1)</v>
      </c>
      <c r="J87" s="201" t="s">
        <v>571</v>
      </c>
      <c r="K87" s="201" t="s">
        <v>571</v>
      </c>
      <c r="L87" s="201" t="s">
        <v>571</v>
      </c>
      <c r="M87" s="202" t="s">
        <v>571</v>
      </c>
      <c r="N87" s="201" t="s">
        <v>571</v>
      </c>
      <c r="O87" s="201" t="s">
        <v>571</v>
      </c>
      <c r="P87" s="201" t="s">
        <v>571</v>
      </c>
      <c r="Q87" s="201" t="s">
        <v>571</v>
      </c>
      <c r="R87" s="202" t="s">
        <v>571</v>
      </c>
      <c r="S87" s="201" t="s">
        <v>571</v>
      </c>
      <c r="T87" s="201" t="s">
        <v>571</v>
      </c>
      <c r="U87" s="201" t="s">
        <v>571</v>
      </c>
      <c r="V87" s="201" t="s">
        <v>571</v>
      </c>
      <c r="W87" s="202" t="s">
        <v>571</v>
      </c>
      <c r="Z87" s="173"/>
      <c r="AA87" s="226" t="s">
        <v>336</v>
      </c>
      <c r="AB87" s="226" t="s">
        <v>573</v>
      </c>
      <c r="AC87" s="201" t="s">
        <v>571</v>
      </c>
      <c r="AD87" s="201" t="s">
        <v>571</v>
      </c>
      <c r="AE87" s="201" t="s">
        <v>571</v>
      </c>
      <c r="AF87" s="201" t="s">
        <v>571</v>
      </c>
      <c r="AG87" s="964" t="str">
        <f>'Energy NPV'!U12</f>
        <v>(PLN ha-1)</v>
      </c>
      <c r="AH87" s="201" t="s">
        <v>571</v>
      </c>
      <c r="AI87" s="201" t="s">
        <v>571</v>
      </c>
      <c r="AJ87" s="201" t="s">
        <v>571</v>
      </c>
      <c r="AK87" s="202" t="s">
        <v>571</v>
      </c>
      <c r="AL87" s="201" t="s">
        <v>571</v>
      </c>
      <c r="AM87" s="201" t="s">
        <v>571</v>
      </c>
      <c r="AN87" s="201" t="s">
        <v>571</v>
      </c>
      <c r="AO87" s="201" t="s">
        <v>571</v>
      </c>
      <c r="AP87" s="202" t="s">
        <v>571</v>
      </c>
      <c r="AQ87" s="201" t="s">
        <v>571</v>
      </c>
      <c r="AR87" s="201" t="s">
        <v>571</v>
      </c>
      <c r="AS87" s="201" t="s">
        <v>571</v>
      </c>
      <c r="AT87" s="201" t="s">
        <v>571</v>
      </c>
      <c r="AU87" s="202" t="s">
        <v>571</v>
      </c>
      <c r="AX87" s="173"/>
      <c r="AY87" s="226" t="s">
        <v>336</v>
      </c>
      <c r="AZ87" s="226" t="s">
        <v>573</v>
      </c>
      <c r="BA87" s="201" t="s">
        <v>571</v>
      </c>
      <c r="BB87" s="201" t="s">
        <v>571</v>
      </c>
      <c r="BC87" s="201" t="s">
        <v>571</v>
      </c>
      <c r="BD87" s="201" t="s">
        <v>571</v>
      </c>
      <c r="BE87" s="964" t="str">
        <f>'Energy NPV'!U12</f>
        <v>(PLN ha-1)</v>
      </c>
      <c r="BF87" s="201" t="s">
        <v>571</v>
      </c>
      <c r="BG87" s="201" t="s">
        <v>571</v>
      </c>
      <c r="BH87" s="201" t="s">
        <v>571</v>
      </c>
      <c r="BI87" s="202" t="s">
        <v>571</v>
      </c>
      <c r="BJ87" s="201" t="s">
        <v>571</v>
      </c>
      <c r="BK87" s="201" t="s">
        <v>571</v>
      </c>
      <c r="BL87" s="201" t="s">
        <v>571</v>
      </c>
      <c r="BM87" s="201" t="s">
        <v>571</v>
      </c>
      <c r="BN87" s="202" t="s">
        <v>571</v>
      </c>
      <c r="BO87" s="201" t="s">
        <v>571</v>
      </c>
      <c r="BP87" s="201" t="s">
        <v>571</v>
      </c>
      <c r="BQ87" s="201" t="s">
        <v>571</v>
      </c>
      <c r="BR87" s="201" t="s">
        <v>571</v>
      </c>
      <c r="BS87" s="202" t="s">
        <v>571</v>
      </c>
      <c r="BV87" s="173"/>
      <c r="BW87" s="226" t="s">
        <v>336</v>
      </c>
      <c r="BX87" s="226" t="s">
        <v>573</v>
      </c>
      <c r="BY87" s="201" t="s">
        <v>571</v>
      </c>
      <c r="BZ87" s="201" t="s">
        <v>571</v>
      </c>
      <c r="CA87" s="201" t="s">
        <v>571</v>
      </c>
      <c r="CB87" s="201" t="s">
        <v>571</v>
      </c>
      <c r="CC87" s="964" t="str">
        <f>'Energy NPV'!U12</f>
        <v>(PLN ha-1)</v>
      </c>
      <c r="CD87" s="201" t="s">
        <v>571</v>
      </c>
      <c r="CE87" s="201" t="s">
        <v>571</v>
      </c>
      <c r="CF87" s="201" t="s">
        <v>571</v>
      </c>
      <c r="CG87" s="202" t="s">
        <v>571</v>
      </c>
      <c r="CH87" s="201" t="s">
        <v>571</v>
      </c>
      <c r="CI87" s="201" t="s">
        <v>571</v>
      </c>
      <c r="CJ87" s="201" t="s">
        <v>571</v>
      </c>
      <c r="CK87" s="201" t="s">
        <v>571</v>
      </c>
      <c r="CL87" s="202" t="s">
        <v>571</v>
      </c>
      <c r="CM87" s="201" t="s">
        <v>571</v>
      </c>
      <c r="CN87" s="201" t="s">
        <v>571</v>
      </c>
      <c r="CO87" s="201" t="s">
        <v>571</v>
      </c>
      <c r="CP87" s="201" t="s">
        <v>571</v>
      </c>
      <c r="CQ87" s="202" t="s">
        <v>571</v>
      </c>
      <c r="CT87" s="173"/>
      <c r="CU87" s="226" t="s">
        <v>336</v>
      </c>
      <c r="CV87" s="226" t="s">
        <v>573</v>
      </c>
      <c r="CW87" s="201" t="s">
        <v>571</v>
      </c>
      <c r="CX87" s="201" t="s">
        <v>571</v>
      </c>
      <c r="CY87" s="201" t="s">
        <v>571</v>
      </c>
      <c r="CZ87" s="201" t="s">
        <v>571</v>
      </c>
      <c r="DA87" s="964" t="str">
        <f>'Energy NPV'!U12</f>
        <v>(PLN ha-1)</v>
      </c>
      <c r="DB87" s="201" t="s">
        <v>571</v>
      </c>
      <c r="DC87" s="201" t="s">
        <v>571</v>
      </c>
      <c r="DD87" s="201" t="s">
        <v>571</v>
      </c>
      <c r="DE87" s="202" t="s">
        <v>571</v>
      </c>
      <c r="DF87" s="201" t="s">
        <v>571</v>
      </c>
      <c r="DG87" s="201" t="s">
        <v>571</v>
      </c>
      <c r="DH87" s="201" t="s">
        <v>571</v>
      </c>
      <c r="DI87" s="201" t="s">
        <v>571</v>
      </c>
      <c r="DJ87" s="202" t="s">
        <v>571</v>
      </c>
      <c r="DK87" s="201" t="s">
        <v>571</v>
      </c>
      <c r="DL87" s="201" t="s">
        <v>571</v>
      </c>
      <c r="DM87" s="201" t="s">
        <v>571</v>
      </c>
      <c r="DN87" s="201" t="s">
        <v>571</v>
      </c>
      <c r="DO87" s="202" t="s">
        <v>571</v>
      </c>
    </row>
    <row r="88" spans="2:119" x14ac:dyDescent="0.3">
      <c r="B88" s="204">
        <v>1</v>
      </c>
      <c r="C88" s="756">
        <f>'Energy NPV'!$D13</f>
        <v>0</v>
      </c>
      <c r="D88" s="197">
        <f>'Energy margins'!$E$12</f>
        <v>269.5</v>
      </c>
      <c r="E88" s="197">
        <f>C88*D88</f>
        <v>0</v>
      </c>
      <c r="F88" s="197">
        <f>'Margins summary'!$Q$14</f>
        <v>471.64</v>
      </c>
      <c r="G88" s="197">
        <f>E88+F88</f>
        <v>471.64</v>
      </c>
      <c r="H88" s="197">
        <f>'Margins summary'!$P$20</f>
        <v>7477.7999999999993</v>
      </c>
      <c r="I88" s="913">
        <f>'Energy NPV'!U13</f>
        <v>0</v>
      </c>
      <c r="J88" s="197"/>
      <c r="K88" s="197">
        <f>H88+I88+J88</f>
        <v>7477.7999999999993</v>
      </c>
      <c r="L88" s="197">
        <f t="shared" ref="L88:L103" si="216">E88-K88</f>
        <v>-7477.7999999999993</v>
      </c>
      <c r="M88" s="197">
        <f t="shared" ref="M88:M103" si="217">G88-K88</f>
        <v>-7006.1599999999989</v>
      </c>
      <c r="N88" s="1014">
        <f>E88/((1+$B$4)^(B88-1))</f>
        <v>0</v>
      </c>
      <c r="O88" s="213">
        <f>F88/((1+$B$4)^(B88-1))</f>
        <v>471.64</v>
      </c>
      <c r="P88" s="213">
        <f>K88/((1+$B$4)^(B88-1))</f>
        <v>7477.7999999999993</v>
      </c>
      <c r="Q88" s="213">
        <f>L88/((1+$B$4)^(B88-1))</f>
        <v>-7477.7999999999993</v>
      </c>
      <c r="R88" s="924">
        <f>M88/((1+$B$4)^(B88-1))</f>
        <v>-7006.1599999999989</v>
      </c>
      <c r="S88" s="196">
        <f>N88</f>
        <v>0</v>
      </c>
      <c r="T88" s="197">
        <f>O88</f>
        <v>471.64</v>
      </c>
      <c r="U88" s="197">
        <f>P88</f>
        <v>7477.7999999999993</v>
      </c>
      <c r="V88" s="197">
        <f>Q88</f>
        <v>-7477.7999999999993</v>
      </c>
      <c r="W88" s="199">
        <f>R88</f>
        <v>-7006.1599999999989</v>
      </c>
      <c r="Z88" s="204">
        <v>1</v>
      </c>
      <c r="AA88" s="756">
        <f>'Energy NPV'!$D13</f>
        <v>0</v>
      </c>
      <c r="AB88" s="197">
        <f>'Energy margins'!$E$12</f>
        <v>269.5</v>
      </c>
      <c r="AC88" s="197">
        <f>AA88*AB88</f>
        <v>0</v>
      </c>
      <c r="AD88" s="197">
        <f>'Margins summary'!$Q$14</f>
        <v>471.64</v>
      </c>
      <c r="AE88" s="197">
        <f>AC88+AD88</f>
        <v>471.64</v>
      </c>
      <c r="AF88" s="197">
        <f>'Margins summary'!$P$20</f>
        <v>7477.7999999999993</v>
      </c>
      <c r="AG88" s="913">
        <f>'Energy NPV'!U13</f>
        <v>0</v>
      </c>
      <c r="AH88" s="197"/>
      <c r="AI88" s="197">
        <f>(AF88+AG88+AH88)+0.5*(AF88+AG88+AH88)</f>
        <v>11216.699999999999</v>
      </c>
      <c r="AJ88" s="197">
        <f t="shared" ref="AJ88:AJ103" si="218">AC88-AI88</f>
        <v>-11216.699999999999</v>
      </c>
      <c r="AK88" s="197">
        <f t="shared" ref="AK88:AK103" si="219">AE88-AI88</f>
        <v>-10745.06</v>
      </c>
      <c r="AL88" s="1014">
        <f>AC88/((1+$B$4)^(Z88-1))</f>
        <v>0</v>
      </c>
      <c r="AM88" s="213">
        <f>AD88/((1+$B$4)^(Z88-1))</f>
        <v>471.64</v>
      </c>
      <c r="AN88" s="213">
        <f>AI88/((1+$B$4)^(Z88-1))</f>
        <v>11216.699999999999</v>
      </c>
      <c r="AO88" s="213">
        <f>AJ88/((1+$B$4)^(Z88-1))</f>
        <v>-11216.699999999999</v>
      </c>
      <c r="AP88" s="924">
        <f>AK88/((1+$B$4)^(Z88-1))</f>
        <v>-10745.06</v>
      </c>
      <c r="AQ88" s="196">
        <f>AL88</f>
        <v>0</v>
      </c>
      <c r="AR88" s="197">
        <f>AM88</f>
        <v>471.64</v>
      </c>
      <c r="AS88" s="197">
        <f>AN88</f>
        <v>11216.699999999999</v>
      </c>
      <c r="AT88" s="197">
        <f>AO88</f>
        <v>-11216.699999999999</v>
      </c>
      <c r="AU88" s="199">
        <f>AP88</f>
        <v>-10745.06</v>
      </c>
      <c r="AX88" s="204">
        <v>1</v>
      </c>
      <c r="AY88" s="756">
        <f>'Energy NPV'!$D13</f>
        <v>0</v>
      </c>
      <c r="AZ88" s="197">
        <f>'Energy margins'!$E$12</f>
        <v>269.5</v>
      </c>
      <c r="BA88" s="197">
        <f>AY88*AZ88</f>
        <v>0</v>
      </c>
      <c r="BB88" s="197">
        <f>'Margins summary'!$Q$14</f>
        <v>471.64</v>
      </c>
      <c r="BC88" s="197">
        <f>BA88+BB88</f>
        <v>471.64</v>
      </c>
      <c r="BD88" s="197">
        <f>'Margins summary'!$P$20</f>
        <v>7477.7999999999993</v>
      </c>
      <c r="BE88" s="913">
        <f>'Energy NPV'!U13</f>
        <v>0</v>
      </c>
      <c r="BF88" s="197"/>
      <c r="BG88" s="197">
        <f>(BD88+BE88+BF88)-0.5*(BD88+BE88+BF88)</f>
        <v>3738.8999999999996</v>
      </c>
      <c r="BH88" s="197">
        <f t="shared" ref="BH88:BH103" si="220">BA88-BG88</f>
        <v>-3738.8999999999996</v>
      </c>
      <c r="BI88" s="197">
        <f t="shared" ref="BI88:BI103" si="221">BC88-BG88</f>
        <v>-3267.2599999999998</v>
      </c>
      <c r="BJ88" s="1014">
        <f>BA88/((1+$B$4)^(AX88-1))</f>
        <v>0</v>
      </c>
      <c r="BK88" s="213">
        <f>BB88/((1+$B$4)^(AX88-1))</f>
        <v>471.64</v>
      </c>
      <c r="BL88" s="213">
        <f>BG88/((1+$B$4)^(AX88-1))</f>
        <v>3738.8999999999996</v>
      </c>
      <c r="BM88" s="213">
        <f>BH88/((1+$B$4)^(AX88-1))</f>
        <v>-3738.8999999999996</v>
      </c>
      <c r="BN88" s="924">
        <f>BI88/((1+$B$4)^(AX88-1))</f>
        <v>-3267.2599999999998</v>
      </c>
      <c r="BO88" s="196">
        <f>BJ88</f>
        <v>0</v>
      </c>
      <c r="BP88" s="197">
        <f>BK88</f>
        <v>471.64</v>
      </c>
      <c r="BQ88" s="197">
        <f>BL88</f>
        <v>3738.8999999999996</v>
      </c>
      <c r="BR88" s="197">
        <f>BM88</f>
        <v>-3738.8999999999996</v>
      </c>
      <c r="BS88" s="199">
        <f>BN88</f>
        <v>-3267.2599999999998</v>
      </c>
      <c r="BV88" s="204">
        <v>1</v>
      </c>
      <c r="BW88" s="756">
        <f>'Energy NPV'!$D13</f>
        <v>0</v>
      </c>
      <c r="BX88" s="197">
        <f>'Energy margins'!$E$12</f>
        <v>269.5</v>
      </c>
      <c r="BY88" s="197">
        <f>BW88*BX88</f>
        <v>0</v>
      </c>
      <c r="BZ88" s="197">
        <f>'Margins summary'!$Q$14</f>
        <v>471.64</v>
      </c>
      <c r="CA88" s="197">
        <f>BY88+BZ88</f>
        <v>471.64</v>
      </c>
      <c r="CB88" s="197">
        <f>'Margins summary'!$P$20</f>
        <v>7477.7999999999993</v>
      </c>
      <c r="CC88" s="913">
        <f>'Energy NPV'!U13</f>
        <v>0</v>
      </c>
      <c r="CD88" s="197"/>
      <c r="CE88" s="197">
        <f>CB88+CC88+CD88+CB88+CC88+CD88</f>
        <v>14955.599999999999</v>
      </c>
      <c r="CF88" s="197">
        <f t="shared" ref="CF88:CF103" si="222">BY88-CE88</f>
        <v>-14955.599999999999</v>
      </c>
      <c r="CG88" s="197">
        <f t="shared" ref="CG88:CG103" si="223">CA88-CE88</f>
        <v>-14483.96</v>
      </c>
      <c r="CH88" s="1014">
        <f>BY88/((1+$B$4)^(BV88-1))</f>
        <v>0</v>
      </c>
      <c r="CI88" s="213">
        <f>BZ88/((1+$B$4)^(BV88-1))</f>
        <v>471.64</v>
      </c>
      <c r="CJ88" s="213">
        <f>CE88/((1+$B$4)^(BV88-1))</f>
        <v>14955.599999999999</v>
      </c>
      <c r="CK88" s="213">
        <f>CF88/((1+$B$4)^(BV88-1))</f>
        <v>-14955.599999999999</v>
      </c>
      <c r="CL88" s="924">
        <f>CG88/((1+$B$4)^(BV88-1))</f>
        <v>-14483.96</v>
      </c>
      <c r="CM88" s="196">
        <f>CH88</f>
        <v>0</v>
      </c>
      <c r="CN88" s="197">
        <f>CI88</f>
        <v>471.64</v>
      </c>
      <c r="CO88" s="197">
        <f>CJ88</f>
        <v>14955.599999999999</v>
      </c>
      <c r="CP88" s="197">
        <f>CK88</f>
        <v>-14955.599999999999</v>
      </c>
      <c r="CQ88" s="199">
        <f>CL88</f>
        <v>-14483.96</v>
      </c>
      <c r="CT88" s="204">
        <v>1</v>
      </c>
      <c r="CU88" s="756">
        <f>'Energy NPV'!$D13</f>
        <v>0</v>
      </c>
      <c r="CV88" s="197">
        <f>'Energy margins'!$E$12</f>
        <v>269.5</v>
      </c>
      <c r="CW88" s="197">
        <f>CU88*CV88</f>
        <v>0</v>
      </c>
      <c r="CX88" s="197">
        <f>'Margins summary'!$Q$14</f>
        <v>471.64</v>
      </c>
      <c r="CY88" s="197">
        <f>CW88+CX88</f>
        <v>471.64</v>
      </c>
      <c r="CZ88" s="197">
        <f>'Margins summary'!$P$20</f>
        <v>7477.7999999999993</v>
      </c>
      <c r="DA88" s="913">
        <f>'Energy NPV'!U13</f>
        <v>0</v>
      </c>
      <c r="DB88" s="197"/>
      <c r="DC88" s="197">
        <f>CZ88+DA88+DB88-(CZ88+DA88+DB88)</f>
        <v>0</v>
      </c>
      <c r="DD88" s="197">
        <f t="shared" ref="DD88:DD103" si="224">CW88-DC88</f>
        <v>0</v>
      </c>
      <c r="DE88" s="197">
        <f t="shared" ref="DE88:DE103" si="225">CY88-DC88</f>
        <v>471.64</v>
      </c>
      <c r="DF88" s="1014">
        <f>CW88/((1+$B$4)^(CT88-1))</f>
        <v>0</v>
      </c>
      <c r="DG88" s="213">
        <f>CX88/((1+$B$4)^(CT88-1))</f>
        <v>471.64</v>
      </c>
      <c r="DH88" s="213">
        <f>DC88/((1+$B$4)^(CT88-1))</f>
        <v>0</v>
      </c>
      <c r="DI88" s="213">
        <f>DD88/((1+$B$4)^(CT88-1))</f>
        <v>0</v>
      </c>
      <c r="DJ88" s="924">
        <f>DE88/((1+$B$4)^(CT88-1))</f>
        <v>471.64</v>
      </c>
      <c r="DK88" s="196">
        <f>DF88</f>
        <v>0</v>
      </c>
      <c r="DL88" s="197">
        <f>DG88</f>
        <v>471.64</v>
      </c>
      <c r="DM88" s="197">
        <f>DH88</f>
        <v>0</v>
      </c>
      <c r="DN88" s="197">
        <f>DI88</f>
        <v>0</v>
      </c>
      <c r="DO88" s="199">
        <f>DJ88</f>
        <v>471.64</v>
      </c>
    </row>
    <row r="89" spans="2:119" x14ac:dyDescent="0.3">
      <c r="B89" s="204">
        <v>2</v>
      </c>
      <c r="C89" s="756">
        <f>'Energy NPV'!$D14</f>
        <v>0</v>
      </c>
      <c r="D89" s="197">
        <f>'Energy margins'!$E$12</f>
        <v>269.5</v>
      </c>
      <c r="E89" s="197">
        <f>C89*D89</f>
        <v>0</v>
      </c>
      <c r="F89" s="197">
        <f>'Margins summary'!$Q$14</f>
        <v>471.64</v>
      </c>
      <c r="G89" s="197">
        <f t="shared" ref="G89:G103" si="226">E89+F89</f>
        <v>471.64</v>
      </c>
      <c r="H89" s="197"/>
      <c r="I89" s="913">
        <f>'Energy NPV'!U14</f>
        <v>687.5680000000001</v>
      </c>
      <c r="J89" s="197"/>
      <c r="K89" s="197">
        <f t="shared" ref="K89:K103" si="227">H89+I89+J89</f>
        <v>687.5680000000001</v>
      </c>
      <c r="L89" s="197">
        <f t="shared" si="216"/>
        <v>-687.5680000000001</v>
      </c>
      <c r="M89" s="197">
        <f t="shared" si="217"/>
        <v>-215.92800000000011</v>
      </c>
      <c r="N89" s="196">
        <f t="shared" ref="N89:N103" si="228">E89/((1+$B$4)^(B89-1))</f>
        <v>0</v>
      </c>
      <c r="O89" s="197">
        <f t="shared" ref="O89:O103" si="229">F89/((1+$B$4)^(B89-1))</f>
        <v>453.49999999999994</v>
      </c>
      <c r="P89" s="197">
        <f t="shared" ref="P89:P103" si="230">K89/((1+$B$4)^(B89-1))</f>
        <v>661.12307692307695</v>
      </c>
      <c r="Q89" s="197">
        <f t="shared" ref="Q89:Q103" si="231">L89/((1+$B$4)^(B89-1))</f>
        <v>-661.12307692307695</v>
      </c>
      <c r="R89" s="199">
        <f t="shared" ref="R89:R102" si="232">M89/((1+$B$4)^(B89-1))</f>
        <v>-207.62307692307704</v>
      </c>
      <c r="S89" s="196">
        <f>S88+N89</f>
        <v>0</v>
      </c>
      <c r="T89" s="197">
        <f t="shared" ref="T89:W103" si="233">T88+O89</f>
        <v>925.13999999999987</v>
      </c>
      <c r="U89" s="197">
        <f t="shared" si="233"/>
        <v>8138.9230769230762</v>
      </c>
      <c r="V89" s="197">
        <f t="shared" si="233"/>
        <v>-8138.9230769230762</v>
      </c>
      <c r="W89" s="199">
        <f t="shared" si="233"/>
        <v>-7213.7830769230759</v>
      </c>
      <c r="Z89" s="204">
        <v>2</v>
      </c>
      <c r="AA89" s="756">
        <f>'Energy NPV'!$D14</f>
        <v>0</v>
      </c>
      <c r="AB89" s="197">
        <f>'Energy margins'!$E$12</f>
        <v>269.5</v>
      </c>
      <c r="AC89" s="197">
        <f>AA89*AB89</f>
        <v>0</v>
      </c>
      <c r="AD89" s="197">
        <f>'Margins summary'!$Q$14</f>
        <v>471.64</v>
      </c>
      <c r="AE89" s="197">
        <f t="shared" ref="AE89:AE103" si="234">AC89+AD89</f>
        <v>471.64</v>
      </c>
      <c r="AF89" s="197"/>
      <c r="AG89" s="913">
        <f>'Energy NPV'!U14</f>
        <v>687.5680000000001</v>
      </c>
      <c r="AH89" s="197"/>
      <c r="AI89" s="197">
        <f>(AF89+AG89+AH89)+0.5*(AF89+AG89+AH89)</f>
        <v>1031.3520000000001</v>
      </c>
      <c r="AJ89" s="197">
        <f t="shared" si="218"/>
        <v>-1031.3520000000001</v>
      </c>
      <c r="AK89" s="197">
        <f t="shared" si="219"/>
        <v>-559.7120000000001</v>
      </c>
      <c r="AL89" s="196">
        <f t="shared" ref="AL89:AL103" si="235">AC89/((1+$B$4)^(Z89-1))</f>
        <v>0</v>
      </c>
      <c r="AM89" s="197">
        <f t="shared" ref="AM89:AM103" si="236">AD89/((1+$B$4)^(Z89-1))</f>
        <v>453.49999999999994</v>
      </c>
      <c r="AN89" s="197">
        <f t="shared" ref="AN89:AN103" si="237">AI89/((1+$B$4)^(Z89-1))</f>
        <v>991.68461538461543</v>
      </c>
      <c r="AO89" s="197">
        <f t="shared" ref="AO89:AO103" si="238">AJ89/((1+$B$4)^(Z89-1))</f>
        <v>-991.68461538461543</v>
      </c>
      <c r="AP89" s="199">
        <f t="shared" ref="AP89:AP102" si="239">AK89/((1+$B$4)^(Z89-1))</f>
        <v>-538.18461538461543</v>
      </c>
      <c r="AQ89" s="196">
        <f>AQ88+AL89</f>
        <v>0</v>
      </c>
      <c r="AR89" s="197">
        <f t="shared" ref="AR89:AU103" si="240">AR88+AM89</f>
        <v>925.13999999999987</v>
      </c>
      <c r="AS89" s="197">
        <f t="shared" si="240"/>
        <v>12208.384615384613</v>
      </c>
      <c r="AT89" s="197">
        <f t="shared" si="240"/>
        <v>-12208.384615384613</v>
      </c>
      <c r="AU89" s="199">
        <f t="shared" si="240"/>
        <v>-11283.244615384614</v>
      </c>
      <c r="AX89" s="204">
        <v>2</v>
      </c>
      <c r="AY89" s="756">
        <f>'Energy NPV'!$D14</f>
        <v>0</v>
      </c>
      <c r="AZ89" s="197">
        <f>'Energy margins'!$E$12</f>
        <v>269.5</v>
      </c>
      <c r="BA89" s="197">
        <f>AY89*AZ89</f>
        <v>0</v>
      </c>
      <c r="BB89" s="197">
        <f>'Margins summary'!$Q$14</f>
        <v>471.64</v>
      </c>
      <c r="BC89" s="197">
        <f t="shared" ref="BC89:BC103" si="241">BA89+BB89</f>
        <v>471.64</v>
      </c>
      <c r="BD89" s="197"/>
      <c r="BE89" s="913">
        <f>'Energy NPV'!U14</f>
        <v>687.5680000000001</v>
      </c>
      <c r="BF89" s="197"/>
      <c r="BG89" s="197">
        <f t="shared" ref="BG89:BG103" si="242">(BD89+BE89+BF89)-0.5*(BD89+BE89+BF89)</f>
        <v>343.78400000000005</v>
      </c>
      <c r="BH89" s="197">
        <f t="shared" si="220"/>
        <v>-343.78400000000005</v>
      </c>
      <c r="BI89" s="197">
        <f t="shared" si="221"/>
        <v>127.85599999999994</v>
      </c>
      <c r="BJ89" s="196">
        <f t="shared" ref="BJ89:BJ103" si="243">BA89/((1+$B$4)^(AX89-1))</f>
        <v>0</v>
      </c>
      <c r="BK89" s="197">
        <f t="shared" ref="BK89:BK103" si="244">BB89/((1+$B$4)^(AX89-1))</f>
        <v>453.49999999999994</v>
      </c>
      <c r="BL89" s="197">
        <f t="shared" ref="BL89:BL103" si="245">BG89/((1+$B$4)^(AX89-1))</f>
        <v>330.56153846153848</v>
      </c>
      <c r="BM89" s="197">
        <f t="shared" ref="BM89:BM103" si="246">BH89/((1+$B$4)^(AX89-1))</f>
        <v>-330.56153846153848</v>
      </c>
      <c r="BN89" s="199">
        <f t="shared" ref="BN89:BN102" si="247">BI89/((1+$B$4)^(AX89-1))</f>
        <v>122.93846153846147</v>
      </c>
      <c r="BO89" s="196">
        <f>BO88+BJ89</f>
        <v>0</v>
      </c>
      <c r="BP89" s="197">
        <f t="shared" ref="BP89:BS103" si="248">BP88+BK89</f>
        <v>925.13999999999987</v>
      </c>
      <c r="BQ89" s="197">
        <f t="shared" si="248"/>
        <v>4069.4615384615381</v>
      </c>
      <c r="BR89" s="197">
        <f t="shared" si="248"/>
        <v>-4069.4615384615381</v>
      </c>
      <c r="BS89" s="199">
        <f t="shared" si="248"/>
        <v>-3144.3215384615382</v>
      </c>
      <c r="BV89" s="204">
        <v>2</v>
      </c>
      <c r="BW89" s="756">
        <f>'Energy NPV'!$D14</f>
        <v>0</v>
      </c>
      <c r="BX89" s="197">
        <f>'Energy margins'!$E$12</f>
        <v>269.5</v>
      </c>
      <c r="BY89" s="197">
        <f>BW89*BX89</f>
        <v>0</v>
      </c>
      <c r="BZ89" s="197">
        <f>'Margins summary'!$Q$14</f>
        <v>471.64</v>
      </c>
      <c r="CA89" s="197">
        <f t="shared" ref="CA89:CA103" si="249">BY89+BZ89</f>
        <v>471.64</v>
      </c>
      <c r="CB89" s="197"/>
      <c r="CC89" s="913">
        <f>'Energy NPV'!U14</f>
        <v>687.5680000000001</v>
      </c>
      <c r="CD89" s="197"/>
      <c r="CE89" s="197">
        <f t="shared" ref="CE89:CE103" si="250">CB89+CC89+CD89+CB89+CC89+CD89</f>
        <v>1375.1360000000002</v>
      </c>
      <c r="CF89" s="197">
        <f t="shared" si="222"/>
        <v>-1375.1360000000002</v>
      </c>
      <c r="CG89" s="197">
        <f t="shared" si="223"/>
        <v>-903.49600000000021</v>
      </c>
      <c r="CH89" s="196">
        <f t="shared" ref="CH89:CH103" si="251">BY89/((1+$B$4)^(BV89-1))</f>
        <v>0</v>
      </c>
      <c r="CI89" s="197">
        <f t="shared" ref="CI89:CI103" si="252">BZ89/((1+$B$4)^(BV89-1))</f>
        <v>453.49999999999994</v>
      </c>
      <c r="CJ89" s="197">
        <f t="shared" ref="CJ89:CJ103" si="253">CE89/((1+$B$4)^(BV89-1))</f>
        <v>1322.2461538461539</v>
      </c>
      <c r="CK89" s="197">
        <f t="shared" ref="CK89:CK103" si="254">CF89/((1+$B$4)^(BV89-1))</f>
        <v>-1322.2461538461539</v>
      </c>
      <c r="CL89" s="199">
        <f t="shared" ref="CL89:CL102" si="255">CG89/((1+$B$4)^(BV89-1))</f>
        <v>-868.74615384615402</v>
      </c>
      <c r="CM89" s="196">
        <f>CM88+CH89</f>
        <v>0</v>
      </c>
      <c r="CN89" s="197">
        <f t="shared" ref="CN89:CQ103" si="256">CN88+CI89</f>
        <v>925.13999999999987</v>
      </c>
      <c r="CO89" s="197">
        <f t="shared" si="256"/>
        <v>16277.846153846152</v>
      </c>
      <c r="CP89" s="197">
        <f t="shared" si="256"/>
        <v>-16277.846153846152</v>
      </c>
      <c r="CQ89" s="199">
        <f t="shared" si="256"/>
        <v>-15352.706153846153</v>
      </c>
      <c r="CT89" s="204">
        <v>2</v>
      </c>
      <c r="CU89" s="756">
        <f>'Energy NPV'!$D14</f>
        <v>0</v>
      </c>
      <c r="CV89" s="197">
        <f>'Energy margins'!$E$12</f>
        <v>269.5</v>
      </c>
      <c r="CW89" s="197">
        <f>CU89*CV89</f>
        <v>0</v>
      </c>
      <c r="CX89" s="197">
        <f>'Margins summary'!$Q$14</f>
        <v>471.64</v>
      </c>
      <c r="CY89" s="197">
        <f t="shared" ref="CY89:CY103" si="257">CW89+CX89</f>
        <v>471.64</v>
      </c>
      <c r="CZ89" s="197"/>
      <c r="DA89" s="913">
        <f>'Energy NPV'!U14</f>
        <v>687.5680000000001</v>
      </c>
      <c r="DB89" s="197"/>
      <c r="DC89" s="197">
        <f t="shared" ref="DC89:DC103" si="258">CZ89+DA89+DB89-(CZ89+DA89+DB89)</f>
        <v>0</v>
      </c>
      <c r="DD89" s="197">
        <f t="shared" si="224"/>
        <v>0</v>
      </c>
      <c r="DE89" s="197">
        <f t="shared" si="225"/>
        <v>471.64</v>
      </c>
      <c r="DF89" s="196">
        <f t="shared" ref="DF89:DF103" si="259">CW89/((1+$B$4)^(CT89-1))</f>
        <v>0</v>
      </c>
      <c r="DG89" s="197">
        <f t="shared" ref="DG89:DG103" si="260">CX89/((1+$B$4)^(CT89-1))</f>
        <v>453.49999999999994</v>
      </c>
      <c r="DH89" s="197">
        <f t="shared" ref="DH89:DH103" si="261">DC89/((1+$B$4)^(CT89-1))</f>
        <v>0</v>
      </c>
      <c r="DI89" s="197">
        <f t="shared" ref="DI89:DI103" si="262">DD89/((1+$B$4)^(CT89-1))</f>
        <v>0</v>
      </c>
      <c r="DJ89" s="199">
        <f t="shared" ref="DJ89:DJ102" si="263">DE89/((1+$B$4)^(CT89-1))</f>
        <v>453.49999999999994</v>
      </c>
      <c r="DK89" s="196">
        <f>DK88+DF89</f>
        <v>0</v>
      </c>
      <c r="DL89" s="197">
        <f t="shared" ref="DL89:DO103" si="264">DL88+DG89</f>
        <v>925.13999999999987</v>
      </c>
      <c r="DM89" s="197">
        <f t="shared" si="264"/>
        <v>0</v>
      </c>
      <c r="DN89" s="197">
        <f t="shared" si="264"/>
        <v>0</v>
      </c>
      <c r="DO89" s="199">
        <f t="shared" si="264"/>
        <v>925.13999999999987</v>
      </c>
    </row>
    <row r="90" spans="2:119" x14ac:dyDescent="0.3">
      <c r="B90" s="204">
        <f t="shared" ref="B90:B103" si="265">B89+1</f>
        <v>3</v>
      </c>
      <c r="C90" s="756">
        <f>'Energy NPV'!$D15</f>
        <v>0</v>
      </c>
      <c r="D90" s="197">
        <f>'Energy margins'!$E$12</f>
        <v>269.5</v>
      </c>
      <c r="E90" s="197">
        <f t="shared" ref="E90:E103" si="266">C90*D90</f>
        <v>0</v>
      </c>
      <c r="F90" s="197">
        <f>'Margins summary'!$Q$14</f>
        <v>471.64</v>
      </c>
      <c r="G90" s="197">
        <f t="shared" si="226"/>
        <v>471.64</v>
      </c>
      <c r="H90" s="197"/>
      <c r="I90" s="913">
        <f>'Energy NPV'!U15</f>
        <v>687.5680000000001</v>
      </c>
      <c r="J90" s="197"/>
      <c r="K90" s="197">
        <f t="shared" si="227"/>
        <v>687.5680000000001</v>
      </c>
      <c r="L90" s="197">
        <f t="shared" si="216"/>
        <v>-687.5680000000001</v>
      </c>
      <c r="M90" s="197">
        <f t="shared" si="217"/>
        <v>-215.92800000000011</v>
      </c>
      <c r="N90" s="196">
        <f t="shared" si="228"/>
        <v>0</v>
      </c>
      <c r="O90" s="197">
        <f t="shared" si="229"/>
        <v>436.05769230769226</v>
      </c>
      <c r="P90" s="197">
        <f t="shared" si="230"/>
        <v>635.69526627218931</v>
      </c>
      <c r="Q90" s="197">
        <f t="shared" si="231"/>
        <v>-635.69526627218931</v>
      </c>
      <c r="R90" s="199">
        <f t="shared" si="232"/>
        <v>-199.63757396449714</v>
      </c>
      <c r="S90" s="196">
        <f t="shared" ref="S90:S103" si="267">S89+N90</f>
        <v>0</v>
      </c>
      <c r="T90" s="197">
        <f t="shared" si="233"/>
        <v>1361.1976923076923</v>
      </c>
      <c r="U90" s="197">
        <f t="shared" si="233"/>
        <v>8774.618343195265</v>
      </c>
      <c r="V90" s="197">
        <f t="shared" si="233"/>
        <v>-8774.618343195265</v>
      </c>
      <c r="W90" s="199">
        <f t="shared" si="233"/>
        <v>-7413.4206508875732</v>
      </c>
      <c r="Z90" s="204">
        <f t="shared" ref="Z90:Z103" si="268">Z89+1</f>
        <v>3</v>
      </c>
      <c r="AA90" s="756">
        <f>'Energy NPV'!$D15</f>
        <v>0</v>
      </c>
      <c r="AB90" s="197">
        <f>'Energy margins'!$E$12</f>
        <v>269.5</v>
      </c>
      <c r="AC90" s="197">
        <f t="shared" ref="AC90:AC103" si="269">AA90*AB90</f>
        <v>0</v>
      </c>
      <c r="AD90" s="197">
        <f>'Margins summary'!$Q$14</f>
        <v>471.64</v>
      </c>
      <c r="AE90" s="197">
        <f t="shared" si="234"/>
        <v>471.64</v>
      </c>
      <c r="AF90" s="197"/>
      <c r="AG90" s="913">
        <f>'Energy NPV'!U15</f>
        <v>687.5680000000001</v>
      </c>
      <c r="AH90" s="197"/>
      <c r="AI90" s="197">
        <f t="shared" ref="AI90:AI102" si="270">(AF90+AG90+AH90)+0.5*(AF90+AG90+AH90)</f>
        <v>1031.3520000000001</v>
      </c>
      <c r="AJ90" s="197">
        <f t="shared" si="218"/>
        <v>-1031.3520000000001</v>
      </c>
      <c r="AK90" s="197">
        <f t="shared" si="219"/>
        <v>-559.7120000000001</v>
      </c>
      <c r="AL90" s="196">
        <f t="shared" si="235"/>
        <v>0</v>
      </c>
      <c r="AM90" s="197">
        <f t="shared" si="236"/>
        <v>436.05769230769226</v>
      </c>
      <c r="AN90" s="197">
        <f t="shared" si="237"/>
        <v>953.54289940828403</v>
      </c>
      <c r="AO90" s="197">
        <f t="shared" si="238"/>
        <v>-953.54289940828403</v>
      </c>
      <c r="AP90" s="199">
        <f t="shared" si="239"/>
        <v>-517.48520710059177</v>
      </c>
      <c r="AQ90" s="196">
        <f t="shared" ref="AQ90:AQ102" si="271">AQ89+AL90</f>
        <v>0</v>
      </c>
      <c r="AR90" s="197">
        <f t="shared" si="240"/>
        <v>1361.1976923076923</v>
      </c>
      <c r="AS90" s="197">
        <f t="shared" si="240"/>
        <v>13161.927514792897</v>
      </c>
      <c r="AT90" s="197">
        <f t="shared" si="240"/>
        <v>-13161.927514792897</v>
      </c>
      <c r="AU90" s="199">
        <f t="shared" si="240"/>
        <v>-11800.729822485206</v>
      </c>
      <c r="AX90" s="204">
        <f t="shared" ref="AX90:AX103" si="272">AX89+1</f>
        <v>3</v>
      </c>
      <c r="AY90" s="756">
        <f>'Energy NPV'!$D15</f>
        <v>0</v>
      </c>
      <c r="AZ90" s="197">
        <f>'Energy margins'!$E$12</f>
        <v>269.5</v>
      </c>
      <c r="BA90" s="197">
        <f t="shared" ref="BA90:BA103" si="273">AY90*AZ90</f>
        <v>0</v>
      </c>
      <c r="BB90" s="197">
        <f>'Margins summary'!$Q$14</f>
        <v>471.64</v>
      </c>
      <c r="BC90" s="197">
        <f t="shared" si="241"/>
        <v>471.64</v>
      </c>
      <c r="BD90" s="197"/>
      <c r="BE90" s="913">
        <f>'Energy NPV'!U15</f>
        <v>687.5680000000001</v>
      </c>
      <c r="BF90" s="197"/>
      <c r="BG90" s="197">
        <f t="shared" si="242"/>
        <v>343.78400000000005</v>
      </c>
      <c r="BH90" s="197">
        <f t="shared" si="220"/>
        <v>-343.78400000000005</v>
      </c>
      <c r="BI90" s="197">
        <f t="shared" si="221"/>
        <v>127.85599999999994</v>
      </c>
      <c r="BJ90" s="196">
        <f t="shared" si="243"/>
        <v>0</v>
      </c>
      <c r="BK90" s="197">
        <f t="shared" si="244"/>
        <v>436.05769230769226</v>
      </c>
      <c r="BL90" s="197">
        <f t="shared" si="245"/>
        <v>317.84763313609466</v>
      </c>
      <c r="BM90" s="197">
        <f t="shared" si="246"/>
        <v>-317.84763313609466</v>
      </c>
      <c r="BN90" s="199">
        <f t="shared" si="247"/>
        <v>118.21005917159756</v>
      </c>
      <c r="BO90" s="196">
        <f t="shared" ref="BO90:BO103" si="274">BO89+BJ90</f>
        <v>0</v>
      </c>
      <c r="BP90" s="197">
        <f t="shared" si="248"/>
        <v>1361.1976923076923</v>
      </c>
      <c r="BQ90" s="197">
        <f t="shared" si="248"/>
        <v>4387.3091715976325</v>
      </c>
      <c r="BR90" s="197">
        <f t="shared" si="248"/>
        <v>-4387.3091715976325</v>
      </c>
      <c r="BS90" s="199">
        <f t="shared" si="248"/>
        <v>-3026.1114792899407</v>
      </c>
      <c r="BV90" s="204">
        <f t="shared" ref="BV90:BV103" si="275">BV89+1</f>
        <v>3</v>
      </c>
      <c r="BW90" s="756">
        <f>'Energy NPV'!$D15</f>
        <v>0</v>
      </c>
      <c r="BX90" s="197">
        <f>'Energy margins'!$E$12</f>
        <v>269.5</v>
      </c>
      <c r="BY90" s="197">
        <f t="shared" ref="BY90:BY103" si="276">BW90*BX90</f>
        <v>0</v>
      </c>
      <c r="BZ90" s="197">
        <f>'Margins summary'!$Q$14</f>
        <v>471.64</v>
      </c>
      <c r="CA90" s="197">
        <f t="shared" si="249"/>
        <v>471.64</v>
      </c>
      <c r="CB90" s="197"/>
      <c r="CC90" s="913">
        <f>'Energy NPV'!U15</f>
        <v>687.5680000000001</v>
      </c>
      <c r="CD90" s="197"/>
      <c r="CE90" s="197">
        <f t="shared" si="250"/>
        <v>1375.1360000000002</v>
      </c>
      <c r="CF90" s="197">
        <f t="shared" si="222"/>
        <v>-1375.1360000000002</v>
      </c>
      <c r="CG90" s="197">
        <f t="shared" si="223"/>
        <v>-903.49600000000021</v>
      </c>
      <c r="CH90" s="196">
        <f t="shared" si="251"/>
        <v>0</v>
      </c>
      <c r="CI90" s="197">
        <f t="shared" si="252"/>
        <v>436.05769230769226</v>
      </c>
      <c r="CJ90" s="197">
        <f t="shared" si="253"/>
        <v>1271.3905325443786</v>
      </c>
      <c r="CK90" s="197">
        <f t="shared" si="254"/>
        <v>-1271.3905325443786</v>
      </c>
      <c r="CL90" s="199">
        <f t="shared" si="255"/>
        <v>-835.33284023668648</v>
      </c>
      <c r="CM90" s="196">
        <f t="shared" ref="CM90:CM103" si="277">CM89+CH90</f>
        <v>0</v>
      </c>
      <c r="CN90" s="197">
        <f t="shared" si="256"/>
        <v>1361.1976923076923</v>
      </c>
      <c r="CO90" s="197">
        <f t="shared" si="256"/>
        <v>17549.23668639053</v>
      </c>
      <c r="CP90" s="197">
        <f t="shared" si="256"/>
        <v>-17549.23668639053</v>
      </c>
      <c r="CQ90" s="199">
        <f t="shared" si="256"/>
        <v>-16188.038994082839</v>
      </c>
      <c r="CT90" s="204">
        <f t="shared" ref="CT90:CT103" si="278">CT89+1</f>
        <v>3</v>
      </c>
      <c r="CU90" s="756">
        <f>'Energy NPV'!$D15</f>
        <v>0</v>
      </c>
      <c r="CV90" s="197">
        <f>'Energy margins'!$E$12</f>
        <v>269.5</v>
      </c>
      <c r="CW90" s="197">
        <f t="shared" ref="CW90:CW103" si="279">CU90*CV90</f>
        <v>0</v>
      </c>
      <c r="CX90" s="197">
        <f>'Margins summary'!$Q$14</f>
        <v>471.64</v>
      </c>
      <c r="CY90" s="197">
        <f t="shared" si="257"/>
        <v>471.64</v>
      </c>
      <c r="CZ90" s="197"/>
      <c r="DA90" s="913">
        <f>'Energy NPV'!U15</f>
        <v>687.5680000000001</v>
      </c>
      <c r="DB90" s="197"/>
      <c r="DC90" s="197">
        <f t="shared" si="258"/>
        <v>0</v>
      </c>
      <c r="DD90" s="197">
        <f t="shared" si="224"/>
        <v>0</v>
      </c>
      <c r="DE90" s="197">
        <f t="shared" si="225"/>
        <v>471.64</v>
      </c>
      <c r="DF90" s="196">
        <f t="shared" si="259"/>
        <v>0</v>
      </c>
      <c r="DG90" s="197">
        <f t="shared" si="260"/>
        <v>436.05769230769226</v>
      </c>
      <c r="DH90" s="197">
        <f t="shared" si="261"/>
        <v>0</v>
      </c>
      <c r="DI90" s="197">
        <f t="shared" si="262"/>
        <v>0</v>
      </c>
      <c r="DJ90" s="199">
        <f t="shared" si="263"/>
        <v>436.05769230769226</v>
      </c>
      <c r="DK90" s="196">
        <f t="shared" ref="DK90:DK103" si="280">DK89+DF90</f>
        <v>0</v>
      </c>
      <c r="DL90" s="197">
        <f t="shared" si="264"/>
        <v>1361.1976923076923</v>
      </c>
      <c r="DM90" s="197">
        <f t="shared" si="264"/>
        <v>0</v>
      </c>
      <c r="DN90" s="197">
        <f t="shared" si="264"/>
        <v>0</v>
      </c>
      <c r="DO90" s="199">
        <f t="shared" si="264"/>
        <v>1361.1976923076923</v>
      </c>
    </row>
    <row r="91" spans="2:119" x14ac:dyDescent="0.3">
      <c r="B91" s="204">
        <f t="shared" si="265"/>
        <v>4</v>
      </c>
      <c r="C91" s="756">
        <f>'Energy NPV'!$D16</f>
        <v>25</v>
      </c>
      <c r="D91" s="197">
        <f>'Energy margins'!$E$12</f>
        <v>269.5</v>
      </c>
      <c r="E91" s="197">
        <f t="shared" si="266"/>
        <v>6737.5</v>
      </c>
      <c r="F91" s="197">
        <f>'Margins summary'!$Q$14</f>
        <v>471.64</v>
      </c>
      <c r="G91" s="197">
        <f t="shared" si="226"/>
        <v>7209.14</v>
      </c>
      <c r="H91" s="197"/>
      <c r="I91" s="913">
        <f>'Energy NPV'!U16</f>
        <v>2318.3679999999999</v>
      </c>
      <c r="J91" s="197"/>
      <c r="K91" s="197">
        <f t="shared" si="227"/>
        <v>2318.3679999999999</v>
      </c>
      <c r="L91" s="197">
        <f t="shared" si="216"/>
        <v>4419.1319999999996</v>
      </c>
      <c r="M91" s="197">
        <f t="shared" si="217"/>
        <v>4890.7720000000008</v>
      </c>
      <c r="N91" s="196">
        <f t="shared" si="228"/>
        <v>5989.6129665452881</v>
      </c>
      <c r="O91" s="197">
        <f t="shared" si="229"/>
        <v>419.28624260355025</v>
      </c>
      <c r="P91" s="197">
        <f t="shared" si="230"/>
        <v>2061.0207100591715</v>
      </c>
      <c r="Q91" s="197">
        <f t="shared" si="231"/>
        <v>3928.5922564861166</v>
      </c>
      <c r="R91" s="199">
        <f t="shared" si="232"/>
        <v>4347.8784990896684</v>
      </c>
      <c r="S91" s="196">
        <f t="shared" si="267"/>
        <v>5989.6129665452881</v>
      </c>
      <c r="T91" s="197">
        <f t="shared" si="233"/>
        <v>1780.4839349112426</v>
      </c>
      <c r="U91" s="197">
        <f t="shared" si="233"/>
        <v>10835.639053254436</v>
      </c>
      <c r="V91" s="197">
        <f t="shared" si="233"/>
        <v>-4846.0260867091483</v>
      </c>
      <c r="W91" s="199">
        <f t="shared" si="233"/>
        <v>-3065.5421517979048</v>
      </c>
      <c r="Z91" s="204">
        <f t="shared" si="268"/>
        <v>4</v>
      </c>
      <c r="AA91" s="756">
        <f>'Energy NPV'!$D16</f>
        <v>25</v>
      </c>
      <c r="AB91" s="197">
        <f>'Energy margins'!$E$12</f>
        <v>269.5</v>
      </c>
      <c r="AC91" s="197">
        <f t="shared" si="269"/>
        <v>6737.5</v>
      </c>
      <c r="AD91" s="197">
        <f>'Margins summary'!$Q$14</f>
        <v>471.64</v>
      </c>
      <c r="AE91" s="197">
        <f t="shared" si="234"/>
        <v>7209.14</v>
      </c>
      <c r="AF91" s="197"/>
      <c r="AG91" s="913">
        <f>'Energy NPV'!U16</f>
        <v>2318.3679999999999</v>
      </c>
      <c r="AH91" s="197"/>
      <c r="AI91" s="197">
        <f t="shared" si="270"/>
        <v>3477.5519999999997</v>
      </c>
      <c r="AJ91" s="197">
        <f t="shared" si="218"/>
        <v>3259.9480000000003</v>
      </c>
      <c r="AK91" s="197">
        <f t="shared" si="219"/>
        <v>3731.5880000000006</v>
      </c>
      <c r="AL91" s="196">
        <f t="shared" si="235"/>
        <v>5989.6129665452881</v>
      </c>
      <c r="AM91" s="197">
        <f t="shared" si="236"/>
        <v>419.28624260355025</v>
      </c>
      <c r="AN91" s="197">
        <f t="shared" si="237"/>
        <v>3091.5310650887568</v>
      </c>
      <c r="AO91" s="197">
        <f t="shared" si="238"/>
        <v>2898.0819014565318</v>
      </c>
      <c r="AP91" s="199">
        <f t="shared" si="239"/>
        <v>3317.3681440600822</v>
      </c>
      <c r="AQ91" s="196">
        <f t="shared" si="271"/>
        <v>5989.6129665452881</v>
      </c>
      <c r="AR91" s="197">
        <f t="shared" si="240"/>
        <v>1780.4839349112426</v>
      </c>
      <c r="AS91" s="197">
        <f t="shared" si="240"/>
        <v>16253.458579881653</v>
      </c>
      <c r="AT91" s="197">
        <f t="shared" si="240"/>
        <v>-10263.845613336365</v>
      </c>
      <c r="AU91" s="199">
        <f t="shared" si="240"/>
        <v>-8483.3616784251244</v>
      </c>
      <c r="AX91" s="204">
        <f t="shared" si="272"/>
        <v>4</v>
      </c>
      <c r="AY91" s="756">
        <f>'Energy NPV'!$D16</f>
        <v>25</v>
      </c>
      <c r="AZ91" s="197">
        <f>'Energy margins'!$E$12</f>
        <v>269.5</v>
      </c>
      <c r="BA91" s="197">
        <f t="shared" si="273"/>
        <v>6737.5</v>
      </c>
      <c r="BB91" s="197">
        <f>'Margins summary'!$Q$14</f>
        <v>471.64</v>
      </c>
      <c r="BC91" s="197">
        <f t="shared" si="241"/>
        <v>7209.14</v>
      </c>
      <c r="BD91" s="197"/>
      <c r="BE91" s="913">
        <f>'Energy NPV'!U16</f>
        <v>2318.3679999999999</v>
      </c>
      <c r="BF91" s="197"/>
      <c r="BG91" s="197">
        <f t="shared" si="242"/>
        <v>1159.184</v>
      </c>
      <c r="BH91" s="197">
        <f t="shared" si="220"/>
        <v>5578.3159999999998</v>
      </c>
      <c r="BI91" s="197">
        <f t="shared" si="221"/>
        <v>6049.9560000000001</v>
      </c>
      <c r="BJ91" s="196">
        <f t="shared" si="243"/>
        <v>5989.6129665452881</v>
      </c>
      <c r="BK91" s="197">
        <f t="shared" si="244"/>
        <v>419.28624260355025</v>
      </c>
      <c r="BL91" s="197">
        <f t="shared" si="245"/>
        <v>1030.5103550295858</v>
      </c>
      <c r="BM91" s="197">
        <f t="shared" si="246"/>
        <v>4959.1026115157028</v>
      </c>
      <c r="BN91" s="199">
        <f t="shared" si="247"/>
        <v>5378.3888541192537</v>
      </c>
      <c r="BO91" s="196">
        <f t="shared" si="274"/>
        <v>5989.6129665452881</v>
      </c>
      <c r="BP91" s="197">
        <f t="shared" si="248"/>
        <v>1780.4839349112426</v>
      </c>
      <c r="BQ91" s="197">
        <f t="shared" si="248"/>
        <v>5417.8195266272178</v>
      </c>
      <c r="BR91" s="197">
        <f t="shared" si="248"/>
        <v>571.79343991807036</v>
      </c>
      <c r="BS91" s="199">
        <f t="shared" si="248"/>
        <v>2352.277374829313</v>
      </c>
      <c r="BV91" s="204">
        <f t="shared" si="275"/>
        <v>4</v>
      </c>
      <c r="BW91" s="756">
        <f>'Energy NPV'!$D16</f>
        <v>25</v>
      </c>
      <c r="BX91" s="197">
        <f>'Energy margins'!$E$12</f>
        <v>269.5</v>
      </c>
      <c r="BY91" s="197">
        <f t="shared" si="276"/>
        <v>6737.5</v>
      </c>
      <c r="BZ91" s="197">
        <f>'Margins summary'!$Q$14</f>
        <v>471.64</v>
      </c>
      <c r="CA91" s="197">
        <f t="shared" si="249"/>
        <v>7209.14</v>
      </c>
      <c r="CB91" s="197"/>
      <c r="CC91" s="913">
        <f>'Energy NPV'!U16</f>
        <v>2318.3679999999999</v>
      </c>
      <c r="CD91" s="197"/>
      <c r="CE91" s="197">
        <f t="shared" si="250"/>
        <v>4636.7359999999999</v>
      </c>
      <c r="CF91" s="197">
        <f t="shared" si="222"/>
        <v>2100.7640000000001</v>
      </c>
      <c r="CG91" s="197">
        <f t="shared" si="223"/>
        <v>2572.4040000000005</v>
      </c>
      <c r="CH91" s="196">
        <f t="shared" si="251"/>
        <v>5989.6129665452881</v>
      </c>
      <c r="CI91" s="197">
        <f t="shared" si="252"/>
        <v>419.28624260355025</v>
      </c>
      <c r="CJ91" s="197">
        <f t="shared" si="253"/>
        <v>4122.041420118343</v>
      </c>
      <c r="CK91" s="197">
        <f t="shared" si="254"/>
        <v>1867.5715464269458</v>
      </c>
      <c r="CL91" s="199">
        <f t="shared" si="255"/>
        <v>2286.8577890304964</v>
      </c>
      <c r="CM91" s="196">
        <f t="shared" si="277"/>
        <v>5989.6129665452881</v>
      </c>
      <c r="CN91" s="197">
        <f t="shared" si="256"/>
        <v>1780.4839349112426</v>
      </c>
      <c r="CO91" s="197">
        <f t="shared" si="256"/>
        <v>21671.278106508871</v>
      </c>
      <c r="CP91" s="197">
        <f t="shared" si="256"/>
        <v>-15681.665139963585</v>
      </c>
      <c r="CQ91" s="199">
        <f t="shared" si="256"/>
        <v>-13901.181205052342</v>
      </c>
      <c r="CT91" s="204">
        <f t="shared" si="278"/>
        <v>4</v>
      </c>
      <c r="CU91" s="756">
        <f>'Energy NPV'!$D16</f>
        <v>25</v>
      </c>
      <c r="CV91" s="197">
        <f>'Energy margins'!$E$12</f>
        <v>269.5</v>
      </c>
      <c r="CW91" s="197">
        <f t="shared" si="279"/>
        <v>6737.5</v>
      </c>
      <c r="CX91" s="197">
        <f>'Margins summary'!$Q$14</f>
        <v>471.64</v>
      </c>
      <c r="CY91" s="197">
        <f t="shared" si="257"/>
        <v>7209.14</v>
      </c>
      <c r="CZ91" s="197"/>
      <c r="DA91" s="913">
        <f>'Energy NPV'!U16</f>
        <v>2318.3679999999999</v>
      </c>
      <c r="DB91" s="197"/>
      <c r="DC91" s="197">
        <f t="shared" si="258"/>
        <v>0</v>
      </c>
      <c r="DD91" s="197">
        <f t="shared" si="224"/>
        <v>6737.5</v>
      </c>
      <c r="DE91" s="197">
        <f t="shared" si="225"/>
        <v>7209.14</v>
      </c>
      <c r="DF91" s="196">
        <f t="shared" si="259"/>
        <v>5989.6129665452881</v>
      </c>
      <c r="DG91" s="197">
        <f t="shared" si="260"/>
        <v>419.28624260355025</v>
      </c>
      <c r="DH91" s="197">
        <f t="shared" si="261"/>
        <v>0</v>
      </c>
      <c r="DI91" s="197">
        <f t="shared" si="262"/>
        <v>5989.6129665452881</v>
      </c>
      <c r="DJ91" s="199">
        <f t="shared" si="263"/>
        <v>6408.899209148839</v>
      </c>
      <c r="DK91" s="196">
        <f t="shared" si="280"/>
        <v>5989.6129665452881</v>
      </c>
      <c r="DL91" s="197">
        <f t="shared" si="264"/>
        <v>1780.4839349112426</v>
      </c>
      <c r="DM91" s="197">
        <f t="shared" si="264"/>
        <v>0</v>
      </c>
      <c r="DN91" s="197">
        <f t="shared" si="264"/>
        <v>5989.6129665452881</v>
      </c>
      <c r="DO91" s="199">
        <f t="shared" si="264"/>
        <v>7770.0969014565308</v>
      </c>
    </row>
    <row r="92" spans="2:119" x14ac:dyDescent="0.3">
      <c r="B92" s="204">
        <f t="shared" si="265"/>
        <v>5</v>
      </c>
      <c r="C92" s="756">
        <f>'Energy NPV'!$D17</f>
        <v>0</v>
      </c>
      <c r="D92" s="197">
        <f>'Energy margins'!$E$12</f>
        <v>269.5</v>
      </c>
      <c r="E92" s="197">
        <f t="shared" si="266"/>
        <v>0</v>
      </c>
      <c r="F92" s="197">
        <f>'Margins summary'!$Q$14</f>
        <v>471.64</v>
      </c>
      <c r="G92" s="197">
        <f t="shared" si="226"/>
        <v>471.64</v>
      </c>
      <c r="H92" s="197"/>
      <c r="I92" s="913">
        <f>'Energy NPV'!U17</f>
        <v>197.56800000000001</v>
      </c>
      <c r="J92" s="197"/>
      <c r="K92" s="197">
        <f t="shared" si="227"/>
        <v>197.56800000000001</v>
      </c>
      <c r="L92" s="197">
        <f t="shared" si="216"/>
        <v>-197.56800000000001</v>
      </c>
      <c r="M92" s="197">
        <f t="shared" si="217"/>
        <v>274.072</v>
      </c>
      <c r="N92" s="196">
        <f t="shared" si="228"/>
        <v>0</v>
      </c>
      <c r="O92" s="197">
        <f t="shared" si="229"/>
        <v>403.15984865725983</v>
      </c>
      <c r="P92" s="197">
        <f t="shared" si="230"/>
        <v>168.88195441336086</v>
      </c>
      <c r="Q92" s="197">
        <f t="shared" si="231"/>
        <v>-168.88195441336086</v>
      </c>
      <c r="R92" s="199">
        <f t="shared" si="232"/>
        <v>234.27789424389897</v>
      </c>
      <c r="S92" s="196">
        <f t="shared" si="267"/>
        <v>5989.6129665452881</v>
      </c>
      <c r="T92" s="197">
        <f t="shared" si="233"/>
        <v>2183.6437835685024</v>
      </c>
      <c r="U92" s="197">
        <f t="shared" si="233"/>
        <v>11004.521007667796</v>
      </c>
      <c r="V92" s="197">
        <f t="shared" si="233"/>
        <v>-5014.9080411225095</v>
      </c>
      <c r="W92" s="199">
        <f t="shared" si="233"/>
        <v>-2831.2642575540058</v>
      </c>
      <c r="Z92" s="204">
        <f t="shared" si="268"/>
        <v>5</v>
      </c>
      <c r="AA92" s="756">
        <f>'Energy NPV'!$D17</f>
        <v>0</v>
      </c>
      <c r="AB92" s="197">
        <f>'Energy margins'!$E$12</f>
        <v>269.5</v>
      </c>
      <c r="AC92" s="197">
        <f t="shared" si="269"/>
        <v>0</v>
      </c>
      <c r="AD92" s="197">
        <f>'Margins summary'!$Q$14</f>
        <v>471.64</v>
      </c>
      <c r="AE92" s="197">
        <f t="shared" si="234"/>
        <v>471.64</v>
      </c>
      <c r="AF92" s="197"/>
      <c r="AG92" s="913">
        <f>'Energy NPV'!U17</f>
        <v>197.56800000000001</v>
      </c>
      <c r="AH92" s="197"/>
      <c r="AI92" s="197">
        <f t="shared" si="270"/>
        <v>296.35200000000003</v>
      </c>
      <c r="AJ92" s="197">
        <f t="shared" si="218"/>
        <v>-296.35200000000003</v>
      </c>
      <c r="AK92" s="197">
        <f t="shared" si="219"/>
        <v>175.28799999999995</v>
      </c>
      <c r="AL92" s="196">
        <f t="shared" si="235"/>
        <v>0</v>
      </c>
      <c r="AM92" s="197">
        <f t="shared" si="236"/>
        <v>403.15984865725983</v>
      </c>
      <c r="AN92" s="197">
        <f t="shared" si="237"/>
        <v>253.32293162004129</v>
      </c>
      <c r="AO92" s="197">
        <f t="shared" si="238"/>
        <v>-253.32293162004129</v>
      </c>
      <c r="AP92" s="199">
        <f t="shared" si="239"/>
        <v>149.83691703721851</v>
      </c>
      <c r="AQ92" s="196">
        <f t="shared" si="271"/>
        <v>5989.6129665452881</v>
      </c>
      <c r="AR92" s="197">
        <f t="shared" si="240"/>
        <v>2183.6437835685024</v>
      </c>
      <c r="AS92" s="197">
        <f t="shared" si="240"/>
        <v>16506.781511501693</v>
      </c>
      <c r="AT92" s="197">
        <f t="shared" si="240"/>
        <v>-10517.168544956407</v>
      </c>
      <c r="AU92" s="199">
        <f t="shared" si="240"/>
        <v>-8333.5247613879055</v>
      </c>
      <c r="AX92" s="204">
        <f t="shared" si="272"/>
        <v>5</v>
      </c>
      <c r="AY92" s="756">
        <f>'Energy NPV'!$D17</f>
        <v>0</v>
      </c>
      <c r="AZ92" s="197">
        <f>'Energy margins'!$E$12</f>
        <v>269.5</v>
      </c>
      <c r="BA92" s="197">
        <f t="shared" si="273"/>
        <v>0</v>
      </c>
      <c r="BB92" s="197">
        <f>'Margins summary'!$Q$14</f>
        <v>471.64</v>
      </c>
      <c r="BC92" s="197">
        <f t="shared" si="241"/>
        <v>471.64</v>
      </c>
      <c r="BD92" s="197"/>
      <c r="BE92" s="913">
        <f>'Energy NPV'!U17</f>
        <v>197.56800000000001</v>
      </c>
      <c r="BF92" s="197"/>
      <c r="BG92" s="197">
        <f t="shared" si="242"/>
        <v>98.784000000000006</v>
      </c>
      <c r="BH92" s="197">
        <f t="shared" si="220"/>
        <v>-98.784000000000006</v>
      </c>
      <c r="BI92" s="197">
        <f t="shared" si="221"/>
        <v>372.85599999999999</v>
      </c>
      <c r="BJ92" s="196">
        <f t="shared" si="243"/>
        <v>0</v>
      </c>
      <c r="BK92" s="197">
        <f t="shared" si="244"/>
        <v>403.15984865725983</v>
      </c>
      <c r="BL92" s="197">
        <f t="shared" si="245"/>
        <v>84.440977206680429</v>
      </c>
      <c r="BM92" s="197">
        <f t="shared" si="246"/>
        <v>-84.440977206680429</v>
      </c>
      <c r="BN92" s="199">
        <f t="shared" si="247"/>
        <v>318.7188714505794</v>
      </c>
      <c r="BO92" s="196">
        <f t="shared" si="274"/>
        <v>5989.6129665452881</v>
      </c>
      <c r="BP92" s="197">
        <f t="shared" si="248"/>
        <v>2183.6437835685024</v>
      </c>
      <c r="BQ92" s="197">
        <f t="shared" si="248"/>
        <v>5502.2605038338979</v>
      </c>
      <c r="BR92" s="197">
        <f t="shared" si="248"/>
        <v>487.35246271138993</v>
      </c>
      <c r="BS92" s="199">
        <f t="shared" si="248"/>
        <v>2670.9962462798921</v>
      </c>
      <c r="BV92" s="204">
        <f t="shared" si="275"/>
        <v>5</v>
      </c>
      <c r="BW92" s="756">
        <f>'Energy NPV'!$D17</f>
        <v>0</v>
      </c>
      <c r="BX92" s="197">
        <f>'Energy margins'!$E$12</f>
        <v>269.5</v>
      </c>
      <c r="BY92" s="197">
        <f t="shared" si="276"/>
        <v>0</v>
      </c>
      <c r="BZ92" s="197">
        <f>'Margins summary'!$Q$14</f>
        <v>471.64</v>
      </c>
      <c r="CA92" s="197">
        <f t="shared" si="249"/>
        <v>471.64</v>
      </c>
      <c r="CB92" s="197"/>
      <c r="CC92" s="913">
        <f>'Energy NPV'!U17</f>
        <v>197.56800000000001</v>
      </c>
      <c r="CD92" s="197"/>
      <c r="CE92" s="197">
        <f t="shared" si="250"/>
        <v>395.13600000000002</v>
      </c>
      <c r="CF92" s="197">
        <f t="shared" si="222"/>
        <v>-395.13600000000002</v>
      </c>
      <c r="CG92" s="197">
        <f t="shared" si="223"/>
        <v>76.503999999999962</v>
      </c>
      <c r="CH92" s="196">
        <f t="shared" si="251"/>
        <v>0</v>
      </c>
      <c r="CI92" s="197">
        <f t="shared" si="252"/>
        <v>403.15984865725983</v>
      </c>
      <c r="CJ92" s="197">
        <f t="shared" si="253"/>
        <v>337.76390882672172</v>
      </c>
      <c r="CK92" s="197">
        <f t="shared" si="254"/>
        <v>-337.76390882672172</v>
      </c>
      <c r="CL92" s="199">
        <f t="shared" si="255"/>
        <v>65.395939830538097</v>
      </c>
      <c r="CM92" s="196">
        <f t="shared" si="277"/>
        <v>5989.6129665452881</v>
      </c>
      <c r="CN92" s="197">
        <f t="shared" si="256"/>
        <v>2183.6437835685024</v>
      </c>
      <c r="CO92" s="197">
        <f t="shared" si="256"/>
        <v>22009.042015335592</v>
      </c>
      <c r="CP92" s="197">
        <f t="shared" si="256"/>
        <v>-16019.429048790307</v>
      </c>
      <c r="CQ92" s="199">
        <f t="shared" si="256"/>
        <v>-13835.785265221804</v>
      </c>
      <c r="CT92" s="204">
        <f t="shared" si="278"/>
        <v>5</v>
      </c>
      <c r="CU92" s="756">
        <f>'Energy NPV'!$D17</f>
        <v>0</v>
      </c>
      <c r="CV92" s="197">
        <f>'Energy margins'!$E$12</f>
        <v>269.5</v>
      </c>
      <c r="CW92" s="197">
        <f t="shared" si="279"/>
        <v>0</v>
      </c>
      <c r="CX92" s="197">
        <f>'Margins summary'!$Q$14</f>
        <v>471.64</v>
      </c>
      <c r="CY92" s="197">
        <f t="shared" si="257"/>
        <v>471.64</v>
      </c>
      <c r="CZ92" s="197"/>
      <c r="DA92" s="913">
        <f>'Energy NPV'!U17</f>
        <v>197.56800000000001</v>
      </c>
      <c r="DB92" s="197"/>
      <c r="DC92" s="197">
        <f t="shared" si="258"/>
        <v>0</v>
      </c>
      <c r="DD92" s="197">
        <f t="shared" si="224"/>
        <v>0</v>
      </c>
      <c r="DE92" s="197">
        <f t="shared" si="225"/>
        <v>471.64</v>
      </c>
      <c r="DF92" s="196">
        <f t="shared" si="259"/>
        <v>0</v>
      </c>
      <c r="DG92" s="197">
        <f t="shared" si="260"/>
        <v>403.15984865725983</v>
      </c>
      <c r="DH92" s="197">
        <f t="shared" si="261"/>
        <v>0</v>
      </c>
      <c r="DI92" s="197">
        <f t="shared" si="262"/>
        <v>0</v>
      </c>
      <c r="DJ92" s="199">
        <f t="shared" si="263"/>
        <v>403.15984865725983</v>
      </c>
      <c r="DK92" s="196">
        <f t="shared" si="280"/>
        <v>5989.6129665452881</v>
      </c>
      <c r="DL92" s="197">
        <f t="shared" si="264"/>
        <v>2183.6437835685024</v>
      </c>
      <c r="DM92" s="197">
        <f t="shared" si="264"/>
        <v>0</v>
      </c>
      <c r="DN92" s="197">
        <f t="shared" si="264"/>
        <v>5989.6129665452881</v>
      </c>
      <c r="DO92" s="199">
        <f t="shared" si="264"/>
        <v>8173.256750113791</v>
      </c>
    </row>
    <row r="93" spans="2:119" x14ac:dyDescent="0.3">
      <c r="B93" s="204">
        <f t="shared" si="265"/>
        <v>6</v>
      </c>
      <c r="C93" s="756">
        <f>'Energy NPV'!$D18</f>
        <v>0</v>
      </c>
      <c r="D93" s="197">
        <f>'Energy margins'!$E$12</f>
        <v>269.5</v>
      </c>
      <c r="E93" s="197">
        <f t="shared" si="266"/>
        <v>0</v>
      </c>
      <c r="F93" s="197">
        <f>'Margins summary'!$Q$14</f>
        <v>471.64</v>
      </c>
      <c r="G93" s="197">
        <f t="shared" si="226"/>
        <v>471.64</v>
      </c>
      <c r="H93" s="197"/>
      <c r="I93" s="913">
        <f>'Energy NPV'!U18</f>
        <v>197.56800000000001</v>
      </c>
      <c r="J93" s="197"/>
      <c r="K93" s="197">
        <f t="shared" si="227"/>
        <v>197.56800000000001</v>
      </c>
      <c r="L93" s="197">
        <f t="shared" si="216"/>
        <v>-197.56800000000001</v>
      </c>
      <c r="M93" s="197">
        <f t="shared" si="217"/>
        <v>274.072</v>
      </c>
      <c r="N93" s="196">
        <f t="shared" si="228"/>
        <v>0</v>
      </c>
      <c r="O93" s="197">
        <f t="shared" si="229"/>
        <v>387.65370063198054</v>
      </c>
      <c r="P93" s="197">
        <f t="shared" si="230"/>
        <v>162.38649462823159</v>
      </c>
      <c r="Q93" s="197">
        <f t="shared" si="231"/>
        <v>-162.38649462823159</v>
      </c>
      <c r="R93" s="199">
        <f t="shared" si="232"/>
        <v>225.26720600374901</v>
      </c>
      <c r="S93" s="196">
        <f t="shared" si="267"/>
        <v>5989.6129665452881</v>
      </c>
      <c r="T93" s="197">
        <f t="shared" si="233"/>
        <v>2571.2974842004828</v>
      </c>
      <c r="U93" s="197">
        <f t="shared" si="233"/>
        <v>11166.907502296028</v>
      </c>
      <c r="V93" s="197">
        <f t="shared" si="233"/>
        <v>-5177.2945357507415</v>
      </c>
      <c r="W93" s="199">
        <f t="shared" si="233"/>
        <v>-2605.9970515502569</v>
      </c>
      <c r="Z93" s="204">
        <f t="shared" si="268"/>
        <v>6</v>
      </c>
      <c r="AA93" s="756">
        <f>'Energy NPV'!$D18</f>
        <v>0</v>
      </c>
      <c r="AB93" s="197">
        <f>'Energy margins'!$E$12</f>
        <v>269.5</v>
      </c>
      <c r="AC93" s="197">
        <f t="shared" si="269"/>
        <v>0</v>
      </c>
      <c r="AD93" s="197">
        <f>'Margins summary'!$Q$14</f>
        <v>471.64</v>
      </c>
      <c r="AE93" s="197">
        <f t="shared" si="234"/>
        <v>471.64</v>
      </c>
      <c r="AF93" s="197"/>
      <c r="AG93" s="913">
        <f>'Energy NPV'!U18</f>
        <v>197.56800000000001</v>
      </c>
      <c r="AH93" s="197"/>
      <c r="AI93" s="197">
        <f t="shared" si="270"/>
        <v>296.35200000000003</v>
      </c>
      <c r="AJ93" s="197">
        <f t="shared" si="218"/>
        <v>-296.35200000000003</v>
      </c>
      <c r="AK93" s="197">
        <f t="shared" si="219"/>
        <v>175.28799999999995</v>
      </c>
      <c r="AL93" s="196">
        <f t="shared" si="235"/>
        <v>0</v>
      </c>
      <c r="AM93" s="197">
        <f t="shared" si="236"/>
        <v>387.65370063198054</v>
      </c>
      <c r="AN93" s="197">
        <f t="shared" si="237"/>
        <v>243.57974194234737</v>
      </c>
      <c r="AO93" s="197">
        <f t="shared" si="238"/>
        <v>-243.57974194234737</v>
      </c>
      <c r="AP93" s="199">
        <f t="shared" si="239"/>
        <v>144.07395868963317</v>
      </c>
      <c r="AQ93" s="196">
        <f t="shared" si="271"/>
        <v>5989.6129665452881</v>
      </c>
      <c r="AR93" s="197">
        <f t="shared" si="240"/>
        <v>2571.2974842004828</v>
      </c>
      <c r="AS93" s="197">
        <f t="shared" si="240"/>
        <v>16750.36125344404</v>
      </c>
      <c r="AT93" s="197">
        <f t="shared" si="240"/>
        <v>-10760.748286898754</v>
      </c>
      <c r="AU93" s="199">
        <f t="shared" si="240"/>
        <v>-8189.4508026982721</v>
      </c>
      <c r="AX93" s="204">
        <f t="shared" si="272"/>
        <v>6</v>
      </c>
      <c r="AY93" s="756">
        <f>'Energy NPV'!$D18</f>
        <v>0</v>
      </c>
      <c r="AZ93" s="197">
        <f>'Energy margins'!$E$12</f>
        <v>269.5</v>
      </c>
      <c r="BA93" s="197">
        <f t="shared" si="273"/>
        <v>0</v>
      </c>
      <c r="BB93" s="197">
        <f>'Margins summary'!$Q$14</f>
        <v>471.64</v>
      </c>
      <c r="BC93" s="197">
        <f t="shared" si="241"/>
        <v>471.64</v>
      </c>
      <c r="BD93" s="197"/>
      <c r="BE93" s="913">
        <f>'Energy NPV'!U18</f>
        <v>197.56800000000001</v>
      </c>
      <c r="BF93" s="197"/>
      <c r="BG93" s="197">
        <f t="shared" si="242"/>
        <v>98.784000000000006</v>
      </c>
      <c r="BH93" s="197">
        <f t="shared" si="220"/>
        <v>-98.784000000000006</v>
      </c>
      <c r="BI93" s="197">
        <f t="shared" si="221"/>
        <v>372.85599999999999</v>
      </c>
      <c r="BJ93" s="196">
        <f t="shared" si="243"/>
        <v>0</v>
      </c>
      <c r="BK93" s="197">
        <f t="shared" si="244"/>
        <v>387.65370063198054</v>
      </c>
      <c r="BL93" s="197">
        <f t="shared" si="245"/>
        <v>81.193247314115794</v>
      </c>
      <c r="BM93" s="197">
        <f t="shared" si="246"/>
        <v>-81.193247314115794</v>
      </c>
      <c r="BN93" s="199">
        <f t="shared" si="247"/>
        <v>306.46045331786479</v>
      </c>
      <c r="BO93" s="196">
        <f t="shared" si="274"/>
        <v>5989.6129665452881</v>
      </c>
      <c r="BP93" s="197">
        <f t="shared" si="248"/>
        <v>2571.2974842004828</v>
      </c>
      <c r="BQ93" s="197">
        <f t="shared" si="248"/>
        <v>5583.4537511480139</v>
      </c>
      <c r="BR93" s="197">
        <f t="shared" si="248"/>
        <v>406.15921539727412</v>
      </c>
      <c r="BS93" s="199">
        <f t="shared" si="248"/>
        <v>2977.4566995977571</v>
      </c>
      <c r="BV93" s="204">
        <f t="shared" si="275"/>
        <v>6</v>
      </c>
      <c r="BW93" s="756">
        <f>'Energy NPV'!$D18</f>
        <v>0</v>
      </c>
      <c r="BX93" s="197">
        <f>'Energy margins'!$E$12</f>
        <v>269.5</v>
      </c>
      <c r="BY93" s="197">
        <f t="shared" si="276"/>
        <v>0</v>
      </c>
      <c r="BZ93" s="197">
        <f>'Margins summary'!$Q$14</f>
        <v>471.64</v>
      </c>
      <c r="CA93" s="197">
        <f t="shared" si="249"/>
        <v>471.64</v>
      </c>
      <c r="CB93" s="197"/>
      <c r="CC93" s="913">
        <f>'Energy NPV'!U18</f>
        <v>197.56800000000001</v>
      </c>
      <c r="CD93" s="197"/>
      <c r="CE93" s="197">
        <f t="shared" si="250"/>
        <v>395.13600000000002</v>
      </c>
      <c r="CF93" s="197">
        <f t="shared" si="222"/>
        <v>-395.13600000000002</v>
      </c>
      <c r="CG93" s="197">
        <f t="shared" si="223"/>
        <v>76.503999999999962</v>
      </c>
      <c r="CH93" s="196">
        <f t="shared" si="251"/>
        <v>0</v>
      </c>
      <c r="CI93" s="197">
        <f t="shared" si="252"/>
        <v>387.65370063198054</v>
      </c>
      <c r="CJ93" s="197">
        <f t="shared" si="253"/>
        <v>324.77298925646318</v>
      </c>
      <c r="CK93" s="197">
        <f t="shared" si="254"/>
        <v>-324.77298925646318</v>
      </c>
      <c r="CL93" s="199">
        <f t="shared" si="255"/>
        <v>62.8807113755174</v>
      </c>
      <c r="CM93" s="196">
        <f t="shared" si="277"/>
        <v>5989.6129665452881</v>
      </c>
      <c r="CN93" s="197">
        <f t="shared" si="256"/>
        <v>2571.2974842004828</v>
      </c>
      <c r="CO93" s="197">
        <f t="shared" si="256"/>
        <v>22333.815004592056</v>
      </c>
      <c r="CP93" s="197">
        <f t="shared" si="256"/>
        <v>-16344.202038046771</v>
      </c>
      <c r="CQ93" s="199">
        <f t="shared" si="256"/>
        <v>-13772.904553846287</v>
      </c>
      <c r="CT93" s="204">
        <f t="shared" si="278"/>
        <v>6</v>
      </c>
      <c r="CU93" s="756">
        <f>'Energy NPV'!$D18</f>
        <v>0</v>
      </c>
      <c r="CV93" s="197">
        <f>'Energy margins'!$E$12</f>
        <v>269.5</v>
      </c>
      <c r="CW93" s="197">
        <f t="shared" si="279"/>
        <v>0</v>
      </c>
      <c r="CX93" s="197">
        <f>'Margins summary'!$Q$14</f>
        <v>471.64</v>
      </c>
      <c r="CY93" s="197">
        <f t="shared" si="257"/>
        <v>471.64</v>
      </c>
      <c r="CZ93" s="197"/>
      <c r="DA93" s="913">
        <f>'Energy NPV'!U18</f>
        <v>197.56800000000001</v>
      </c>
      <c r="DB93" s="197"/>
      <c r="DC93" s="197">
        <f t="shared" si="258"/>
        <v>0</v>
      </c>
      <c r="DD93" s="197">
        <f t="shared" si="224"/>
        <v>0</v>
      </c>
      <c r="DE93" s="197">
        <f t="shared" si="225"/>
        <v>471.64</v>
      </c>
      <c r="DF93" s="196">
        <f t="shared" si="259"/>
        <v>0</v>
      </c>
      <c r="DG93" s="197">
        <f t="shared" si="260"/>
        <v>387.65370063198054</v>
      </c>
      <c r="DH93" s="197">
        <f t="shared" si="261"/>
        <v>0</v>
      </c>
      <c r="DI93" s="197">
        <f t="shared" si="262"/>
        <v>0</v>
      </c>
      <c r="DJ93" s="199">
        <f t="shared" si="263"/>
        <v>387.65370063198054</v>
      </c>
      <c r="DK93" s="196">
        <f t="shared" si="280"/>
        <v>5989.6129665452881</v>
      </c>
      <c r="DL93" s="197">
        <f t="shared" si="264"/>
        <v>2571.2974842004828</v>
      </c>
      <c r="DM93" s="197">
        <f t="shared" si="264"/>
        <v>0</v>
      </c>
      <c r="DN93" s="197">
        <f t="shared" si="264"/>
        <v>5989.6129665452881</v>
      </c>
      <c r="DO93" s="199">
        <f t="shared" si="264"/>
        <v>8560.9104507457723</v>
      </c>
    </row>
    <row r="94" spans="2:119" x14ac:dyDescent="0.3">
      <c r="B94" s="204">
        <f t="shared" si="265"/>
        <v>7</v>
      </c>
      <c r="C94" s="756">
        <f>'Energy NPV'!$D19</f>
        <v>25</v>
      </c>
      <c r="D94" s="197">
        <f>'Energy margins'!$E$12</f>
        <v>269.5</v>
      </c>
      <c r="E94" s="197">
        <f t="shared" si="266"/>
        <v>6737.5</v>
      </c>
      <c r="F94" s="197">
        <f>'Margins summary'!$Q$14</f>
        <v>471.64</v>
      </c>
      <c r="G94" s="197">
        <f t="shared" si="226"/>
        <v>7209.14</v>
      </c>
      <c r="H94" s="197"/>
      <c r="I94" s="913">
        <f>'Energy NPV'!U19</f>
        <v>2318.3679999999999</v>
      </c>
      <c r="J94" s="197"/>
      <c r="K94" s="197">
        <f t="shared" si="227"/>
        <v>2318.3679999999999</v>
      </c>
      <c r="L94" s="197">
        <f t="shared" si="216"/>
        <v>4419.1319999999996</v>
      </c>
      <c r="M94" s="197">
        <f t="shared" si="217"/>
        <v>4890.7720000000008</v>
      </c>
      <c r="N94" s="196">
        <f t="shared" si="228"/>
        <v>5324.7441171068567</v>
      </c>
      <c r="O94" s="197">
        <f t="shared" si="229"/>
        <v>372.74394291536589</v>
      </c>
      <c r="P94" s="197">
        <f t="shared" si="230"/>
        <v>1832.2399063879463</v>
      </c>
      <c r="Q94" s="197">
        <f t="shared" si="231"/>
        <v>3492.5042107189101</v>
      </c>
      <c r="R94" s="199">
        <f t="shared" si="232"/>
        <v>3865.2481536342771</v>
      </c>
      <c r="S94" s="196">
        <f t="shared" si="267"/>
        <v>11314.357083652145</v>
      </c>
      <c r="T94" s="197">
        <f t="shared" si="233"/>
        <v>2944.0414271158488</v>
      </c>
      <c r="U94" s="197">
        <f t="shared" si="233"/>
        <v>12999.147408683973</v>
      </c>
      <c r="V94" s="197">
        <f t="shared" si="233"/>
        <v>-1684.7903250318313</v>
      </c>
      <c r="W94" s="199">
        <f t="shared" si="233"/>
        <v>1259.2511020840202</v>
      </c>
      <c r="Z94" s="204">
        <f t="shared" si="268"/>
        <v>7</v>
      </c>
      <c r="AA94" s="756">
        <f>'Energy NPV'!$D19</f>
        <v>25</v>
      </c>
      <c r="AB94" s="197">
        <f>'Energy margins'!$E$12</f>
        <v>269.5</v>
      </c>
      <c r="AC94" s="197">
        <f t="shared" si="269"/>
        <v>6737.5</v>
      </c>
      <c r="AD94" s="197">
        <f>'Margins summary'!$Q$14</f>
        <v>471.64</v>
      </c>
      <c r="AE94" s="197">
        <f t="shared" si="234"/>
        <v>7209.14</v>
      </c>
      <c r="AF94" s="197"/>
      <c r="AG94" s="913">
        <f>'Energy NPV'!U19</f>
        <v>2318.3679999999999</v>
      </c>
      <c r="AH94" s="197"/>
      <c r="AI94" s="197">
        <f t="shared" si="270"/>
        <v>3477.5519999999997</v>
      </c>
      <c r="AJ94" s="197">
        <f t="shared" si="218"/>
        <v>3259.9480000000003</v>
      </c>
      <c r="AK94" s="197">
        <f t="shared" si="219"/>
        <v>3731.5880000000006</v>
      </c>
      <c r="AL94" s="196">
        <f t="shared" si="235"/>
        <v>5324.7441171068567</v>
      </c>
      <c r="AM94" s="197">
        <f t="shared" si="236"/>
        <v>372.74394291536589</v>
      </c>
      <c r="AN94" s="197">
        <f t="shared" si="237"/>
        <v>2748.3598595819194</v>
      </c>
      <c r="AO94" s="197">
        <f t="shared" si="238"/>
        <v>2576.3842575249373</v>
      </c>
      <c r="AP94" s="199">
        <f t="shared" si="239"/>
        <v>2949.1282004403033</v>
      </c>
      <c r="AQ94" s="196">
        <f t="shared" si="271"/>
        <v>11314.357083652145</v>
      </c>
      <c r="AR94" s="197">
        <f t="shared" si="240"/>
        <v>2944.0414271158488</v>
      </c>
      <c r="AS94" s="197">
        <f t="shared" si="240"/>
        <v>19498.72111302596</v>
      </c>
      <c r="AT94" s="197">
        <f t="shared" si="240"/>
        <v>-8184.3640293738163</v>
      </c>
      <c r="AU94" s="199">
        <f t="shared" si="240"/>
        <v>-5240.3226022579693</v>
      </c>
      <c r="AX94" s="204">
        <f t="shared" si="272"/>
        <v>7</v>
      </c>
      <c r="AY94" s="756">
        <f>'Energy NPV'!$D19</f>
        <v>25</v>
      </c>
      <c r="AZ94" s="197">
        <f>'Energy margins'!$E$12</f>
        <v>269.5</v>
      </c>
      <c r="BA94" s="197">
        <f t="shared" si="273"/>
        <v>6737.5</v>
      </c>
      <c r="BB94" s="197">
        <f>'Margins summary'!$Q$14</f>
        <v>471.64</v>
      </c>
      <c r="BC94" s="197">
        <f t="shared" si="241"/>
        <v>7209.14</v>
      </c>
      <c r="BD94" s="197"/>
      <c r="BE94" s="913">
        <f>'Energy NPV'!U19</f>
        <v>2318.3679999999999</v>
      </c>
      <c r="BF94" s="197"/>
      <c r="BG94" s="197">
        <f t="shared" si="242"/>
        <v>1159.184</v>
      </c>
      <c r="BH94" s="197">
        <f t="shared" si="220"/>
        <v>5578.3159999999998</v>
      </c>
      <c r="BI94" s="197">
        <f t="shared" si="221"/>
        <v>6049.9560000000001</v>
      </c>
      <c r="BJ94" s="196">
        <f t="shared" si="243"/>
        <v>5324.7441171068567</v>
      </c>
      <c r="BK94" s="197">
        <f t="shared" si="244"/>
        <v>372.74394291536589</v>
      </c>
      <c r="BL94" s="197">
        <f t="shared" si="245"/>
        <v>916.11995319397317</v>
      </c>
      <c r="BM94" s="197">
        <f t="shared" si="246"/>
        <v>4408.624163912883</v>
      </c>
      <c r="BN94" s="199">
        <f t="shared" si="247"/>
        <v>4781.3681068282494</v>
      </c>
      <c r="BO94" s="196">
        <f t="shared" si="274"/>
        <v>11314.357083652145</v>
      </c>
      <c r="BP94" s="197">
        <f t="shared" si="248"/>
        <v>2944.0414271158488</v>
      </c>
      <c r="BQ94" s="197">
        <f t="shared" si="248"/>
        <v>6499.5737043419867</v>
      </c>
      <c r="BR94" s="197">
        <f t="shared" si="248"/>
        <v>4814.7833793101572</v>
      </c>
      <c r="BS94" s="199">
        <f t="shared" si="248"/>
        <v>7758.824806426006</v>
      </c>
      <c r="BV94" s="204">
        <f t="shared" si="275"/>
        <v>7</v>
      </c>
      <c r="BW94" s="756">
        <f>'Energy NPV'!$D19</f>
        <v>25</v>
      </c>
      <c r="BX94" s="197">
        <f>'Energy margins'!$E$12</f>
        <v>269.5</v>
      </c>
      <c r="BY94" s="197">
        <f t="shared" si="276"/>
        <v>6737.5</v>
      </c>
      <c r="BZ94" s="197">
        <f>'Margins summary'!$Q$14</f>
        <v>471.64</v>
      </c>
      <c r="CA94" s="197">
        <f t="shared" si="249"/>
        <v>7209.14</v>
      </c>
      <c r="CB94" s="197"/>
      <c r="CC94" s="913">
        <f>'Energy NPV'!U19</f>
        <v>2318.3679999999999</v>
      </c>
      <c r="CD94" s="197"/>
      <c r="CE94" s="197">
        <f t="shared" si="250"/>
        <v>4636.7359999999999</v>
      </c>
      <c r="CF94" s="197">
        <f t="shared" si="222"/>
        <v>2100.7640000000001</v>
      </c>
      <c r="CG94" s="197">
        <f t="shared" si="223"/>
        <v>2572.4040000000005</v>
      </c>
      <c r="CH94" s="196">
        <f t="shared" si="251"/>
        <v>5324.7441171068567</v>
      </c>
      <c r="CI94" s="197">
        <f t="shared" si="252"/>
        <v>372.74394291536589</v>
      </c>
      <c r="CJ94" s="197">
        <f t="shared" si="253"/>
        <v>3664.4798127758927</v>
      </c>
      <c r="CK94" s="197">
        <f t="shared" si="254"/>
        <v>1660.264304330964</v>
      </c>
      <c r="CL94" s="199">
        <f t="shared" si="255"/>
        <v>2033.00824724633</v>
      </c>
      <c r="CM94" s="196">
        <f t="shared" si="277"/>
        <v>11314.357083652145</v>
      </c>
      <c r="CN94" s="197">
        <f t="shared" si="256"/>
        <v>2944.0414271158488</v>
      </c>
      <c r="CO94" s="197">
        <f t="shared" si="256"/>
        <v>25998.294817367947</v>
      </c>
      <c r="CP94" s="197">
        <f t="shared" si="256"/>
        <v>-14683.937733715808</v>
      </c>
      <c r="CQ94" s="199">
        <f t="shared" si="256"/>
        <v>-11739.896306599956</v>
      </c>
      <c r="CT94" s="204">
        <f t="shared" si="278"/>
        <v>7</v>
      </c>
      <c r="CU94" s="756">
        <f>'Energy NPV'!$D19</f>
        <v>25</v>
      </c>
      <c r="CV94" s="197">
        <f>'Energy margins'!$E$12</f>
        <v>269.5</v>
      </c>
      <c r="CW94" s="197">
        <f t="shared" si="279"/>
        <v>6737.5</v>
      </c>
      <c r="CX94" s="197">
        <f>'Margins summary'!$Q$14</f>
        <v>471.64</v>
      </c>
      <c r="CY94" s="197">
        <f t="shared" si="257"/>
        <v>7209.14</v>
      </c>
      <c r="CZ94" s="197"/>
      <c r="DA94" s="913">
        <f>'Energy NPV'!U19</f>
        <v>2318.3679999999999</v>
      </c>
      <c r="DB94" s="197"/>
      <c r="DC94" s="197">
        <f t="shared" si="258"/>
        <v>0</v>
      </c>
      <c r="DD94" s="197">
        <f t="shared" si="224"/>
        <v>6737.5</v>
      </c>
      <c r="DE94" s="197">
        <f t="shared" si="225"/>
        <v>7209.14</v>
      </c>
      <c r="DF94" s="196">
        <f t="shared" si="259"/>
        <v>5324.7441171068567</v>
      </c>
      <c r="DG94" s="197">
        <f t="shared" si="260"/>
        <v>372.74394291536589</v>
      </c>
      <c r="DH94" s="197">
        <f t="shared" si="261"/>
        <v>0</v>
      </c>
      <c r="DI94" s="197">
        <f t="shared" si="262"/>
        <v>5324.7441171068567</v>
      </c>
      <c r="DJ94" s="199">
        <f t="shared" si="263"/>
        <v>5697.4880600222232</v>
      </c>
      <c r="DK94" s="196">
        <f t="shared" si="280"/>
        <v>11314.357083652145</v>
      </c>
      <c r="DL94" s="197">
        <f t="shared" si="264"/>
        <v>2944.0414271158488</v>
      </c>
      <c r="DM94" s="197">
        <f t="shared" si="264"/>
        <v>0</v>
      </c>
      <c r="DN94" s="197">
        <f t="shared" si="264"/>
        <v>11314.357083652145</v>
      </c>
      <c r="DO94" s="199">
        <f t="shared" si="264"/>
        <v>14258.398510767995</v>
      </c>
    </row>
    <row r="95" spans="2:119" x14ac:dyDescent="0.3">
      <c r="B95" s="204">
        <f t="shared" si="265"/>
        <v>8</v>
      </c>
      <c r="C95" s="756">
        <f>'Energy NPV'!$D20</f>
        <v>0</v>
      </c>
      <c r="D95" s="197">
        <f>'Energy margins'!$E$12</f>
        <v>269.5</v>
      </c>
      <c r="E95" s="197">
        <f t="shared" si="266"/>
        <v>0</v>
      </c>
      <c r="F95" s="197">
        <f>'Margins summary'!$Q$14</f>
        <v>471.64</v>
      </c>
      <c r="G95" s="197">
        <f t="shared" si="226"/>
        <v>471.64</v>
      </c>
      <c r="H95" s="197"/>
      <c r="I95" s="913">
        <f>'Energy NPV'!U20</f>
        <v>197.56800000000001</v>
      </c>
      <c r="J95" s="197"/>
      <c r="K95" s="197">
        <f t="shared" si="227"/>
        <v>197.56800000000001</v>
      </c>
      <c r="L95" s="197">
        <f t="shared" si="216"/>
        <v>-197.56800000000001</v>
      </c>
      <c r="M95" s="197">
        <f t="shared" si="217"/>
        <v>274.072</v>
      </c>
      <c r="N95" s="196">
        <f t="shared" si="228"/>
        <v>0</v>
      </c>
      <c r="O95" s="197">
        <f t="shared" si="229"/>
        <v>358.40763741862111</v>
      </c>
      <c r="P95" s="197">
        <f t="shared" si="230"/>
        <v>150.13544251870525</v>
      </c>
      <c r="Q95" s="197">
        <f t="shared" si="231"/>
        <v>-150.13544251870525</v>
      </c>
      <c r="R95" s="199">
        <f t="shared" si="232"/>
        <v>208.27219489991589</v>
      </c>
      <c r="S95" s="196">
        <f t="shared" si="267"/>
        <v>11314.357083652145</v>
      </c>
      <c r="T95" s="197">
        <f t="shared" si="233"/>
        <v>3302.4490645344699</v>
      </c>
      <c r="U95" s="197">
        <f t="shared" si="233"/>
        <v>13149.282851202679</v>
      </c>
      <c r="V95" s="197">
        <f t="shared" si="233"/>
        <v>-1834.9257675505366</v>
      </c>
      <c r="W95" s="199">
        <f t="shared" si="233"/>
        <v>1467.523296983936</v>
      </c>
      <c r="Z95" s="204">
        <f t="shared" si="268"/>
        <v>8</v>
      </c>
      <c r="AA95" s="756">
        <f>'Energy NPV'!$D20</f>
        <v>0</v>
      </c>
      <c r="AB95" s="197">
        <f>'Energy margins'!$E$12</f>
        <v>269.5</v>
      </c>
      <c r="AC95" s="197">
        <f t="shared" si="269"/>
        <v>0</v>
      </c>
      <c r="AD95" s="197">
        <f>'Margins summary'!$Q$14</f>
        <v>471.64</v>
      </c>
      <c r="AE95" s="197">
        <f t="shared" si="234"/>
        <v>471.64</v>
      </c>
      <c r="AF95" s="197"/>
      <c r="AG95" s="913">
        <f>'Energy NPV'!U20</f>
        <v>197.56800000000001</v>
      </c>
      <c r="AH95" s="197"/>
      <c r="AI95" s="197">
        <f t="shared" si="270"/>
        <v>296.35200000000003</v>
      </c>
      <c r="AJ95" s="197">
        <f t="shared" si="218"/>
        <v>-296.35200000000003</v>
      </c>
      <c r="AK95" s="197">
        <f t="shared" si="219"/>
        <v>175.28799999999995</v>
      </c>
      <c r="AL95" s="196">
        <f t="shared" si="235"/>
        <v>0</v>
      </c>
      <c r="AM95" s="197">
        <f t="shared" si="236"/>
        <v>358.40763741862111</v>
      </c>
      <c r="AN95" s="197">
        <f t="shared" si="237"/>
        <v>225.20316377805787</v>
      </c>
      <c r="AO95" s="197">
        <f t="shared" si="238"/>
        <v>-225.20316377805787</v>
      </c>
      <c r="AP95" s="199">
        <f t="shared" si="239"/>
        <v>133.20447364056324</v>
      </c>
      <c r="AQ95" s="196">
        <f t="shared" si="271"/>
        <v>11314.357083652145</v>
      </c>
      <c r="AR95" s="197">
        <f t="shared" si="240"/>
        <v>3302.4490645344699</v>
      </c>
      <c r="AS95" s="197">
        <f t="shared" si="240"/>
        <v>19723.924276804017</v>
      </c>
      <c r="AT95" s="197">
        <f t="shared" si="240"/>
        <v>-8409.5671931518737</v>
      </c>
      <c r="AU95" s="199">
        <f t="shared" si="240"/>
        <v>-5107.118128617406</v>
      </c>
      <c r="AX95" s="204">
        <f t="shared" si="272"/>
        <v>8</v>
      </c>
      <c r="AY95" s="756">
        <f>'Energy NPV'!$D20</f>
        <v>0</v>
      </c>
      <c r="AZ95" s="197">
        <f>'Energy margins'!$E$12</f>
        <v>269.5</v>
      </c>
      <c r="BA95" s="197">
        <f t="shared" si="273"/>
        <v>0</v>
      </c>
      <c r="BB95" s="197">
        <f>'Margins summary'!$Q$14</f>
        <v>471.64</v>
      </c>
      <c r="BC95" s="197">
        <f t="shared" si="241"/>
        <v>471.64</v>
      </c>
      <c r="BD95" s="197"/>
      <c r="BE95" s="913">
        <f>'Energy NPV'!U20</f>
        <v>197.56800000000001</v>
      </c>
      <c r="BF95" s="197"/>
      <c r="BG95" s="197">
        <f t="shared" si="242"/>
        <v>98.784000000000006</v>
      </c>
      <c r="BH95" s="197">
        <f t="shared" si="220"/>
        <v>-98.784000000000006</v>
      </c>
      <c r="BI95" s="197">
        <f t="shared" si="221"/>
        <v>372.85599999999999</v>
      </c>
      <c r="BJ95" s="196">
        <f t="shared" si="243"/>
        <v>0</v>
      </c>
      <c r="BK95" s="197">
        <f t="shared" si="244"/>
        <v>358.40763741862111</v>
      </c>
      <c r="BL95" s="197">
        <f t="shared" si="245"/>
        <v>75.067721259352624</v>
      </c>
      <c r="BM95" s="197">
        <f t="shared" si="246"/>
        <v>-75.067721259352624</v>
      </c>
      <c r="BN95" s="199">
        <f t="shared" si="247"/>
        <v>283.33991615926851</v>
      </c>
      <c r="BO95" s="196">
        <f t="shared" si="274"/>
        <v>11314.357083652145</v>
      </c>
      <c r="BP95" s="197">
        <f t="shared" si="248"/>
        <v>3302.4490645344699</v>
      </c>
      <c r="BQ95" s="197">
        <f t="shared" si="248"/>
        <v>6574.6414256013395</v>
      </c>
      <c r="BR95" s="197">
        <f t="shared" si="248"/>
        <v>4739.7156580508044</v>
      </c>
      <c r="BS95" s="199">
        <f t="shared" si="248"/>
        <v>8042.1647225852748</v>
      </c>
      <c r="BV95" s="204">
        <f t="shared" si="275"/>
        <v>8</v>
      </c>
      <c r="BW95" s="756">
        <f>'Energy NPV'!$D20</f>
        <v>0</v>
      </c>
      <c r="BX95" s="197">
        <f>'Energy margins'!$E$12</f>
        <v>269.5</v>
      </c>
      <c r="BY95" s="197">
        <f t="shared" si="276"/>
        <v>0</v>
      </c>
      <c r="BZ95" s="197">
        <f>'Margins summary'!$Q$14</f>
        <v>471.64</v>
      </c>
      <c r="CA95" s="197">
        <f t="shared" si="249"/>
        <v>471.64</v>
      </c>
      <c r="CB95" s="197"/>
      <c r="CC95" s="913">
        <f>'Energy NPV'!U20</f>
        <v>197.56800000000001</v>
      </c>
      <c r="CD95" s="197"/>
      <c r="CE95" s="197">
        <f t="shared" si="250"/>
        <v>395.13600000000002</v>
      </c>
      <c r="CF95" s="197">
        <f t="shared" si="222"/>
        <v>-395.13600000000002</v>
      </c>
      <c r="CG95" s="197">
        <f t="shared" si="223"/>
        <v>76.503999999999962</v>
      </c>
      <c r="CH95" s="196">
        <f t="shared" si="251"/>
        <v>0</v>
      </c>
      <c r="CI95" s="197">
        <f t="shared" si="252"/>
        <v>358.40763741862111</v>
      </c>
      <c r="CJ95" s="197">
        <f t="shared" si="253"/>
        <v>300.27088503741049</v>
      </c>
      <c r="CK95" s="197">
        <f t="shared" si="254"/>
        <v>-300.27088503741049</v>
      </c>
      <c r="CL95" s="199">
        <f t="shared" si="255"/>
        <v>58.13675238121062</v>
      </c>
      <c r="CM95" s="196">
        <f t="shared" si="277"/>
        <v>11314.357083652145</v>
      </c>
      <c r="CN95" s="197">
        <f t="shared" si="256"/>
        <v>3302.4490645344699</v>
      </c>
      <c r="CO95" s="197">
        <f t="shared" si="256"/>
        <v>26298.565702405358</v>
      </c>
      <c r="CP95" s="197">
        <f t="shared" si="256"/>
        <v>-14984.208618753219</v>
      </c>
      <c r="CQ95" s="199">
        <f t="shared" si="256"/>
        <v>-11681.759554218745</v>
      </c>
      <c r="CT95" s="204">
        <f t="shared" si="278"/>
        <v>8</v>
      </c>
      <c r="CU95" s="756">
        <f>'Energy NPV'!$D20</f>
        <v>0</v>
      </c>
      <c r="CV95" s="197">
        <f>'Energy margins'!$E$12</f>
        <v>269.5</v>
      </c>
      <c r="CW95" s="197">
        <f t="shared" si="279"/>
        <v>0</v>
      </c>
      <c r="CX95" s="197">
        <f>'Margins summary'!$Q$14</f>
        <v>471.64</v>
      </c>
      <c r="CY95" s="197">
        <f t="shared" si="257"/>
        <v>471.64</v>
      </c>
      <c r="CZ95" s="197"/>
      <c r="DA95" s="913">
        <f>'Energy NPV'!U20</f>
        <v>197.56800000000001</v>
      </c>
      <c r="DB95" s="197"/>
      <c r="DC95" s="197">
        <f t="shared" si="258"/>
        <v>0</v>
      </c>
      <c r="DD95" s="197">
        <f t="shared" si="224"/>
        <v>0</v>
      </c>
      <c r="DE95" s="197">
        <f t="shared" si="225"/>
        <v>471.64</v>
      </c>
      <c r="DF95" s="196">
        <f t="shared" si="259"/>
        <v>0</v>
      </c>
      <c r="DG95" s="197">
        <f t="shared" si="260"/>
        <v>358.40763741862111</v>
      </c>
      <c r="DH95" s="197">
        <f t="shared" si="261"/>
        <v>0</v>
      </c>
      <c r="DI95" s="197">
        <f t="shared" si="262"/>
        <v>0</v>
      </c>
      <c r="DJ95" s="199">
        <f t="shared" si="263"/>
        <v>358.40763741862111</v>
      </c>
      <c r="DK95" s="196">
        <f t="shared" si="280"/>
        <v>11314.357083652145</v>
      </c>
      <c r="DL95" s="197">
        <f t="shared" si="264"/>
        <v>3302.4490645344699</v>
      </c>
      <c r="DM95" s="197">
        <f t="shared" si="264"/>
        <v>0</v>
      </c>
      <c r="DN95" s="197">
        <f t="shared" si="264"/>
        <v>11314.357083652145</v>
      </c>
      <c r="DO95" s="199">
        <f t="shared" si="264"/>
        <v>14616.806148186615</v>
      </c>
    </row>
    <row r="96" spans="2:119" x14ac:dyDescent="0.3">
      <c r="B96" s="204">
        <f t="shared" si="265"/>
        <v>9</v>
      </c>
      <c r="C96" s="756">
        <f>'Energy NPV'!$D21</f>
        <v>0</v>
      </c>
      <c r="D96" s="197">
        <f>'Energy margins'!$E$12</f>
        <v>269.5</v>
      </c>
      <c r="E96" s="197">
        <f t="shared" si="266"/>
        <v>0</v>
      </c>
      <c r="F96" s="197">
        <f>'Margins summary'!$Q$14</f>
        <v>471.64</v>
      </c>
      <c r="G96" s="197">
        <f t="shared" si="226"/>
        <v>471.64</v>
      </c>
      <c r="H96" s="197"/>
      <c r="I96" s="913">
        <f>'Energy NPV'!U21</f>
        <v>197.56800000000001</v>
      </c>
      <c r="J96" s="197"/>
      <c r="K96" s="197">
        <f t="shared" si="227"/>
        <v>197.56800000000001</v>
      </c>
      <c r="L96" s="197">
        <f t="shared" si="216"/>
        <v>-197.56800000000001</v>
      </c>
      <c r="M96" s="197">
        <f t="shared" si="217"/>
        <v>274.072</v>
      </c>
      <c r="N96" s="196">
        <f t="shared" si="228"/>
        <v>0</v>
      </c>
      <c r="O96" s="197">
        <f t="shared" si="229"/>
        <v>344.6227282871356</v>
      </c>
      <c r="P96" s="197">
        <f t="shared" si="230"/>
        <v>144.36100242183193</v>
      </c>
      <c r="Q96" s="197">
        <f t="shared" si="231"/>
        <v>-144.36100242183193</v>
      </c>
      <c r="R96" s="199">
        <f t="shared" si="232"/>
        <v>200.2617258653037</v>
      </c>
      <c r="S96" s="196">
        <f t="shared" si="267"/>
        <v>11314.357083652145</v>
      </c>
      <c r="T96" s="197">
        <f t="shared" si="233"/>
        <v>3647.0717928216054</v>
      </c>
      <c r="U96" s="197">
        <f t="shared" si="233"/>
        <v>13293.643853624511</v>
      </c>
      <c r="V96" s="197">
        <f t="shared" si="233"/>
        <v>-1979.2867699723686</v>
      </c>
      <c r="W96" s="199">
        <f t="shared" si="233"/>
        <v>1667.7850228492398</v>
      </c>
      <c r="Z96" s="204">
        <f t="shared" si="268"/>
        <v>9</v>
      </c>
      <c r="AA96" s="756">
        <f>'Energy NPV'!$D21</f>
        <v>0</v>
      </c>
      <c r="AB96" s="197">
        <f>'Energy margins'!$E$12</f>
        <v>269.5</v>
      </c>
      <c r="AC96" s="197">
        <f t="shared" si="269"/>
        <v>0</v>
      </c>
      <c r="AD96" s="197">
        <f>'Margins summary'!$Q$14</f>
        <v>471.64</v>
      </c>
      <c r="AE96" s="197">
        <f t="shared" si="234"/>
        <v>471.64</v>
      </c>
      <c r="AF96" s="197"/>
      <c r="AG96" s="913">
        <f>'Energy NPV'!U21</f>
        <v>197.56800000000001</v>
      </c>
      <c r="AH96" s="197"/>
      <c r="AI96" s="197">
        <f t="shared" si="270"/>
        <v>296.35200000000003</v>
      </c>
      <c r="AJ96" s="197">
        <f t="shared" si="218"/>
        <v>-296.35200000000003</v>
      </c>
      <c r="AK96" s="197">
        <f t="shared" si="219"/>
        <v>175.28799999999995</v>
      </c>
      <c r="AL96" s="196">
        <f t="shared" si="235"/>
        <v>0</v>
      </c>
      <c r="AM96" s="197">
        <f t="shared" si="236"/>
        <v>344.6227282871356</v>
      </c>
      <c r="AN96" s="197">
        <f t="shared" si="237"/>
        <v>216.54150363274792</v>
      </c>
      <c r="AO96" s="197">
        <f t="shared" si="238"/>
        <v>-216.54150363274792</v>
      </c>
      <c r="AP96" s="199">
        <f t="shared" si="239"/>
        <v>128.08122465438771</v>
      </c>
      <c r="AQ96" s="196">
        <f t="shared" si="271"/>
        <v>11314.357083652145</v>
      </c>
      <c r="AR96" s="197">
        <f t="shared" si="240"/>
        <v>3647.0717928216054</v>
      </c>
      <c r="AS96" s="197">
        <f t="shared" si="240"/>
        <v>19940.465780436763</v>
      </c>
      <c r="AT96" s="197">
        <f t="shared" si="240"/>
        <v>-8626.1086967846222</v>
      </c>
      <c r="AU96" s="199">
        <f t="shared" si="240"/>
        <v>-4979.0369039630186</v>
      </c>
      <c r="AX96" s="204">
        <f t="shared" si="272"/>
        <v>9</v>
      </c>
      <c r="AY96" s="756">
        <f>'Energy NPV'!$D21</f>
        <v>0</v>
      </c>
      <c r="AZ96" s="197">
        <f>'Energy margins'!$E$12</f>
        <v>269.5</v>
      </c>
      <c r="BA96" s="197">
        <f t="shared" si="273"/>
        <v>0</v>
      </c>
      <c r="BB96" s="197">
        <f>'Margins summary'!$Q$14</f>
        <v>471.64</v>
      </c>
      <c r="BC96" s="197">
        <f t="shared" si="241"/>
        <v>471.64</v>
      </c>
      <c r="BD96" s="197"/>
      <c r="BE96" s="913">
        <f>'Energy NPV'!U21</f>
        <v>197.56800000000001</v>
      </c>
      <c r="BF96" s="197"/>
      <c r="BG96" s="197">
        <f t="shared" si="242"/>
        <v>98.784000000000006</v>
      </c>
      <c r="BH96" s="197">
        <f t="shared" si="220"/>
        <v>-98.784000000000006</v>
      </c>
      <c r="BI96" s="197">
        <f t="shared" si="221"/>
        <v>372.85599999999999</v>
      </c>
      <c r="BJ96" s="196">
        <f t="shared" si="243"/>
        <v>0</v>
      </c>
      <c r="BK96" s="197">
        <f t="shared" si="244"/>
        <v>344.6227282871356</v>
      </c>
      <c r="BL96" s="197">
        <f t="shared" si="245"/>
        <v>72.180501210915963</v>
      </c>
      <c r="BM96" s="197">
        <f t="shared" si="246"/>
        <v>-72.180501210915963</v>
      </c>
      <c r="BN96" s="199">
        <f t="shared" si="247"/>
        <v>272.44222707621964</v>
      </c>
      <c r="BO96" s="196">
        <f t="shared" si="274"/>
        <v>11314.357083652145</v>
      </c>
      <c r="BP96" s="197">
        <f t="shared" si="248"/>
        <v>3647.0717928216054</v>
      </c>
      <c r="BQ96" s="197">
        <f t="shared" si="248"/>
        <v>6646.8219268122557</v>
      </c>
      <c r="BR96" s="197">
        <f t="shared" si="248"/>
        <v>4667.5351568398883</v>
      </c>
      <c r="BS96" s="199">
        <f t="shared" si="248"/>
        <v>8314.6069496614946</v>
      </c>
      <c r="BV96" s="204">
        <f t="shared" si="275"/>
        <v>9</v>
      </c>
      <c r="BW96" s="756">
        <f>'Energy NPV'!$D21</f>
        <v>0</v>
      </c>
      <c r="BX96" s="197">
        <f>'Energy margins'!$E$12</f>
        <v>269.5</v>
      </c>
      <c r="BY96" s="197">
        <f t="shared" si="276"/>
        <v>0</v>
      </c>
      <c r="BZ96" s="197">
        <f>'Margins summary'!$Q$14</f>
        <v>471.64</v>
      </c>
      <c r="CA96" s="197">
        <f t="shared" si="249"/>
        <v>471.64</v>
      </c>
      <c r="CB96" s="197"/>
      <c r="CC96" s="913">
        <f>'Energy NPV'!U21</f>
        <v>197.56800000000001</v>
      </c>
      <c r="CD96" s="197"/>
      <c r="CE96" s="197">
        <f t="shared" si="250"/>
        <v>395.13600000000002</v>
      </c>
      <c r="CF96" s="197">
        <f t="shared" si="222"/>
        <v>-395.13600000000002</v>
      </c>
      <c r="CG96" s="197">
        <f t="shared" si="223"/>
        <v>76.503999999999962</v>
      </c>
      <c r="CH96" s="196">
        <f t="shared" si="251"/>
        <v>0</v>
      </c>
      <c r="CI96" s="197">
        <f t="shared" si="252"/>
        <v>344.6227282871356</v>
      </c>
      <c r="CJ96" s="197">
        <f t="shared" si="253"/>
        <v>288.72200484366385</v>
      </c>
      <c r="CK96" s="197">
        <f t="shared" si="254"/>
        <v>-288.72200484366385</v>
      </c>
      <c r="CL96" s="199">
        <f t="shared" si="255"/>
        <v>55.90072344347174</v>
      </c>
      <c r="CM96" s="196">
        <f t="shared" si="277"/>
        <v>11314.357083652145</v>
      </c>
      <c r="CN96" s="197">
        <f t="shared" si="256"/>
        <v>3647.0717928216054</v>
      </c>
      <c r="CO96" s="197">
        <f t="shared" si="256"/>
        <v>26587.287707249023</v>
      </c>
      <c r="CP96" s="197">
        <f t="shared" si="256"/>
        <v>-15272.930623596883</v>
      </c>
      <c r="CQ96" s="199">
        <f t="shared" si="256"/>
        <v>-11625.858830775273</v>
      </c>
      <c r="CT96" s="204">
        <f t="shared" si="278"/>
        <v>9</v>
      </c>
      <c r="CU96" s="756">
        <f>'Energy NPV'!$D21</f>
        <v>0</v>
      </c>
      <c r="CV96" s="197">
        <f>'Energy margins'!$E$12</f>
        <v>269.5</v>
      </c>
      <c r="CW96" s="197">
        <f t="shared" si="279"/>
        <v>0</v>
      </c>
      <c r="CX96" s="197">
        <f>'Margins summary'!$Q$14</f>
        <v>471.64</v>
      </c>
      <c r="CY96" s="197">
        <f t="shared" si="257"/>
        <v>471.64</v>
      </c>
      <c r="CZ96" s="197"/>
      <c r="DA96" s="913">
        <f>'Energy NPV'!U21</f>
        <v>197.56800000000001</v>
      </c>
      <c r="DB96" s="197"/>
      <c r="DC96" s="197">
        <f t="shared" si="258"/>
        <v>0</v>
      </c>
      <c r="DD96" s="197">
        <f t="shared" si="224"/>
        <v>0</v>
      </c>
      <c r="DE96" s="197">
        <f t="shared" si="225"/>
        <v>471.64</v>
      </c>
      <c r="DF96" s="196">
        <f t="shared" si="259"/>
        <v>0</v>
      </c>
      <c r="DG96" s="197">
        <f t="shared" si="260"/>
        <v>344.6227282871356</v>
      </c>
      <c r="DH96" s="197">
        <f t="shared" si="261"/>
        <v>0</v>
      </c>
      <c r="DI96" s="197">
        <f t="shared" si="262"/>
        <v>0</v>
      </c>
      <c r="DJ96" s="199">
        <f t="shared" si="263"/>
        <v>344.6227282871356</v>
      </c>
      <c r="DK96" s="196">
        <f t="shared" si="280"/>
        <v>11314.357083652145</v>
      </c>
      <c r="DL96" s="197">
        <f t="shared" si="264"/>
        <v>3647.0717928216054</v>
      </c>
      <c r="DM96" s="197">
        <f t="shared" si="264"/>
        <v>0</v>
      </c>
      <c r="DN96" s="197">
        <f t="shared" si="264"/>
        <v>11314.357083652145</v>
      </c>
      <c r="DO96" s="199">
        <f t="shared" si="264"/>
        <v>14961.42887647375</v>
      </c>
    </row>
    <row r="97" spans="2:119" x14ac:dyDescent="0.3">
      <c r="B97" s="204">
        <f t="shared" si="265"/>
        <v>10</v>
      </c>
      <c r="C97" s="756">
        <f>'Energy NPV'!$D22</f>
        <v>25</v>
      </c>
      <c r="D97" s="197">
        <f>'Energy margins'!$E$12</f>
        <v>269.5</v>
      </c>
      <c r="E97" s="197">
        <f t="shared" si="266"/>
        <v>6737.5</v>
      </c>
      <c r="F97" s="197">
        <f>'Margins summary'!$Q$14</f>
        <v>471.64</v>
      </c>
      <c r="G97" s="197">
        <f t="shared" si="226"/>
        <v>7209.14</v>
      </c>
      <c r="H97" s="197"/>
      <c r="I97" s="913">
        <f>'Energy NPV'!U22</f>
        <v>2318.3679999999999</v>
      </c>
      <c r="J97" s="197"/>
      <c r="K97" s="197">
        <f t="shared" si="227"/>
        <v>2318.3679999999999</v>
      </c>
      <c r="L97" s="197">
        <f t="shared" si="216"/>
        <v>4419.1319999999996</v>
      </c>
      <c r="M97" s="197">
        <f t="shared" si="217"/>
        <v>4890.7720000000008</v>
      </c>
      <c r="N97" s="196">
        <f t="shared" si="228"/>
        <v>4733.6781309623702</v>
      </c>
      <c r="O97" s="197">
        <f t="shared" si="229"/>
        <v>331.36800796839958</v>
      </c>
      <c r="P97" s="197">
        <f t="shared" si="230"/>
        <v>1628.8546049904221</v>
      </c>
      <c r="Q97" s="197">
        <f t="shared" si="231"/>
        <v>3104.8235259719481</v>
      </c>
      <c r="R97" s="199">
        <f t="shared" si="232"/>
        <v>3436.1915339403486</v>
      </c>
      <c r="S97" s="196">
        <f t="shared" si="267"/>
        <v>16048.035214614516</v>
      </c>
      <c r="T97" s="197">
        <f t="shared" si="233"/>
        <v>3978.4398007900049</v>
      </c>
      <c r="U97" s="197">
        <f t="shared" si="233"/>
        <v>14922.498458614933</v>
      </c>
      <c r="V97" s="197">
        <f t="shared" si="233"/>
        <v>1125.5367559995796</v>
      </c>
      <c r="W97" s="199">
        <f t="shared" si="233"/>
        <v>5103.9765567895884</v>
      </c>
      <c r="Z97" s="204">
        <f t="shared" si="268"/>
        <v>10</v>
      </c>
      <c r="AA97" s="756">
        <f>'Energy NPV'!$D22</f>
        <v>25</v>
      </c>
      <c r="AB97" s="197">
        <f>'Energy margins'!$E$12</f>
        <v>269.5</v>
      </c>
      <c r="AC97" s="197">
        <f t="shared" si="269"/>
        <v>6737.5</v>
      </c>
      <c r="AD97" s="197">
        <f>'Margins summary'!$Q$14</f>
        <v>471.64</v>
      </c>
      <c r="AE97" s="197">
        <f t="shared" si="234"/>
        <v>7209.14</v>
      </c>
      <c r="AF97" s="197"/>
      <c r="AG97" s="913">
        <f>'Energy NPV'!U22</f>
        <v>2318.3679999999999</v>
      </c>
      <c r="AH97" s="197"/>
      <c r="AI97" s="197">
        <f t="shared" si="270"/>
        <v>3477.5519999999997</v>
      </c>
      <c r="AJ97" s="197">
        <f t="shared" si="218"/>
        <v>3259.9480000000003</v>
      </c>
      <c r="AK97" s="197">
        <f t="shared" si="219"/>
        <v>3731.5880000000006</v>
      </c>
      <c r="AL97" s="196">
        <f t="shared" si="235"/>
        <v>4733.6781309623702</v>
      </c>
      <c r="AM97" s="197">
        <f t="shared" si="236"/>
        <v>331.36800796839958</v>
      </c>
      <c r="AN97" s="197">
        <f t="shared" si="237"/>
        <v>2443.2819074856329</v>
      </c>
      <c r="AO97" s="197">
        <f t="shared" si="238"/>
        <v>2290.3962234767373</v>
      </c>
      <c r="AP97" s="199">
        <f t="shared" si="239"/>
        <v>2621.7642314451373</v>
      </c>
      <c r="AQ97" s="196">
        <f t="shared" si="271"/>
        <v>16048.035214614516</v>
      </c>
      <c r="AR97" s="197">
        <f t="shared" si="240"/>
        <v>3978.4398007900049</v>
      </c>
      <c r="AS97" s="197">
        <f t="shared" si="240"/>
        <v>22383.747687922398</v>
      </c>
      <c r="AT97" s="197">
        <f t="shared" si="240"/>
        <v>-6335.7124733078854</v>
      </c>
      <c r="AU97" s="199">
        <f t="shared" si="240"/>
        <v>-2357.2726725178813</v>
      </c>
      <c r="AX97" s="204">
        <f t="shared" si="272"/>
        <v>10</v>
      </c>
      <c r="AY97" s="756">
        <f>'Energy NPV'!$D22</f>
        <v>25</v>
      </c>
      <c r="AZ97" s="197">
        <f>'Energy margins'!$E$12</f>
        <v>269.5</v>
      </c>
      <c r="BA97" s="197">
        <f t="shared" si="273"/>
        <v>6737.5</v>
      </c>
      <c r="BB97" s="197">
        <f>'Margins summary'!$Q$14</f>
        <v>471.64</v>
      </c>
      <c r="BC97" s="197">
        <f t="shared" si="241"/>
        <v>7209.14</v>
      </c>
      <c r="BD97" s="197"/>
      <c r="BE97" s="913">
        <f>'Energy NPV'!U22</f>
        <v>2318.3679999999999</v>
      </c>
      <c r="BF97" s="197"/>
      <c r="BG97" s="197">
        <f t="shared" si="242"/>
        <v>1159.184</v>
      </c>
      <c r="BH97" s="197">
        <f t="shared" si="220"/>
        <v>5578.3159999999998</v>
      </c>
      <c r="BI97" s="197">
        <f t="shared" si="221"/>
        <v>6049.9560000000001</v>
      </c>
      <c r="BJ97" s="196">
        <f t="shared" si="243"/>
        <v>4733.6781309623702</v>
      </c>
      <c r="BK97" s="197">
        <f t="shared" si="244"/>
        <v>331.36800796839958</v>
      </c>
      <c r="BL97" s="197">
        <f t="shared" si="245"/>
        <v>814.42730249521105</v>
      </c>
      <c r="BM97" s="197">
        <f t="shared" si="246"/>
        <v>3919.2508284671594</v>
      </c>
      <c r="BN97" s="199">
        <f t="shared" si="247"/>
        <v>4250.6188364355594</v>
      </c>
      <c r="BO97" s="196">
        <f t="shared" si="274"/>
        <v>16048.035214614516</v>
      </c>
      <c r="BP97" s="197">
        <f t="shared" si="248"/>
        <v>3978.4398007900049</v>
      </c>
      <c r="BQ97" s="197">
        <f t="shared" si="248"/>
        <v>7461.2492293074665</v>
      </c>
      <c r="BR97" s="197">
        <f t="shared" si="248"/>
        <v>8586.7859853070477</v>
      </c>
      <c r="BS97" s="199">
        <f t="shared" si="248"/>
        <v>12565.225786097053</v>
      </c>
      <c r="BV97" s="204">
        <f t="shared" si="275"/>
        <v>10</v>
      </c>
      <c r="BW97" s="756">
        <f>'Energy NPV'!$D22</f>
        <v>25</v>
      </c>
      <c r="BX97" s="197">
        <f>'Energy margins'!$E$12</f>
        <v>269.5</v>
      </c>
      <c r="BY97" s="197">
        <f t="shared" si="276"/>
        <v>6737.5</v>
      </c>
      <c r="BZ97" s="197">
        <f>'Margins summary'!$Q$14</f>
        <v>471.64</v>
      </c>
      <c r="CA97" s="197">
        <f t="shared" si="249"/>
        <v>7209.14</v>
      </c>
      <c r="CB97" s="197"/>
      <c r="CC97" s="913">
        <f>'Energy NPV'!U22</f>
        <v>2318.3679999999999</v>
      </c>
      <c r="CD97" s="197"/>
      <c r="CE97" s="197">
        <f t="shared" si="250"/>
        <v>4636.7359999999999</v>
      </c>
      <c r="CF97" s="197">
        <f t="shared" si="222"/>
        <v>2100.7640000000001</v>
      </c>
      <c r="CG97" s="197">
        <f t="shared" si="223"/>
        <v>2572.4040000000005</v>
      </c>
      <c r="CH97" s="196">
        <f t="shared" si="251"/>
        <v>4733.6781309623702</v>
      </c>
      <c r="CI97" s="197">
        <f t="shared" si="252"/>
        <v>331.36800796839958</v>
      </c>
      <c r="CJ97" s="197">
        <f t="shared" si="253"/>
        <v>3257.7092099808442</v>
      </c>
      <c r="CK97" s="197">
        <f t="shared" si="254"/>
        <v>1475.9689209815263</v>
      </c>
      <c r="CL97" s="199">
        <f t="shared" si="255"/>
        <v>1807.3369289499262</v>
      </c>
      <c r="CM97" s="196">
        <f t="shared" si="277"/>
        <v>16048.035214614516</v>
      </c>
      <c r="CN97" s="197">
        <f t="shared" si="256"/>
        <v>3978.4398007900049</v>
      </c>
      <c r="CO97" s="197">
        <f t="shared" si="256"/>
        <v>29844.996917229866</v>
      </c>
      <c r="CP97" s="197">
        <f t="shared" si="256"/>
        <v>-13796.961702615357</v>
      </c>
      <c r="CQ97" s="199">
        <f t="shared" si="256"/>
        <v>-9818.5219018253465</v>
      </c>
      <c r="CT97" s="204">
        <f t="shared" si="278"/>
        <v>10</v>
      </c>
      <c r="CU97" s="756">
        <f>'Energy NPV'!$D22</f>
        <v>25</v>
      </c>
      <c r="CV97" s="197">
        <f>'Energy margins'!$E$12</f>
        <v>269.5</v>
      </c>
      <c r="CW97" s="197">
        <f t="shared" si="279"/>
        <v>6737.5</v>
      </c>
      <c r="CX97" s="197">
        <f>'Margins summary'!$Q$14</f>
        <v>471.64</v>
      </c>
      <c r="CY97" s="197">
        <f t="shared" si="257"/>
        <v>7209.14</v>
      </c>
      <c r="CZ97" s="197"/>
      <c r="DA97" s="913">
        <f>'Energy NPV'!U22</f>
        <v>2318.3679999999999</v>
      </c>
      <c r="DB97" s="197"/>
      <c r="DC97" s="197">
        <f t="shared" si="258"/>
        <v>0</v>
      </c>
      <c r="DD97" s="197">
        <f t="shared" si="224"/>
        <v>6737.5</v>
      </c>
      <c r="DE97" s="197">
        <f t="shared" si="225"/>
        <v>7209.14</v>
      </c>
      <c r="DF97" s="196">
        <f t="shared" si="259"/>
        <v>4733.6781309623702</v>
      </c>
      <c r="DG97" s="197">
        <f t="shared" si="260"/>
        <v>331.36800796839958</v>
      </c>
      <c r="DH97" s="197">
        <f t="shared" si="261"/>
        <v>0</v>
      </c>
      <c r="DI97" s="197">
        <f t="shared" si="262"/>
        <v>4733.6781309623702</v>
      </c>
      <c r="DJ97" s="199">
        <f t="shared" si="263"/>
        <v>5065.0461389307702</v>
      </c>
      <c r="DK97" s="196">
        <f t="shared" si="280"/>
        <v>16048.035214614516</v>
      </c>
      <c r="DL97" s="197">
        <f t="shared" si="264"/>
        <v>3978.4398007900049</v>
      </c>
      <c r="DM97" s="197">
        <f t="shared" si="264"/>
        <v>0</v>
      </c>
      <c r="DN97" s="197">
        <f t="shared" si="264"/>
        <v>16048.035214614516</v>
      </c>
      <c r="DO97" s="199">
        <f t="shared" si="264"/>
        <v>20026.475015404521</v>
      </c>
    </row>
    <row r="98" spans="2:119" x14ac:dyDescent="0.3">
      <c r="B98" s="204">
        <f t="shared" si="265"/>
        <v>11</v>
      </c>
      <c r="C98" s="756">
        <f>'Energy NPV'!$D23</f>
        <v>0</v>
      </c>
      <c r="D98" s="197">
        <f>'Energy margins'!$E$12</f>
        <v>269.5</v>
      </c>
      <c r="E98" s="197">
        <f t="shared" si="266"/>
        <v>0</v>
      </c>
      <c r="F98" s="197">
        <f>'Margins summary'!$Q$14</f>
        <v>471.64</v>
      </c>
      <c r="G98" s="197">
        <f t="shared" si="226"/>
        <v>471.64</v>
      </c>
      <c r="H98" s="197"/>
      <c r="I98" s="913">
        <f>'Energy NPV'!U23</f>
        <v>0</v>
      </c>
      <c r="J98" s="197"/>
      <c r="K98" s="197">
        <f t="shared" si="227"/>
        <v>0</v>
      </c>
      <c r="L98" s="197">
        <f t="shared" si="216"/>
        <v>0</v>
      </c>
      <c r="M98" s="197">
        <f t="shared" si="217"/>
        <v>471.64</v>
      </c>
      <c r="N98" s="196">
        <f t="shared" si="228"/>
        <v>0</v>
      </c>
      <c r="O98" s="197">
        <f t="shared" si="229"/>
        <v>318.62308458499962</v>
      </c>
      <c r="P98" s="197">
        <f t="shared" si="230"/>
        <v>0</v>
      </c>
      <c r="Q98" s="197">
        <f t="shared" si="231"/>
        <v>0</v>
      </c>
      <c r="R98" s="199">
        <f t="shared" si="232"/>
        <v>318.62308458499962</v>
      </c>
      <c r="S98" s="196">
        <f t="shared" si="267"/>
        <v>16048.035214614516</v>
      </c>
      <c r="T98" s="197">
        <f t="shared" si="233"/>
        <v>4297.062885375005</v>
      </c>
      <c r="U98" s="197">
        <f t="shared" si="233"/>
        <v>14922.498458614933</v>
      </c>
      <c r="V98" s="197">
        <f t="shared" si="233"/>
        <v>1125.5367559995796</v>
      </c>
      <c r="W98" s="199">
        <f t="shared" si="233"/>
        <v>5422.5996413745879</v>
      </c>
      <c r="Z98" s="204">
        <f t="shared" si="268"/>
        <v>11</v>
      </c>
      <c r="AA98" s="756">
        <f>'Energy NPV'!$D23</f>
        <v>0</v>
      </c>
      <c r="AB98" s="197">
        <f>'Energy margins'!$E$12</f>
        <v>269.5</v>
      </c>
      <c r="AC98" s="197">
        <f t="shared" si="269"/>
        <v>0</v>
      </c>
      <c r="AD98" s="197">
        <f>'Margins summary'!$Q$14</f>
        <v>471.64</v>
      </c>
      <c r="AE98" s="197">
        <f t="shared" si="234"/>
        <v>471.64</v>
      </c>
      <c r="AF98" s="197"/>
      <c r="AG98" s="913">
        <f>'Energy NPV'!U23</f>
        <v>0</v>
      </c>
      <c r="AH98" s="197"/>
      <c r="AI98" s="197">
        <f t="shared" si="270"/>
        <v>0</v>
      </c>
      <c r="AJ98" s="197">
        <f t="shared" si="218"/>
        <v>0</v>
      </c>
      <c r="AK98" s="197">
        <f t="shared" si="219"/>
        <v>471.64</v>
      </c>
      <c r="AL98" s="196">
        <f t="shared" si="235"/>
        <v>0</v>
      </c>
      <c r="AM98" s="197">
        <f t="shared" si="236"/>
        <v>318.62308458499962</v>
      </c>
      <c r="AN98" s="197">
        <f t="shared" si="237"/>
        <v>0</v>
      </c>
      <c r="AO98" s="197">
        <f t="shared" si="238"/>
        <v>0</v>
      </c>
      <c r="AP98" s="199">
        <f t="shared" si="239"/>
        <v>318.62308458499962</v>
      </c>
      <c r="AQ98" s="196">
        <f t="shared" si="271"/>
        <v>16048.035214614516</v>
      </c>
      <c r="AR98" s="197">
        <f t="shared" si="240"/>
        <v>4297.062885375005</v>
      </c>
      <c r="AS98" s="197">
        <f t="shared" si="240"/>
        <v>22383.747687922398</v>
      </c>
      <c r="AT98" s="197">
        <f t="shared" si="240"/>
        <v>-6335.7124733078854</v>
      </c>
      <c r="AU98" s="199">
        <f t="shared" si="240"/>
        <v>-2038.6495879328818</v>
      </c>
      <c r="AX98" s="204">
        <f t="shared" si="272"/>
        <v>11</v>
      </c>
      <c r="AY98" s="756">
        <f>'Energy NPV'!$D23</f>
        <v>0</v>
      </c>
      <c r="AZ98" s="197">
        <f>'Energy margins'!$E$12</f>
        <v>269.5</v>
      </c>
      <c r="BA98" s="197">
        <f t="shared" si="273"/>
        <v>0</v>
      </c>
      <c r="BB98" s="197">
        <f>'Margins summary'!$Q$14</f>
        <v>471.64</v>
      </c>
      <c r="BC98" s="197">
        <f t="shared" si="241"/>
        <v>471.64</v>
      </c>
      <c r="BD98" s="197"/>
      <c r="BE98" s="913">
        <f>'Energy NPV'!U23</f>
        <v>0</v>
      </c>
      <c r="BF98" s="197"/>
      <c r="BG98" s="197">
        <f t="shared" si="242"/>
        <v>0</v>
      </c>
      <c r="BH98" s="197">
        <f t="shared" si="220"/>
        <v>0</v>
      </c>
      <c r="BI98" s="197">
        <f t="shared" si="221"/>
        <v>471.64</v>
      </c>
      <c r="BJ98" s="196">
        <f t="shared" si="243"/>
        <v>0</v>
      </c>
      <c r="BK98" s="197">
        <f t="shared" si="244"/>
        <v>318.62308458499962</v>
      </c>
      <c r="BL98" s="197">
        <f t="shared" si="245"/>
        <v>0</v>
      </c>
      <c r="BM98" s="197">
        <f t="shared" si="246"/>
        <v>0</v>
      </c>
      <c r="BN98" s="199">
        <f t="shared" si="247"/>
        <v>318.62308458499962</v>
      </c>
      <c r="BO98" s="196">
        <f t="shared" si="274"/>
        <v>16048.035214614516</v>
      </c>
      <c r="BP98" s="197">
        <f t="shared" si="248"/>
        <v>4297.062885375005</v>
      </c>
      <c r="BQ98" s="197">
        <f t="shared" si="248"/>
        <v>7461.2492293074665</v>
      </c>
      <c r="BR98" s="197">
        <f t="shared" si="248"/>
        <v>8586.7859853070477</v>
      </c>
      <c r="BS98" s="199">
        <f t="shared" si="248"/>
        <v>12883.848870682054</v>
      </c>
      <c r="BV98" s="204">
        <f t="shared" si="275"/>
        <v>11</v>
      </c>
      <c r="BW98" s="756">
        <f>'Energy NPV'!$D23</f>
        <v>0</v>
      </c>
      <c r="BX98" s="197">
        <f>'Energy margins'!$E$12</f>
        <v>269.5</v>
      </c>
      <c r="BY98" s="197">
        <f t="shared" si="276"/>
        <v>0</v>
      </c>
      <c r="BZ98" s="197">
        <f>'Margins summary'!$Q$14</f>
        <v>471.64</v>
      </c>
      <c r="CA98" s="197">
        <f t="shared" si="249"/>
        <v>471.64</v>
      </c>
      <c r="CB98" s="197"/>
      <c r="CC98" s="913">
        <f>'Energy NPV'!U23</f>
        <v>0</v>
      </c>
      <c r="CD98" s="197"/>
      <c r="CE98" s="197">
        <f t="shared" si="250"/>
        <v>0</v>
      </c>
      <c r="CF98" s="197">
        <f t="shared" si="222"/>
        <v>0</v>
      </c>
      <c r="CG98" s="197">
        <f t="shared" si="223"/>
        <v>471.64</v>
      </c>
      <c r="CH98" s="196">
        <f t="shared" si="251"/>
        <v>0</v>
      </c>
      <c r="CI98" s="197">
        <f t="shared" si="252"/>
        <v>318.62308458499962</v>
      </c>
      <c r="CJ98" s="197">
        <f t="shared" si="253"/>
        <v>0</v>
      </c>
      <c r="CK98" s="197">
        <f t="shared" si="254"/>
        <v>0</v>
      </c>
      <c r="CL98" s="199">
        <f t="shared" si="255"/>
        <v>318.62308458499962</v>
      </c>
      <c r="CM98" s="196">
        <f t="shared" si="277"/>
        <v>16048.035214614516</v>
      </c>
      <c r="CN98" s="197">
        <f t="shared" si="256"/>
        <v>4297.062885375005</v>
      </c>
      <c r="CO98" s="197">
        <f t="shared" si="256"/>
        <v>29844.996917229866</v>
      </c>
      <c r="CP98" s="197">
        <f t="shared" si="256"/>
        <v>-13796.961702615357</v>
      </c>
      <c r="CQ98" s="199">
        <f t="shared" si="256"/>
        <v>-9499.898817240346</v>
      </c>
      <c r="CT98" s="204">
        <f t="shared" si="278"/>
        <v>11</v>
      </c>
      <c r="CU98" s="756">
        <f>'Energy NPV'!$D23</f>
        <v>0</v>
      </c>
      <c r="CV98" s="197">
        <f>'Energy margins'!$E$12</f>
        <v>269.5</v>
      </c>
      <c r="CW98" s="197">
        <f t="shared" si="279"/>
        <v>0</v>
      </c>
      <c r="CX98" s="197">
        <f>'Margins summary'!$Q$14</f>
        <v>471.64</v>
      </c>
      <c r="CY98" s="197">
        <f t="shared" si="257"/>
        <v>471.64</v>
      </c>
      <c r="CZ98" s="197"/>
      <c r="DA98" s="913">
        <f>'Energy NPV'!U23</f>
        <v>0</v>
      </c>
      <c r="DB98" s="197"/>
      <c r="DC98" s="197">
        <f t="shared" si="258"/>
        <v>0</v>
      </c>
      <c r="DD98" s="197">
        <f t="shared" si="224"/>
        <v>0</v>
      </c>
      <c r="DE98" s="197">
        <f t="shared" si="225"/>
        <v>471.64</v>
      </c>
      <c r="DF98" s="196">
        <f t="shared" si="259"/>
        <v>0</v>
      </c>
      <c r="DG98" s="197">
        <f t="shared" si="260"/>
        <v>318.62308458499962</v>
      </c>
      <c r="DH98" s="197">
        <f t="shared" si="261"/>
        <v>0</v>
      </c>
      <c r="DI98" s="197">
        <f t="shared" si="262"/>
        <v>0</v>
      </c>
      <c r="DJ98" s="199">
        <f t="shared" si="263"/>
        <v>318.62308458499962</v>
      </c>
      <c r="DK98" s="196">
        <f t="shared" si="280"/>
        <v>16048.035214614516</v>
      </c>
      <c r="DL98" s="197">
        <f t="shared" si="264"/>
        <v>4297.062885375005</v>
      </c>
      <c r="DM98" s="197">
        <f t="shared" si="264"/>
        <v>0</v>
      </c>
      <c r="DN98" s="197">
        <f t="shared" si="264"/>
        <v>16048.035214614516</v>
      </c>
      <c r="DO98" s="199">
        <f t="shared" si="264"/>
        <v>20345.098099989522</v>
      </c>
    </row>
    <row r="99" spans="2:119" x14ac:dyDescent="0.3">
      <c r="B99" s="204">
        <f t="shared" si="265"/>
        <v>12</v>
      </c>
      <c r="C99" s="756">
        <f>'Energy NPV'!$D24</f>
        <v>0</v>
      </c>
      <c r="D99" s="197">
        <f>'Energy margins'!$E$12</f>
        <v>269.5</v>
      </c>
      <c r="E99" s="197">
        <f t="shared" si="266"/>
        <v>0</v>
      </c>
      <c r="F99" s="197">
        <f>'Margins summary'!$Q$14</f>
        <v>471.64</v>
      </c>
      <c r="G99" s="197">
        <f t="shared" si="226"/>
        <v>471.64</v>
      </c>
      <c r="H99" s="197"/>
      <c r="I99" s="913">
        <f>'Energy NPV'!U24</f>
        <v>0</v>
      </c>
      <c r="J99" s="197"/>
      <c r="K99" s="197">
        <f t="shared" si="227"/>
        <v>0</v>
      </c>
      <c r="L99" s="197">
        <f t="shared" si="216"/>
        <v>0</v>
      </c>
      <c r="M99" s="197">
        <f t="shared" si="217"/>
        <v>471.64</v>
      </c>
      <c r="N99" s="196">
        <f t="shared" si="228"/>
        <v>0</v>
      </c>
      <c r="O99" s="197">
        <f t="shared" si="229"/>
        <v>306.36835056249964</v>
      </c>
      <c r="P99" s="197">
        <f t="shared" si="230"/>
        <v>0</v>
      </c>
      <c r="Q99" s="197">
        <f t="shared" si="231"/>
        <v>0</v>
      </c>
      <c r="R99" s="199">
        <f t="shared" si="232"/>
        <v>306.36835056249964</v>
      </c>
      <c r="S99" s="196">
        <f t="shared" si="267"/>
        <v>16048.035214614516</v>
      </c>
      <c r="T99" s="197">
        <f t="shared" si="233"/>
        <v>4603.4312359375044</v>
      </c>
      <c r="U99" s="197">
        <f t="shared" si="233"/>
        <v>14922.498458614933</v>
      </c>
      <c r="V99" s="197">
        <f t="shared" si="233"/>
        <v>1125.5367559995796</v>
      </c>
      <c r="W99" s="199">
        <f t="shared" si="233"/>
        <v>5728.9679919370874</v>
      </c>
      <c r="Z99" s="204">
        <f t="shared" si="268"/>
        <v>12</v>
      </c>
      <c r="AA99" s="756">
        <f>'Energy NPV'!$D24</f>
        <v>0</v>
      </c>
      <c r="AB99" s="197">
        <f>'Energy margins'!$E$12</f>
        <v>269.5</v>
      </c>
      <c r="AC99" s="197">
        <f t="shared" si="269"/>
        <v>0</v>
      </c>
      <c r="AD99" s="197">
        <f>'Margins summary'!$Q$14</f>
        <v>471.64</v>
      </c>
      <c r="AE99" s="197">
        <f t="shared" si="234"/>
        <v>471.64</v>
      </c>
      <c r="AF99" s="197"/>
      <c r="AG99" s="913">
        <f>'Energy NPV'!U24</f>
        <v>0</v>
      </c>
      <c r="AH99" s="197"/>
      <c r="AI99" s="197">
        <f t="shared" si="270"/>
        <v>0</v>
      </c>
      <c r="AJ99" s="197">
        <f t="shared" si="218"/>
        <v>0</v>
      </c>
      <c r="AK99" s="197">
        <f t="shared" si="219"/>
        <v>471.64</v>
      </c>
      <c r="AL99" s="196">
        <f t="shared" si="235"/>
        <v>0</v>
      </c>
      <c r="AM99" s="197">
        <f t="shared" si="236"/>
        <v>306.36835056249964</v>
      </c>
      <c r="AN99" s="197">
        <f t="shared" si="237"/>
        <v>0</v>
      </c>
      <c r="AO99" s="197">
        <f t="shared" si="238"/>
        <v>0</v>
      </c>
      <c r="AP99" s="199">
        <f t="shared" si="239"/>
        <v>306.36835056249964</v>
      </c>
      <c r="AQ99" s="196">
        <f t="shared" si="271"/>
        <v>16048.035214614516</v>
      </c>
      <c r="AR99" s="197">
        <f t="shared" si="240"/>
        <v>4603.4312359375044</v>
      </c>
      <c r="AS99" s="197">
        <f t="shared" si="240"/>
        <v>22383.747687922398</v>
      </c>
      <c r="AT99" s="197">
        <f t="shared" si="240"/>
        <v>-6335.7124733078854</v>
      </c>
      <c r="AU99" s="199">
        <f t="shared" si="240"/>
        <v>-1732.2812373703821</v>
      </c>
      <c r="AX99" s="204">
        <f t="shared" si="272"/>
        <v>12</v>
      </c>
      <c r="AY99" s="756">
        <f>'Energy NPV'!$D24</f>
        <v>0</v>
      </c>
      <c r="AZ99" s="197">
        <f>'Energy margins'!$E$12</f>
        <v>269.5</v>
      </c>
      <c r="BA99" s="197">
        <f t="shared" si="273"/>
        <v>0</v>
      </c>
      <c r="BB99" s="197">
        <f>'Margins summary'!$Q$14</f>
        <v>471.64</v>
      </c>
      <c r="BC99" s="197">
        <f t="shared" si="241"/>
        <v>471.64</v>
      </c>
      <c r="BD99" s="197"/>
      <c r="BE99" s="913">
        <f>'Energy NPV'!U24</f>
        <v>0</v>
      </c>
      <c r="BF99" s="197"/>
      <c r="BG99" s="197">
        <f t="shared" si="242"/>
        <v>0</v>
      </c>
      <c r="BH99" s="197">
        <f t="shared" si="220"/>
        <v>0</v>
      </c>
      <c r="BI99" s="197">
        <f t="shared" si="221"/>
        <v>471.64</v>
      </c>
      <c r="BJ99" s="196">
        <f t="shared" si="243"/>
        <v>0</v>
      </c>
      <c r="BK99" s="197">
        <f t="shared" si="244"/>
        <v>306.36835056249964</v>
      </c>
      <c r="BL99" s="197">
        <f t="shared" si="245"/>
        <v>0</v>
      </c>
      <c r="BM99" s="197">
        <f t="shared" si="246"/>
        <v>0</v>
      </c>
      <c r="BN99" s="199">
        <f t="shared" si="247"/>
        <v>306.36835056249964</v>
      </c>
      <c r="BO99" s="196">
        <f t="shared" si="274"/>
        <v>16048.035214614516</v>
      </c>
      <c r="BP99" s="197">
        <f t="shared" si="248"/>
        <v>4603.4312359375044</v>
      </c>
      <c r="BQ99" s="197">
        <f t="shared" si="248"/>
        <v>7461.2492293074665</v>
      </c>
      <c r="BR99" s="197">
        <f t="shared" si="248"/>
        <v>8586.7859853070477</v>
      </c>
      <c r="BS99" s="199">
        <f t="shared" si="248"/>
        <v>13190.217221244553</v>
      </c>
      <c r="BV99" s="204">
        <f t="shared" si="275"/>
        <v>12</v>
      </c>
      <c r="BW99" s="756">
        <f>'Energy NPV'!$D24</f>
        <v>0</v>
      </c>
      <c r="BX99" s="197">
        <f>'Energy margins'!$E$12</f>
        <v>269.5</v>
      </c>
      <c r="BY99" s="197">
        <f t="shared" si="276"/>
        <v>0</v>
      </c>
      <c r="BZ99" s="197">
        <f>'Margins summary'!$Q$14</f>
        <v>471.64</v>
      </c>
      <c r="CA99" s="197">
        <f t="shared" si="249"/>
        <v>471.64</v>
      </c>
      <c r="CB99" s="197"/>
      <c r="CC99" s="913">
        <f>'Energy NPV'!U24</f>
        <v>0</v>
      </c>
      <c r="CD99" s="197"/>
      <c r="CE99" s="197">
        <f t="shared" si="250"/>
        <v>0</v>
      </c>
      <c r="CF99" s="197">
        <f t="shared" si="222"/>
        <v>0</v>
      </c>
      <c r="CG99" s="197">
        <f t="shared" si="223"/>
        <v>471.64</v>
      </c>
      <c r="CH99" s="196">
        <f t="shared" si="251"/>
        <v>0</v>
      </c>
      <c r="CI99" s="197">
        <f t="shared" si="252"/>
        <v>306.36835056249964</v>
      </c>
      <c r="CJ99" s="197">
        <f t="shared" si="253"/>
        <v>0</v>
      </c>
      <c r="CK99" s="197">
        <f t="shared" si="254"/>
        <v>0</v>
      </c>
      <c r="CL99" s="199">
        <f t="shared" si="255"/>
        <v>306.36835056249964</v>
      </c>
      <c r="CM99" s="196">
        <f t="shared" si="277"/>
        <v>16048.035214614516</v>
      </c>
      <c r="CN99" s="197">
        <f t="shared" si="256"/>
        <v>4603.4312359375044</v>
      </c>
      <c r="CO99" s="197">
        <f t="shared" si="256"/>
        <v>29844.996917229866</v>
      </c>
      <c r="CP99" s="197">
        <f t="shared" si="256"/>
        <v>-13796.961702615357</v>
      </c>
      <c r="CQ99" s="199">
        <f t="shared" si="256"/>
        <v>-9193.5304666778466</v>
      </c>
      <c r="CT99" s="204">
        <f t="shared" si="278"/>
        <v>12</v>
      </c>
      <c r="CU99" s="756">
        <f>'Energy NPV'!$D24</f>
        <v>0</v>
      </c>
      <c r="CV99" s="197">
        <f>'Energy margins'!$E$12</f>
        <v>269.5</v>
      </c>
      <c r="CW99" s="197">
        <f t="shared" si="279"/>
        <v>0</v>
      </c>
      <c r="CX99" s="197">
        <f>'Margins summary'!$Q$14</f>
        <v>471.64</v>
      </c>
      <c r="CY99" s="197">
        <f t="shared" si="257"/>
        <v>471.64</v>
      </c>
      <c r="CZ99" s="197"/>
      <c r="DA99" s="913">
        <f>'Energy NPV'!U24</f>
        <v>0</v>
      </c>
      <c r="DB99" s="197"/>
      <c r="DC99" s="197">
        <f t="shared" si="258"/>
        <v>0</v>
      </c>
      <c r="DD99" s="197">
        <f t="shared" si="224"/>
        <v>0</v>
      </c>
      <c r="DE99" s="197">
        <f t="shared" si="225"/>
        <v>471.64</v>
      </c>
      <c r="DF99" s="196">
        <f t="shared" si="259"/>
        <v>0</v>
      </c>
      <c r="DG99" s="197">
        <f t="shared" si="260"/>
        <v>306.36835056249964</v>
      </c>
      <c r="DH99" s="197">
        <f t="shared" si="261"/>
        <v>0</v>
      </c>
      <c r="DI99" s="197">
        <f t="shared" si="262"/>
        <v>0</v>
      </c>
      <c r="DJ99" s="199">
        <f t="shared" si="263"/>
        <v>306.36835056249964</v>
      </c>
      <c r="DK99" s="196">
        <f t="shared" si="280"/>
        <v>16048.035214614516</v>
      </c>
      <c r="DL99" s="197">
        <f t="shared" si="264"/>
        <v>4603.4312359375044</v>
      </c>
      <c r="DM99" s="197">
        <f t="shared" si="264"/>
        <v>0</v>
      </c>
      <c r="DN99" s="197">
        <f t="shared" si="264"/>
        <v>16048.035214614516</v>
      </c>
      <c r="DO99" s="199">
        <f t="shared" si="264"/>
        <v>20651.466450552023</v>
      </c>
    </row>
    <row r="100" spans="2:119" x14ac:dyDescent="0.3">
      <c r="B100" s="204">
        <f t="shared" si="265"/>
        <v>13</v>
      </c>
      <c r="C100" s="756">
        <f>'Energy NPV'!$D25</f>
        <v>25</v>
      </c>
      <c r="D100" s="197">
        <f>'Energy margins'!$E$12</f>
        <v>269.5</v>
      </c>
      <c r="E100" s="197">
        <f t="shared" si="266"/>
        <v>6737.5</v>
      </c>
      <c r="F100" s="197">
        <f>'Margins summary'!$Q$14</f>
        <v>471.64</v>
      </c>
      <c r="G100" s="197">
        <f t="shared" si="226"/>
        <v>7209.14</v>
      </c>
      <c r="H100" s="197"/>
      <c r="I100" s="913">
        <f>'Energy NPV'!U25</f>
        <v>2120.8000000000002</v>
      </c>
      <c r="J100" s="197"/>
      <c r="K100" s="197">
        <f t="shared" si="227"/>
        <v>2120.8000000000002</v>
      </c>
      <c r="L100" s="197">
        <f t="shared" si="216"/>
        <v>4616.7</v>
      </c>
      <c r="M100" s="197">
        <f t="shared" si="217"/>
        <v>5088.34</v>
      </c>
      <c r="N100" s="196">
        <f t="shared" si="228"/>
        <v>4208.2226215456885</v>
      </c>
      <c r="O100" s="197">
        <f t="shared" si="229"/>
        <v>294.58495246394193</v>
      </c>
      <c r="P100" s="197">
        <f t="shared" si="230"/>
        <v>1324.6454227494023</v>
      </c>
      <c r="Q100" s="197">
        <f t="shared" si="231"/>
        <v>2883.5771987962867</v>
      </c>
      <c r="R100" s="199">
        <f t="shared" si="232"/>
        <v>3178.1621512602287</v>
      </c>
      <c r="S100" s="196">
        <f t="shared" si="267"/>
        <v>20256.257836160206</v>
      </c>
      <c r="T100" s="197">
        <f t="shared" si="233"/>
        <v>4898.016188401446</v>
      </c>
      <c r="U100" s="197">
        <f t="shared" si="233"/>
        <v>16247.143881364336</v>
      </c>
      <c r="V100" s="197">
        <f t="shared" si="233"/>
        <v>4009.1139547958664</v>
      </c>
      <c r="W100" s="199">
        <f t="shared" si="233"/>
        <v>8907.1301431973152</v>
      </c>
      <c r="Z100" s="204">
        <f t="shared" si="268"/>
        <v>13</v>
      </c>
      <c r="AA100" s="756">
        <f>'Energy NPV'!$D25</f>
        <v>25</v>
      </c>
      <c r="AB100" s="197">
        <f>'Energy margins'!$E$12</f>
        <v>269.5</v>
      </c>
      <c r="AC100" s="197">
        <f t="shared" si="269"/>
        <v>6737.5</v>
      </c>
      <c r="AD100" s="197">
        <f>'Margins summary'!$Q$14</f>
        <v>471.64</v>
      </c>
      <c r="AE100" s="197">
        <f t="shared" si="234"/>
        <v>7209.14</v>
      </c>
      <c r="AF100" s="197"/>
      <c r="AG100" s="913">
        <f>'Energy NPV'!U25</f>
        <v>2120.8000000000002</v>
      </c>
      <c r="AH100" s="197"/>
      <c r="AI100" s="197">
        <f t="shared" si="270"/>
        <v>3181.2000000000003</v>
      </c>
      <c r="AJ100" s="197">
        <f t="shared" si="218"/>
        <v>3556.2999999999997</v>
      </c>
      <c r="AK100" s="197">
        <f t="shared" si="219"/>
        <v>4027.94</v>
      </c>
      <c r="AL100" s="196">
        <f t="shared" si="235"/>
        <v>4208.2226215456885</v>
      </c>
      <c r="AM100" s="197">
        <f t="shared" si="236"/>
        <v>294.58495246394193</v>
      </c>
      <c r="AN100" s="197">
        <f t="shared" si="237"/>
        <v>1986.9681341241035</v>
      </c>
      <c r="AO100" s="197">
        <f t="shared" si="238"/>
        <v>2221.2544874215855</v>
      </c>
      <c r="AP100" s="199">
        <f t="shared" si="239"/>
        <v>2515.8394398855276</v>
      </c>
      <c r="AQ100" s="196">
        <f t="shared" si="271"/>
        <v>20256.257836160206</v>
      </c>
      <c r="AR100" s="197">
        <f t="shared" si="240"/>
        <v>4898.016188401446</v>
      </c>
      <c r="AS100" s="197">
        <f t="shared" si="240"/>
        <v>24370.715822046503</v>
      </c>
      <c r="AT100" s="197">
        <f t="shared" si="240"/>
        <v>-4114.4579858862999</v>
      </c>
      <c r="AU100" s="199">
        <f t="shared" si="240"/>
        <v>783.55820251514547</v>
      </c>
      <c r="AX100" s="204">
        <f t="shared" si="272"/>
        <v>13</v>
      </c>
      <c r="AY100" s="756">
        <f>'Energy NPV'!$D25</f>
        <v>25</v>
      </c>
      <c r="AZ100" s="197">
        <f>'Energy margins'!$E$12</f>
        <v>269.5</v>
      </c>
      <c r="BA100" s="197">
        <f t="shared" si="273"/>
        <v>6737.5</v>
      </c>
      <c r="BB100" s="197">
        <f>'Margins summary'!$Q$14</f>
        <v>471.64</v>
      </c>
      <c r="BC100" s="197">
        <f t="shared" si="241"/>
        <v>7209.14</v>
      </c>
      <c r="BD100" s="197"/>
      <c r="BE100" s="913">
        <f>'Energy NPV'!U25</f>
        <v>2120.8000000000002</v>
      </c>
      <c r="BF100" s="197"/>
      <c r="BG100" s="197">
        <f t="shared" si="242"/>
        <v>1060.4000000000001</v>
      </c>
      <c r="BH100" s="197">
        <f t="shared" si="220"/>
        <v>5677.1</v>
      </c>
      <c r="BI100" s="197">
        <f t="shared" si="221"/>
        <v>6148.74</v>
      </c>
      <c r="BJ100" s="196">
        <f t="shared" si="243"/>
        <v>4208.2226215456885</v>
      </c>
      <c r="BK100" s="197">
        <f t="shared" si="244"/>
        <v>294.58495246394193</v>
      </c>
      <c r="BL100" s="197">
        <f t="shared" si="245"/>
        <v>662.32271137470116</v>
      </c>
      <c r="BM100" s="197">
        <f t="shared" si="246"/>
        <v>3545.8999101709878</v>
      </c>
      <c r="BN100" s="199">
        <f t="shared" si="247"/>
        <v>3840.4848626349294</v>
      </c>
      <c r="BO100" s="196">
        <f t="shared" si="274"/>
        <v>20256.257836160206</v>
      </c>
      <c r="BP100" s="197">
        <f t="shared" si="248"/>
        <v>4898.016188401446</v>
      </c>
      <c r="BQ100" s="197">
        <f t="shared" si="248"/>
        <v>8123.5719406821681</v>
      </c>
      <c r="BR100" s="197">
        <f t="shared" si="248"/>
        <v>12132.685895478036</v>
      </c>
      <c r="BS100" s="199">
        <f t="shared" si="248"/>
        <v>17030.702083879482</v>
      </c>
      <c r="BV100" s="204">
        <f t="shared" si="275"/>
        <v>13</v>
      </c>
      <c r="BW100" s="756">
        <f>'Energy NPV'!$D25</f>
        <v>25</v>
      </c>
      <c r="BX100" s="197">
        <f>'Energy margins'!$E$12</f>
        <v>269.5</v>
      </c>
      <c r="BY100" s="197">
        <f t="shared" si="276"/>
        <v>6737.5</v>
      </c>
      <c r="BZ100" s="197">
        <f>'Margins summary'!$Q$14</f>
        <v>471.64</v>
      </c>
      <c r="CA100" s="197">
        <f t="shared" si="249"/>
        <v>7209.14</v>
      </c>
      <c r="CB100" s="197"/>
      <c r="CC100" s="913">
        <f>'Energy NPV'!U25</f>
        <v>2120.8000000000002</v>
      </c>
      <c r="CD100" s="197"/>
      <c r="CE100" s="197">
        <f t="shared" si="250"/>
        <v>4241.6000000000004</v>
      </c>
      <c r="CF100" s="197">
        <f t="shared" si="222"/>
        <v>2495.8999999999996</v>
      </c>
      <c r="CG100" s="197">
        <f t="shared" si="223"/>
        <v>2967.54</v>
      </c>
      <c r="CH100" s="196">
        <f t="shared" si="251"/>
        <v>4208.2226215456885</v>
      </c>
      <c r="CI100" s="197">
        <f t="shared" si="252"/>
        <v>294.58495246394193</v>
      </c>
      <c r="CJ100" s="197">
        <f t="shared" si="253"/>
        <v>2649.2908454988046</v>
      </c>
      <c r="CK100" s="197">
        <f t="shared" si="254"/>
        <v>1558.9317760468844</v>
      </c>
      <c r="CL100" s="199">
        <f t="shared" si="255"/>
        <v>1853.5167285108264</v>
      </c>
      <c r="CM100" s="196">
        <f t="shared" si="277"/>
        <v>20256.257836160206</v>
      </c>
      <c r="CN100" s="197">
        <f t="shared" si="256"/>
        <v>4898.016188401446</v>
      </c>
      <c r="CO100" s="197">
        <f t="shared" si="256"/>
        <v>32494.287762728673</v>
      </c>
      <c r="CP100" s="197">
        <f t="shared" si="256"/>
        <v>-12238.029926568473</v>
      </c>
      <c r="CQ100" s="199">
        <f t="shared" si="256"/>
        <v>-7340.0137381670202</v>
      </c>
      <c r="CT100" s="204">
        <f t="shared" si="278"/>
        <v>13</v>
      </c>
      <c r="CU100" s="756">
        <f>'Energy NPV'!$D25</f>
        <v>25</v>
      </c>
      <c r="CV100" s="197">
        <f>'Energy margins'!$E$12</f>
        <v>269.5</v>
      </c>
      <c r="CW100" s="197">
        <f t="shared" si="279"/>
        <v>6737.5</v>
      </c>
      <c r="CX100" s="197">
        <f>'Margins summary'!$Q$14</f>
        <v>471.64</v>
      </c>
      <c r="CY100" s="197">
        <f t="shared" si="257"/>
        <v>7209.14</v>
      </c>
      <c r="CZ100" s="197"/>
      <c r="DA100" s="913">
        <f>'Energy NPV'!U25</f>
        <v>2120.8000000000002</v>
      </c>
      <c r="DB100" s="197"/>
      <c r="DC100" s="197">
        <f t="shared" si="258"/>
        <v>0</v>
      </c>
      <c r="DD100" s="197">
        <f t="shared" si="224"/>
        <v>6737.5</v>
      </c>
      <c r="DE100" s="197">
        <f t="shared" si="225"/>
        <v>7209.14</v>
      </c>
      <c r="DF100" s="196">
        <f t="shared" si="259"/>
        <v>4208.2226215456885</v>
      </c>
      <c r="DG100" s="197">
        <f t="shared" si="260"/>
        <v>294.58495246394193</v>
      </c>
      <c r="DH100" s="197">
        <f t="shared" si="261"/>
        <v>0</v>
      </c>
      <c r="DI100" s="197">
        <f t="shared" si="262"/>
        <v>4208.2226215456885</v>
      </c>
      <c r="DJ100" s="199">
        <f t="shared" si="263"/>
        <v>4502.807574009631</v>
      </c>
      <c r="DK100" s="196">
        <f t="shared" si="280"/>
        <v>20256.257836160206</v>
      </c>
      <c r="DL100" s="197">
        <f t="shared" si="264"/>
        <v>4898.016188401446</v>
      </c>
      <c r="DM100" s="197">
        <f t="shared" si="264"/>
        <v>0</v>
      </c>
      <c r="DN100" s="197">
        <f t="shared" si="264"/>
        <v>20256.257836160206</v>
      </c>
      <c r="DO100" s="199">
        <f t="shared" si="264"/>
        <v>25154.274024561655</v>
      </c>
    </row>
    <row r="101" spans="2:119" x14ac:dyDescent="0.3">
      <c r="B101" s="204">
        <f t="shared" si="265"/>
        <v>14</v>
      </c>
      <c r="C101" s="756">
        <f>'Energy NPV'!$D26</f>
        <v>0</v>
      </c>
      <c r="D101" s="197">
        <f>'Energy margins'!$E$12</f>
        <v>269.5</v>
      </c>
      <c r="E101" s="197">
        <f t="shared" si="266"/>
        <v>0</v>
      </c>
      <c r="F101" s="197">
        <f>'Margins summary'!$Q$14</f>
        <v>471.64</v>
      </c>
      <c r="G101" s="197">
        <f t="shared" si="226"/>
        <v>471.64</v>
      </c>
      <c r="H101" s="197"/>
      <c r="I101" s="913">
        <f>'Energy NPV'!U26</f>
        <v>0</v>
      </c>
      <c r="J101" s="197"/>
      <c r="K101" s="197">
        <f t="shared" si="227"/>
        <v>0</v>
      </c>
      <c r="L101" s="197">
        <f t="shared" si="216"/>
        <v>0</v>
      </c>
      <c r="M101" s="197">
        <f t="shared" si="217"/>
        <v>471.64</v>
      </c>
      <c r="N101" s="196">
        <f t="shared" si="228"/>
        <v>0</v>
      </c>
      <c r="O101" s="197">
        <f t="shared" si="229"/>
        <v>283.25476198455954</v>
      </c>
      <c r="P101" s="197">
        <f t="shared" si="230"/>
        <v>0</v>
      </c>
      <c r="Q101" s="197">
        <f t="shared" si="231"/>
        <v>0</v>
      </c>
      <c r="R101" s="199">
        <f t="shared" si="232"/>
        <v>283.25476198455954</v>
      </c>
      <c r="S101" s="196">
        <f t="shared" si="267"/>
        <v>20256.257836160206</v>
      </c>
      <c r="T101" s="197">
        <f t="shared" si="233"/>
        <v>5181.270950386006</v>
      </c>
      <c r="U101" s="197">
        <f t="shared" si="233"/>
        <v>16247.143881364336</v>
      </c>
      <c r="V101" s="197">
        <f t="shared" si="233"/>
        <v>4009.1139547958664</v>
      </c>
      <c r="W101" s="199">
        <f t="shared" si="233"/>
        <v>9190.3849051818743</v>
      </c>
      <c r="Z101" s="204">
        <f t="shared" si="268"/>
        <v>14</v>
      </c>
      <c r="AA101" s="756">
        <f>'Energy NPV'!$D26</f>
        <v>0</v>
      </c>
      <c r="AB101" s="197">
        <f>'Energy margins'!$E$12</f>
        <v>269.5</v>
      </c>
      <c r="AC101" s="197">
        <f t="shared" si="269"/>
        <v>0</v>
      </c>
      <c r="AD101" s="197">
        <f>'Margins summary'!$Q$14</f>
        <v>471.64</v>
      </c>
      <c r="AE101" s="197">
        <f t="shared" si="234"/>
        <v>471.64</v>
      </c>
      <c r="AF101" s="197"/>
      <c r="AG101" s="913">
        <f>'Energy NPV'!U26</f>
        <v>0</v>
      </c>
      <c r="AH101" s="197"/>
      <c r="AI101" s="197">
        <f t="shared" si="270"/>
        <v>0</v>
      </c>
      <c r="AJ101" s="197">
        <f t="shared" si="218"/>
        <v>0</v>
      </c>
      <c r="AK101" s="197">
        <f t="shared" si="219"/>
        <v>471.64</v>
      </c>
      <c r="AL101" s="196">
        <f t="shared" si="235"/>
        <v>0</v>
      </c>
      <c r="AM101" s="197">
        <f t="shared" si="236"/>
        <v>283.25476198455954</v>
      </c>
      <c r="AN101" s="197">
        <f t="shared" si="237"/>
        <v>0</v>
      </c>
      <c r="AO101" s="197">
        <f t="shared" si="238"/>
        <v>0</v>
      </c>
      <c r="AP101" s="199">
        <f t="shared" si="239"/>
        <v>283.25476198455954</v>
      </c>
      <c r="AQ101" s="196">
        <f t="shared" si="271"/>
        <v>20256.257836160206</v>
      </c>
      <c r="AR101" s="197">
        <f t="shared" si="240"/>
        <v>5181.270950386006</v>
      </c>
      <c r="AS101" s="197">
        <f t="shared" si="240"/>
        <v>24370.715822046503</v>
      </c>
      <c r="AT101" s="197">
        <f t="shared" si="240"/>
        <v>-4114.4579858862999</v>
      </c>
      <c r="AU101" s="199">
        <f t="shared" si="240"/>
        <v>1066.812964499705</v>
      </c>
      <c r="AX101" s="204">
        <f t="shared" si="272"/>
        <v>14</v>
      </c>
      <c r="AY101" s="756">
        <f>'Energy NPV'!$D26</f>
        <v>0</v>
      </c>
      <c r="AZ101" s="197">
        <f>'Energy margins'!$E$12</f>
        <v>269.5</v>
      </c>
      <c r="BA101" s="197">
        <f t="shared" si="273"/>
        <v>0</v>
      </c>
      <c r="BB101" s="197">
        <f>'Margins summary'!$Q$14</f>
        <v>471.64</v>
      </c>
      <c r="BC101" s="197">
        <f t="shared" si="241"/>
        <v>471.64</v>
      </c>
      <c r="BD101" s="197"/>
      <c r="BE101" s="913">
        <f>'Energy NPV'!U26</f>
        <v>0</v>
      </c>
      <c r="BF101" s="197"/>
      <c r="BG101" s="197">
        <f t="shared" si="242"/>
        <v>0</v>
      </c>
      <c r="BH101" s="197">
        <f t="shared" si="220"/>
        <v>0</v>
      </c>
      <c r="BI101" s="197">
        <f t="shared" si="221"/>
        <v>471.64</v>
      </c>
      <c r="BJ101" s="196">
        <f t="shared" si="243"/>
        <v>0</v>
      </c>
      <c r="BK101" s="197">
        <f t="shared" si="244"/>
        <v>283.25476198455954</v>
      </c>
      <c r="BL101" s="197">
        <f t="shared" si="245"/>
        <v>0</v>
      </c>
      <c r="BM101" s="197">
        <f t="shared" si="246"/>
        <v>0</v>
      </c>
      <c r="BN101" s="199">
        <f t="shared" si="247"/>
        <v>283.25476198455954</v>
      </c>
      <c r="BO101" s="196">
        <f t="shared" si="274"/>
        <v>20256.257836160206</v>
      </c>
      <c r="BP101" s="197">
        <f t="shared" si="248"/>
        <v>5181.270950386006</v>
      </c>
      <c r="BQ101" s="197">
        <f t="shared" si="248"/>
        <v>8123.5719406821681</v>
      </c>
      <c r="BR101" s="197">
        <f t="shared" si="248"/>
        <v>12132.685895478036</v>
      </c>
      <c r="BS101" s="199">
        <f t="shared" si="248"/>
        <v>17313.956845864042</v>
      </c>
      <c r="BV101" s="204">
        <f t="shared" si="275"/>
        <v>14</v>
      </c>
      <c r="BW101" s="756">
        <f>'Energy NPV'!$D26</f>
        <v>0</v>
      </c>
      <c r="BX101" s="197">
        <f>'Energy margins'!$E$12</f>
        <v>269.5</v>
      </c>
      <c r="BY101" s="197">
        <f t="shared" si="276"/>
        <v>0</v>
      </c>
      <c r="BZ101" s="197">
        <f>'Margins summary'!$Q$14</f>
        <v>471.64</v>
      </c>
      <c r="CA101" s="197">
        <f t="shared" si="249"/>
        <v>471.64</v>
      </c>
      <c r="CB101" s="197"/>
      <c r="CC101" s="913">
        <f>'Energy NPV'!U26</f>
        <v>0</v>
      </c>
      <c r="CD101" s="197"/>
      <c r="CE101" s="197">
        <f t="shared" si="250"/>
        <v>0</v>
      </c>
      <c r="CF101" s="197">
        <f t="shared" si="222"/>
        <v>0</v>
      </c>
      <c r="CG101" s="197">
        <f t="shared" si="223"/>
        <v>471.64</v>
      </c>
      <c r="CH101" s="196">
        <f t="shared" si="251"/>
        <v>0</v>
      </c>
      <c r="CI101" s="197">
        <f t="shared" si="252"/>
        <v>283.25476198455954</v>
      </c>
      <c r="CJ101" s="197">
        <f t="shared" si="253"/>
        <v>0</v>
      </c>
      <c r="CK101" s="197">
        <f t="shared" si="254"/>
        <v>0</v>
      </c>
      <c r="CL101" s="199">
        <f t="shared" si="255"/>
        <v>283.25476198455954</v>
      </c>
      <c r="CM101" s="196">
        <f t="shared" si="277"/>
        <v>20256.257836160206</v>
      </c>
      <c r="CN101" s="197">
        <f t="shared" si="256"/>
        <v>5181.270950386006</v>
      </c>
      <c r="CO101" s="197">
        <f t="shared" si="256"/>
        <v>32494.287762728673</v>
      </c>
      <c r="CP101" s="197">
        <f t="shared" si="256"/>
        <v>-12238.029926568473</v>
      </c>
      <c r="CQ101" s="199">
        <f t="shared" si="256"/>
        <v>-7056.7589761824602</v>
      </c>
      <c r="CT101" s="204">
        <f t="shared" si="278"/>
        <v>14</v>
      </c>
      <c r="CU101" s="756">
        <f>'Energy NPV'!$D26</f>
        <v>0</v>
      </c>
      <c r="CV101" s="197">
        <f>'Energy margins'!$E$12</f>
        <v>269.5</v>
      </c>
      <c r="CW101" s="197">
        <f t="shared" si="279"/>
        <v>0</v>
      </c>
      <c r="CX101" s="197">
        <f>'Margins summary'!$Q$14</f>
        <v>471.64</v>
      </c>
      <c r="CY101" s="197">
        <f t="shared" si="257"/>
        <v>471.64</v>
      </c>
      <c r="CZ101" s="197"/>
      <c r="DA101" s="913">
        <f>'Energy NPV'!U26</f>
        <v>0</v>
      </c>
      <c r="DB101" s="197"/>
      <c r="DC101" s="197">
        <f t="shared" si="258"/>
        <v>0</v>
      </c>
      <c r="DD101" s="197">
        <f t="shared" si="224"/>
        <v>0</v>
      </c>
      <c r="DE101" s="197">
        <f t="shared" si="225"/>
        <v>471.64</v>
      </c>
      <c r="DF101" s="196">
        <f t="shared" si="259"/>
        <v>0</v>
      </c>
      <c r="DG101" s="197">
        <f t="shared" si="260"/>
        <v>283.25476198455954</v>
      </c>
      <c r="DH101" s="197">
        <f t="shared" si="261"/>
        <v>0</v>
      </c>
      <c r="DI101" s="197">
        <f t="shared" si="262"/>
        <v>0</v>
      </c>
      <c r="DJ101" s="199">
        <f t="shared" si="263"/>
        <v>283.25476198455954</v>
      </c>
      <c r="DK101" s="196">
        <f t="shared" si="280"/>
        <v>20256.257836160206</v>
      </c>
      <c r="DL101" s="197">
        <f t="shared" si="264"/>
        <v>5181.270950386006</v>
      </c>
      <c r="DM101" s="197">
        <f t="shared" si="264"/>
        <v>0</v>
      </c>
      <c r="DN101" s="197">
        <f t="shared" si="264"/>
        <v>20256.257836160206</v>
      </c>
      <c r="DO101" s="199">
        <f t="shared" si="264"/>
        <v>25437.528786546216</v>
      </c>
    </row>
    <row r="102" spans="2:119" x14ac:dyDescent="0.3">
      <c r="B102" s="204">
        <f t="shared" si="265"/>
        <v>15</v>
      </c>
      <c r="C102" s="756">
        <f>'Energy NPV'!$D27</f>
        <v>0</v>
      </c>
      <c r="D102" s="197">
        <f>'Energy margins'!$E$12</f>
        <v>269.5</v>
      </c>
      <c r="E102" s="197">
        <f t="shared" si="266"/>
        <v>0</v>
      </c>
      <c r="F102" s="197">
        <f>'Margins summary'!$Q$14</f>
        <v>471.64</v>
      </c>
      <c r="G102" s="197">
        <f t="shared" si="226"/>
        <v>471.64</v>
      </c>
      <c r="H102" s="197"/>
      <c r="I102" s="913">
        <f>'Energy NPV'!U27</f>
        <v>0</v>
      </c>
      <c r="J102" s="197"/>
      <c r="K102" s="197">
        <f t="shared" si="227"/>
        <v>0</v>
      </c>
      <c r="L102" s="197">
        <f t="shared" si="216"/>
        <v>0</v>
      </c>
      <c r="M102" s="197">
        <f t="shared" si="217"/>
        <v>471.64</v>
      </c>
      <c r="N102" s="196">
        <f t="shared" si="228"/>
        <v>0</v>
      </c>
      <c r="O102" s="197">
        <f t="shared" si="229"/>
        <v>272.36034806207647</v>
      </c>
      <c r="P102" s="197">
        <f t="shared" si="230"/>
        <v>0</v>
      </c>
      <c r="Q102" s="197">
        <f t="shared" si="231"/>
        <v>0</v>
      </c>
      <c r="R102" s="199">
        <f t="shared" si="232"/>
        <v>272.36034806207647</v>
      </c>
      <c r="S102" s="196">
        <f t="shared" si="267"/>
        <v>20256.257836160206</v>
      </c>
      <c r="T102" s="197">
        <f t="shared" si="233"/>
        <v>5453.6312984480828</v>
      </c>
      <c r="U102" s="197">
        <f t="shared" si="233"/>
        <v>16247.143881364336</v>
      </c>
      <c r="V102" s="197">
        <f t="shared" si="233"/>
        <v>4009.1139547958664</v>
      </c>
      <c r="W102" s="199">
        <f t="shared" si="233"/>
        <v>9462.7452532439511</v>
      </c>
      <c r="Z102" s="204">
        <f t="shared" si="268"/>
        <v>15</v>
      </c>
      <c r="AA102" s="756">
        <f>'Energy NPV'!$D27</f>
        <v>0</v>
      </c>
      <c r="AB102" s="197">
        <f>'Energy margins'!$E$12</f>
        <v>269.5</v>
      </c>
      <c r="AC102" s="197">
        <f t="shared" si="269"/>
        <v>0</v>
      </c>
      <c r="AD102" s="197">
        <f>'Margins summary'!$Q$14</f>
        <v>471.64</v>
      </c>
      <c r="AE102" s="197">
        <f t="shared" si="234"/>
        <v>471.64</v>
      </c>
      <c r="AF102" s="197"/>
      <c r="AG102" s="913">
        <f>'Energy NPV'!U27</f>
        <v>0</v>
      </c>
      <c r="AH102" s="197"/>
      <c r="AI102" s="197">
        <f t="shared" si="270"/>
        <v>0</v>
      </c>
      <c r="AJ102" s="197">
        <f t="shared" si="218"/>
        <v>0</v>
      </c>
      <c r="AK102" s="197">
        <f t="shared" si="219"/>
        <v>471.64</v>
      </c>
      <c r="AL102" s="196">
        <f t="shared" si="235"/>
        <v>0</v>
      </c>
      <c r="AM102" s="197">
        <f t="shared" si="236"/>
        <v>272.36034806207647</v>
      </c>
      <c r="AN102" s="197">
        <f t="shared" si="237"/>
        <v>0</v>
      </c>
      <c r="AO102" s="197">
        <f t="shared" si="238"/>
        <v>0</v>
      </c>
      <c r="AP102" s="199">
        <f t="shared" si="239"/>
        <v>272.36034806207647</v>
      </c>
      <c r="AQ102" s="196">
        <f t="shared" si="271"/>
        <v>20256.257836160206</v>
      </c>
      <c r="AR102" s="197">
        <f t="shared" si="240"/>
        <v>5453.6312984480828</v>
      </c>
      <c r="AS102" s="197">
        <f t="shared" si="240"/>
        <v>24370.715822046503</v>
      </c>
      <c r="AT102" s="197">
        <f t="shared" si="240"/>
        <v>-4114.4579858862999</v>
      </c>
      <c r="AU102" s="199">
        <f t="shared" si="240"/>
        <v>1339.1733125617816</v>
      </c>
      <c r="AX102" s="204">
        <f t="shared" si="272"/>
        <v>15</v>
      </c>
      <c r="AY102" s="756">
        <f>'Energy NPV'!$D27</f>
        <v>0</v>
      </c>
      <c r="AZ102" s="197">
        <f>'Energy margins'!$E$12</f>
        <v>269.5</v>
      </c>
      <c r="BA102" s="197">
        <f t="shared" si="273"/>
        <v>0</v>
      </c>
      <c r="BB102" s="197">
        <f>'Margins summary'!$Q$14</f>
        <v>471.64</v>
      </c>
      <c r="BC102" s="197">
        <f t="shared" si="241"/>
        <v>471.64</v>
      </c>
      <c r="BD102" s="197"/>
      <c r="BE102" s="913">
        <f>'Energy NPV'!U27</f>
        <v>0</v>
      </c>
      <c r="BF102" s="197"/>
      <c r="BG102" s="197">
        <f t="shared" si="242"/>
        <v>0</v>
      </c>
      <c r="BH102" s="197">
        <f t="shared" si="220"/>
        <v>0</v>
      </c>
      <c r="BI102" s="197">
        <f t="shared" si="221"/>
        <v>471.64</v>
      </c>
      <c r="BJ102" s="196">
        <f t="shared" si="243"/>
        <v>0</v>
      </c>
      <c r="BK102" s="197">
        <f t="shared" si="244"/>
        <v>272.36034806207647</v>
      </c>
      <c r="BL102" s="197">
        <f t="shared" si="245"/>
        <v>0</v>
      </c>
      <c r="BM102" s="197">
        <f t="shared" si="246"/>
        <v>0</v>
      </c>
      <c r="BN102" s="199">
        <f t="shared" si="247"/>
        <v>272.36034806207647</v>
      </c>
      <c r="BO102" s="196">
        <f t="shared" si="274"/>
        <v>20256.257836160206</v>
      </c>
      <c r="BP102" s="197">
        <f t="shared" si="248"/>
        <v>5453.6312984480828</v>
      </c>
      <c r="BQ102" s="197">
        <f t="shared" si="248"/>
        <v>8123.5719406821681</v>
      </c>
      <c r="BR102" s="197">
        <f t="shared" si="248"/>
        <v>12132.685895478036</v>
      </c>
      <c r="BS102" s="199">
        <f t="shared" si="248"/>
        <v>17586.317193926119</v>
      </c>
      <c r="BV102" s="204">
        <f t="shared" si="275"/>
        <v>15</v>
      </c>
      <c r="BW102" s="756">
        <f>'Energy NPV'!$D27</f>
        <v>0</v>
      </c>
      <c r="BX102" s="197">
        <f>'Energy margins'!$E$12</f>
        <v>269.5</v>
      </c>
      <c r="BY102" s="197">
        <f t="shared" si="276"/>
        <v>0</v>
      </c>
      <c r="BZ102" s="197">
        <f>'Margins summary'!$Q$14</f>
        <v>471.64</v>
      </c>
      <c r="CA102" s="197">
        <f t="shared" si="249"/>
        <v>471.64</v>
      </c>
      <c r="CB102" s="197"/>
      <c r="CC102" s="913">
        <f>'Energy NPV'!U27</f>
        <v>0</v>
      </c>
      <c r="CD102" s="197"/>
      <c r="CE102" s="197">
        <f t="shared" si="250"/>
        <v>0</v>
      </c>
      <c r="CF102" s="197">
        <f t="shared" si="222"/>
        <v>0</v>
      </c>
      <c r="CG102" s="197">
        <f t="shared" si="223"/>
        <v>471.64</v>
      </c>
      <c r="CH102" s="196">
        <f t="shared" si="251"/>
        <v>0</v>
      </c>
      <c r="CI102" s="197">
        <f t="shared" si="252"/>
        <v>272.36034806207647</v>
      </c>
      <c r="CJ102" s="197">
        <f t="shared" si="253"/>
        <v>0</v>
      </c>
      <c r="CK102" s="197">
        <f t="shared" si="254"/>
        <v>0</v>
      </c>
      <c r="CL102" s="199">
        <f t="shared" si="255"/>
        <v>272.36034806207647</v>
      </c>
      <c r="CM102" s="196">
        <f t="shared" si="277"/>
        <v>20256.257836160206</v>
      </c>
      <c r="CN102" s="197">
        <f t="shared" si="256"/>
        <v>5453.6312984480828</v>
      </c>
      <c r="CO102" s="197">
        <f t="shared" si="256"/>
        <v>32494.287762728673</v>
      </c>
      <c r="CP102" s="197">
        <f t="shared" si="256"/>
        <v>-12238.029926568473</v>
      </c>
      <c r="CQ102" s="199">
        <f t="shared" si="256"/>
        <v>-6784.3986281203834</v>
      </c>
      <c r="CT102" s="204">
        <f t="shared" si="278"/>
        <v>15</v>
      </c>
      <c r="CU102" s="756">
        <f>'Energy NPV'!$D27</f>
        <v>0</v>
      </c>
      <c r="CV102" s="197">
        <f>'Energy margins'!$E$12</f>
        <v>269.5</v>
      </c>
      <c r="CW102" s="197">
        <f t="shared" si="279"/>
        <v>0</v>
      </c>
      <c r="CX102" s="197">
        <f>'Margins summary'!$Q$14</f>
        <v>471.64</v>
      </c>
      <c r="CY102" s="197">
        <f t="shared" si="257"/>
        <v>471.64</v>
      </c>
      <c r="CZ102" s="197"/>
      <c r="DA102" s="913">
        <f>'Energy NPV'!U27</f>
        <v>0</v>
      </c>
      <c r="DB102" s="197"/>
      <c r="DC102" s="197">
        <f t="shared" si="258"/>
        <v>0</v>
      </c>
      <c r="DD102" s="197">
        <f t="shared" si="224"/>
        <v>0</v>
      </c>
      <c r="DE102" s="197">
        <f t="shared" si="225"/>
        <v>471.64</v>
      </c>
      <c r="DF102" s="196">
        <f t="shared" si="259"/>
        <v>0</v>
      </c>
      <c r="DG102" s="197">
        <f t="shared" si="260"/>
        <v>272.36034806207647</v>
      </c>
      <c r="DH102" s="197">
        <f t="shared" si="261"/>
        <v>0</v>
      </c>
      <c r="DI102" s="197">
        <f t="shared" si="262"/>
        <v>0</v>
      </c>
      <c r="DJ102" s="199">
        <f t="shared" si="263"/>
        <v>272.36034806207647</v>
      </c>
      <c r="DK102" s="196">
        <f t="shared" si="280"/>
        <v>20256.257836160206</v>
      </c>
      <c r="DL102" s="197">
        <f t="shared" si="264"/>
        <v>5453.6312984480828</v>
      </c>
      <c r="DM102" s="197">
        <f t="shared" si="264"/>
        <v>0</v>
      </c>
      <c r="DN102" s="197">
        <f t="shared" si="264"/>
        <v>20256.257836160206</v>
      </c>
      <c r="DO102" s="199">
        <f t="shared" si="264"/>
        <v>25709.889134608293</v>
      </c>
    </row>
    <row r="103" spans="2:119" x14ac:dyDescent="0.3">
      <c r="B103" s="206">
        <f t="shared" si="265"/>
        <v>16</v>
      </c>
      <c r="C103" s="215">
        <f>'Energy NPV'!$D28</f>
        <v>25</v>
      </c>
      <c r="D103" s="207">
        <f>'Energy margins'!$E$12</f>
        <v>269.5</v>
      </c>
      <c r="E103" s="207">
        <f t="shared" si="266"/>
        <v>6737.5</v>
      </c>
      <c r="F103" s="207">
        <f>'Margins summary'!$Q$14</f>
        <v>471.64</v>
      </c>
      <c r="G103" s="207">
        <f t="shared" si="226"/>
        <v>7209.14</v>
      </c>
      <c r="H103" s="207"/>
      <c r="I103" s="914">
        <f>'Energy NPV'!U28</f>
        <v>2120.8000000000002</v>
      </c>
      <c r="J103" s="207">
        <f>'Energy margins'!$J$67</f>
        <v>2100</v>
      </c>
      <c r="K103" s="207">
        <f t="shared" si="227"/>
        <v>4220.8</v>
      </c>
      <c r="L103" s="207">
        <f t="shared" si="216"/>
        <v>2516.6999999999998</v>
      </c>
      <c r="M103" s="207">
        <f t="shared" si="217"/>
        <v>2988.34</v>
      </c>
      <c r="N103" s="208">
        <f t="shared" si="228"/>
        <v>3741.0945870306891</v>
      </c>
      <c r="O103" s="207">
        <f t="shared" si="229"/>
        <v>261.88495005968895</v>
      </c>
      <c r="P103" s="207">
        <f t="shared" si="230"/>
        <v>2343.6604130521905</v>
      </c>
      <c r="Q103" s="207">
        <f t="shared" si="231"/>
        <v>1397.4341739784986</v>
      </c>
      <c r="R103" s="209">
        <f>M103/((1+$B$4)^(B103-1))</f>
        <v>1659.3191240381877</v>
      </c>
      <c r="S103" s="208">
        <f t="shared" si="267"/>
        <v>23997.352423190896</v>
      </c>
      <c r="T103" s="207">
        <f t="shared" si="233"/>
        <v>5715.5162485077717</v>
      </c>
      <c r="U103" s="207">
        <f t="shared" si="233"/>
        <v>18590.804294416528</v>
      </c>
      <c r="V103" s="207">
        <f t="shared" si="233"/>
        <v>5406.5481287743651</v>
      </c>
      <c r="W103" s="209">
        <f t="shared" si="233"/>
        <v>11122.064377282139</v>
      </c>
      <c r="Z103" s="206">
        <f t="shared" si="268"/>
        <v>16</v>
      </c>
      <c r="AA103" s="215">
        <f>'Energy NPV'!$D28</f>
        <v>25</v>
      </c>
      <c r="AB103" s="207">
        <f>'Energy margins'!$E$12</f>
        <v>269.5</v>
      </c>
      <c r="AC103" s="207">
        <f t="shared" si="269"/>
        <v>6737.5</v>
      </c>
      <c r="AD103" s="207">
        <f>'Margins summary'!$Q$14</f>
        <v>471.64</v>
      </c>
      <c r="AE103" s="207">
        <f t="shared" si="234"/>
        <v>7209.14</v>
      </c>
      <c r="AF103" s="207"/>
      <c r="AG103" s="914">
        <f>'Energy NPV'!U28</f>
        <v>2120.8000000000002</v>
      </c>
      <c r="AH103" s="207">
        <f>'Energy margins'!$J$67</f>
        <v>2100</v>
      </c>
      <c r="AI103" s="207">
        <f>(AF103+AG103+AH103)+0.5*(AF103+AG103+AH103)</f>
        <v>6331.2000000000007</v>
      </c>
      <c r="AJ103" s="207">
        <f t="shared" si="218"/>
        <v>406.29999999999927</v>
      </c>
      <c r="AK103" s="207">
        <f t="shared" si="219"/>
        <v>877.9399999999996</v>
      </c>
      <c r="AL103" s="208">
        <f t="shared" si="235"/>
        <v>3741.0945870306891</v>
      </c>
      <c r="AM103" s="207">
        <f t="shared" si="236"/>
        <v>261.88495005968895</v>
      </c>
      <c r="AN103" s="207">
        <f t="shared" si="237"/>
        <v>3515.490619578286</v>
      </c>
      <c r="AO103" s="207">
        <f t="shared" si="238"/>
        <v>225.60396745240314</v>
      </c>
      <c r="AP103" s="209">
        <f>AK103/((1+$B$4)^(Z103-1))</f>
        <v>487.48891751209226</v>
      </c>
      <c r="AQ103" s="208">
        <f>AQ102+AL103</f>
        <v>23997.352423190896</v>
      </c>
      <c r="AR103" s="207">
        <f t="shared" si="240"/>
        <v>5715.5162485077717</v>
      </c>
      <c r="AS103" s="207">
        <f t="shared" si="240"/>
        <v>27886.206441624789</v>
      </c>
      <c r="AT103" s="207">
        <f t="shared" si="240"/>
        <v>-3888.8540184338967</v>
      </c>
      <c r="AU103" s="209">
        <f t="shared" si="240"/>
        <v>1826.6622300738738</v>
      </c>
      <c r="AX103" s="206">
        <f t="shared" si="272"/>
        <v>16</v>
      </c>
      <c r="AY103" s="215">
        <f>'Energy NPV'!$D28</f>
        <v>25</v>
      </c>
      <c r="AZ103" s="207">
        <f>'Energy margins'!$E$12</f>
        <v>269.5</v>
      </c>
      <c r="BA103" s="207">
        <f t="shared" si="273"/>
        <v>6737.5</v>
      </c>
      <c r="BB103" s="207">
        <f>'Margins summary'!$Q$14</f>
        <v>471.64</v>
      </c>
      <c r="BC103" s="207">
        <f t="shared" si="241"/>
        <v>7209.14</v>
      </c>
      <c r="BD103" s="207"/>
      <c r="BE103" s="914">
        <f>'Energy NPV'!U28</f>
        <v>2120.8000000000002</v>
      </c>
      <c r="BF103" s="207">
        <f>'Energy margins'!$J$67</f>
        <v>2100</v>
      </c>
      <c r="BG103" s="207">
        <f t="shared" si="242"/>
        <v>2110.4</v>
      </c>
      <c r="BH103" s="207">
        <f t="shared" si="220"/>
        <v>4627.1000000000004</v>
      </c>
      <c r="BI103" s="207">
        <f t="shared" si="221"/>
        <v>5098.74</v>
      </c>
      <c r="BJ103" s="208">
        <f t="shared" si="243"/>
        <v>3741.0945870306891</v>
      </c>
      <c r="BK103" s="207">
        <f t="shared" si="244"/>
        <v>261.88495005968895</v>
      </c>
      <c r="BL103" s="207">
        <f t="shared" si="245"/>
        <v>1171.8302065260953</v>
      </c>
      <c r="BM103" s="207">
        <f t="shared" si="246"/>
        <v>2569.2643805045941</v>
      </c>
      <c r="BN103" s="209">
        <f>BI103/((1+$B$4)^(AX103-1))</f>
        <v>2831.1493305642825</v>
      </c>
      <c r="BO103" s="208">
        <f t="shared" si="274"/>
        <v>23997.352423190896</v>
      </c>
      <c r="BP103" s="207">
        <f t="shared" si="248"/>
        <v>5715.5162485077717</v>
      </c>
      <c r="BQ103" s="207">
        <f t="shared" si="248"/>
        <v>9295.4021472082641</v>
      </c>
      <c r="BR103" s="207">
        <f t="shared" si="248"/>
        <v>14701.95027598263</v>
      </c>
      <c r="BS103" s="209">
        <f t="shared" si="248"/>
        <v>20417.466524490403</v>
      </c>
      <c r="BV103" s="206">
        <f t="shared" si="275"/>
        <v>16</v>
      </c>
      <c r="BW103" s="215">
        <f>'Energy NPV'!$D28</f>
        <v>25</v>
      </c>
      <c r="BX103" s="207">
        <f>'Energy margins'!$E$12</f>
        <v>269.5</v>
      </c>
      <c r="BY103" s="207">
        <f t="shared" si="276"/>
        <v>6737.5</v>
      </c>
      <c r="BZ103" s="207">
        <f>'Margins summary'!$Q$14</f>
        <v>471.64</v>
      </c>
      <c r="CA103" s="207">
        <f t="shared" si="249"/>
        <v>7209.14</v>
      </c>
      <c r="CB103" s="207"/>
      <c r="CC103" s="914">
        <f>'Energy NPV'!U28</f>
        <v>2120.8000000000002</v>
      </c>
      <c r="CD103" s="207">
        <f>'Energy margins'!$J$67</f>
        <v>2100</v>
      </c>
      <c r="CE103" s="207">
        <f t="shared" si="250"/>
        <v>8441.6</v>
      </c>
      <c r="CF103" s="207">
        <f t="shared" si="222"/>
        <v>-1704.1000000000004</v>
      </c>
      <c r="CG103" s="207">
        <f t="shared" si="223"/>
        <v>-1232.46</v>
      </c>
      <c r="CH103" s="208">
        <f t="shared" si="251"/>
        <v>3741.0945870306891</v>
      </c>
      <c r="CI103" s="207">
        <f t="shared" si="252"/>
        <v>261.88495005968895</v>
      </c>
      <c r="CJ103" s="207">
        <f t="shared" si="253"/>
        <v>4687.320826104381</v>
      </c>
      <c r="CK103" s="207">
        <f t="shared" si="254"/>
        <v>-946.22623907369177</v>
      </c>
      <c r="CL103" s="209">
        <f>CG103/((1+$B$4)^(BV103-1))</f>
        <v>-684.34128901400265</v>
      </c>
      <c r="CM103" s="208">
        <f t="shared" si="277"/>
        <v>23997.352423190896</v>
      </c>
      <c r="CN103" s="207">
        <f t="shared" si="256"/>
        <v>5715.5162485077717</v>
      </c>
      <c r="CO103" s="207">
        <f t="shared" si="256"/>
        <v>37181.608588833056</v>
      </c>
      <c r="CP103" s="207">
        <f t="shared" si="256"/>
        <v>-13184.256165642166</v>
      </c>
      <c r="CQ103" s="209">
        <f t="shared" si="256"/>
        <v>-7468.7399171343859</v>
      </c>
      <c r="CT103" s="206">
        <f t="shared" si="278"/>
        <v>16</v>
      </c>
      <c r="CU103" s="215">
        <f>'Energy NPV'!$D28</f>
        <v>25</v>
      </c>
      <c r="CV103" s="207">
        <f>'Energy margins'!$E$12</f>
        <v>269.5</v>
      </c>
      <c r="CW103" s="207">
        <f t="shared" si="279"/>
        <v>6737.5</v>
      </c>
      <c r="CX103" s="207">
        <f>'Margins summary'!$Q$14</f>
        <v>471.64</v>
      </c>
      <c r="CY103" s="207">
        <f t="shared" si="257"/>
        <v>7209.14</v>
      </c>
      <c r="CZ103" s="207"/>
      <c r="DA103" s="914">
        <f>'Energy NPV'!U28</f>
        <v>2120.8000000000002</v>
      </c>
      <c r="DB103" s="207">
        <f>'Energy margins'!$J$67</f>
        <v>2100</v>
      </c>
      <c r="DC103" s="207">
        <f t="shared" si="258"/>
        <v>0</v>
      </c>
      <c r="DD103" s="207">
        <f t="shared" si="224"/>
        <v>6737.5</v>
      </c>
      <c r="DE103" s="207">
        <f t="shared" si="225"/>
        <v>7209.14</v>
      </c>
      <c r="DF103" s="208">
        <f t="shared" si="259"/>
        <v>3741.0945870306891</v>
      </c>
      <c r="DG103" s="207">
        <f t="shared" si="260"/>
        <v>261.88495005968895</v>
      </c>
      <c r="DH103" s="207">
        <f t="shared" si="261"/>
        <v>0</v>
      </c>
      <c r="DI103" s="207">
        <f t="shared" si="262"/>
        <v>3741.0945870306891</v>
      </c>
      <c r="DJ103" s="209">
        <f>DE103/((1+$B$4)^(CT103-1))</f>
        <v>4002.979537090378</v>
      </c>
      <c r="DK103" s="208">
        <f t="shared" si="280"/>
        <v>23997.352423190896</v>
      </c>
      <c r="DL103" s="207">
        <f t="shared" si="264"/>
        <v>5715.5162485077717</v>
      </c>
      <c r="DM103" s="207">
        <f t="shared" si="264"/>
        <v>0</v>
      </c>
      <c r="DN103" s="207">
        <f t="shared" si="264"/>
        <v>23997.352423190896</v>
      </c>
      <c r="DO103" s="209">
        <f t="shared" si="264"/>
        <v>29712.86867169867</v>
      </c>
    </row>
    <row r="109" spans="2:119" x14ac:dyDescent="0.3">
      <c r="B109" s="211" t="s">
        <v>93</v>
      </c>
      <c r="C109" s="760" t="s">
        <v>406</v>
      </c>
      <c r="D109" s="269" t="s">
        <v>397</v>
      </c>
      <c r="E109" s="901">
        <v>1</v>
      </c>
      <c r="F109" s="193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Z109" s="211" t="s">
        <v>93</v>
      </c>
      <c r="AA109" s="211" t="s">
        <v>326</v>
      </c>
      <c r="AB109" s="901">
        <v>1.5</v>
      </c>
      <c r="AC109" s="194"/>
      <c r="AD109" s="193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  <c r="AX109" s="211" t="s">
        <v>93</v>
      </c>
      <c r="AY109" s="211" t="s">
        <v>421</v>
      </c>
      <c r="AZ109" s="901">
        <v>0.5</v>
      </c>
      <c r="BA109" s="194"/>
      <c r="BB109" s="193"/>
      <c r="BC109" s="102"/>
      <c r="BD109" s="102"/>
      <c r="BE109" s="102"/>
      <c r="BF109" s="102"/>
      <c r="BG109" s="102"/>
      <c r="BH109" s="102"/>
      <c r="BI109" s="102"/>
      <c r="BJ109" s="102"/>
      <c r="BK109" s="102"/>
      <c r="BL109" s="102"/>
      <c r="BM109" s="102"/>
      <c r="BN109" s="102"/>
      <c r="BO109" s="102"/>
      <c r="BP109" s="102"/>
      <c r="BQ109" s="102"/>
      <c r="BR109" s="102"/>
      <c r="BS109" s="102"/>
      <c r="BV109" s="211" t="s">
        <v>93</v>
      </c>
      <c r="BW109" s="211" t="s">
        <v>328</v>
      </c>
      <c r="BX109" s="901">
        <v>2</v>
      </c>
      <c r="BY109" s="194"/>
      <c r="BZ109" s="193"/>
      <c r="CA109" s="102"/>
      <c r="CB109" s="102"/>
      <c r="CC109" s="102"/>
      <c r="CD109" s="102"/>
      <c r="CE109" s="102"/>
      <c r="CF109" s="102"/>
      <c r="CG109" s="102"/>
      <c r="CH109" s="102"/>
      <c r="CI109" s="102"/>
      <c r="CJ109" s="102"/>
      <c r="CK109" s="102"/>
      <c r="CL109" s="102"/>
      <c r="CM109" s="102"/>
      <c r="CN109" s="102"/>
      <c r="CO109" s="102"/>
      <c r="CP109" s="102"/>
      <c r="CQ109" s="102"/>
      <c r="CT109" s="211" t="s">
        <v>93</v>
      </c>
      <c r="CU109" s="211" t="s">
        <v>329</v>
      </c>
      <c r="CV109" s="905">
        <v>0</v>
      </c>
      <c r="CW109" s="194"/>
      <c r="CX109" s="193"/>
      <c r="CY109" s="102"/>
      <c r="CZ109" s="102"/>
      <c r="DA109" s="102"/>
      <c r="DB109" s="102"/>
      <c r="DC109" s="102"/>
      <c r="DD109" s="102"/>
      <c r="DE109" s="102"/>
      <c r="DF109" s="102"/>
      <c r="DG109" s="102"/>
      <c r="DH109" s="102"/>
      <c r="DI109" s="102"/>
      <c r="DJ109" s="102"/>
      <c r="DK109" s="102"/>
      <c r="DL109" s="102"/>
      <c r="DM109" s="102"/>
      <c r="DN109" s="102"/>
      <c r="DO109" s="102"/>
    </row>
    <row r="110" spans="2:119" x14ac:dyDescent="0.3">
      <c r="B110" s="203"/>
      <c r="C110" s="148"/>
      <c r="D110" s="148"/>
      <c r="E110" s="1082"/>
      <c r="F110" s="1082"/>
      <c r="G110" s="1082"/>
      <c r="H110" s="148"/>
      <c r="I110" s="926"/>
      <c r="J110" s="1082"/>
      <c r="K110" s="1082"/>
      <c r="L110" s="148"/>
      <c r="M110" s="148"/>
      <c r="N110" s="1083" t="s">
        <v>273</v>
      </c>
      <c r="O110" s="1084"/>
      <c r="P110" s="1084"/>
      <c r="Q110" s="1084"/>
      <c r="R110" s="1085"/>
      <c r="S110" s="1083" t="s">
        <v>274</v>
      </c>
      <c r="T110" s="1084"/>
      <c r="U110" s="1084"/>
      <c r="V110" s="1084"/>
      <c r="W110" s="1085"/>
      <c r="Z110" s="203"/>
      <c r="AA110" s="148"/>
      <c r="AB110" s="148"/>
      <c r="AC110" s="985"/>
      <c r="AD110" s="985"/>
      <c r="AE110" s="985"/>
      <c r="AF110" s="148"/>
      <c r="AG110" s="926"/>
      <c r="AH110" s="985"/>
      <c r="AI110" s="985"/>
      <c r="AJ110" s="148"/>
      <c r="AK110" s="148"/>
      <c r="AL110" s="986" t="s">
        <v>273</v>
      </c>
      <c r="AM110" s="987"/>
      <c r="AN110" s="987"/>
      <c r="AO110" s="987"/>
      <c r="AP110" s="988"/>
      <c r="AQ110" s="986" t="s">
        <v>274</v>
      </c>
      <c r="AR110" s="987"/>
      <c r="AS110" s="987"/>
      <c r="AT110" s="987"/>
      <c r="AU110" s="988"/>
      <c r="AX110" s="203"/>
      <c r="AY110" s="148"/>
      <c r="AZ110" s="148"/>
      <c r="BA110" s="985"/>
      <c r="BB110" s="985"/>
      <c r="BC110" s="985"/>
      <c r="BD110" s="148"/>
      <c r="BE110" s="926"/>
      <c r="BF110" s="985"/>
      <c r="BG110" s="985"/>
      <c r="BH110" s="148"/>
      <c r="BI110" s="148"/>
      <c r="BJ110" s="986" t="s">
        <v>273</v>
      </c>
      <c r="BK110" s="987"/>
      <c r="BL110" s="987"/>
      <c r="BM110" s="987"/>
      <c r="BN110" s="988"/>
      <c r="BO110" s="986" t="s">
        <v>274</v>
      </c>
      <c r="BP110" s="987"/>
      <c r="BQ110" s="987"/>
      <c r="BR110" s="987"/>
      <c r="BS110" s="988"/>
      <c r="BV110" s="203"/>
      <c r="BW110" s="148"/>
      <c r="BX110" s="148"/>
      <c r="BY110" s="985"/>
      <c r="BZ110" s="985"/>
      <c r="CA110" s="985"/>
      <c r="CB110" s="148"/>
      <c r="CC110" s="926"/>
      <c r="CD110" s="985"/>
      <c r="CE110" s="985"/>
      <c r="CF110" s="148"/>
      <c r="CG110" s="148"/>
      <c r="CH110" s="986" t="s">
        <v>273</v>
      </c>
      <c r="CI110" s="987"/>
      <c r="CJ110" s="987"/>
      <c r="CK110" s="987"/>
      <c r="CL110" s="988"/>
      <c r="CM110" s="986" t="s">
        <v>274</v>
      </c>
      <c r="CN110" s="987"/>
      <c r="CO110" s="987"/>
      <c r="CP110" s="987"/>
      <c r="CQ110" s="988"/>
      <c r="CT110" s="203"/>
      <c r="CU110" s="148"/>
      <c r="CV110" s="148"/>
      <c r="CW110" s="985"/>
      <c r="CX110" s="985"/>
      <c r="CY110" s="985"/>
      <c r="CZ110" s="148"/>
      <c r="DA110" s="926"/>
      <c r="DB110" s="985"/>
      <c r="DC110" s="985"/>
      <c r="DD110" s="148"/>
      <c r="DE110" s="148"/>
      <c r="DF110" s="986" t="s">
        <v>273</v>
      </c>
      <c r="DG110" s="987"/>
      <c r="DH110" s="987"/>
      <c r="DI110" s="987"/>
      <c r="DJ110" s="988"/>
      <c r="DK110" s="986" t="s">
        <v>274</v>
      </c>
      <c r="DL110" s="987"/>
      <c r="DM110" s="987"/>
      <c r="DN110" s="987"/>
      <c r="DO110" s="988"/>
    </row>
    <row r="111" spans="2:119" ht="51" x14ac:dyDescent="0.3">
      <c r="B111" s="204" t="s">
        <v>275</v>
      </c>
      <c r="C111" s="205" t="s">
        <v>293</v>
      </c>
      <c r="D111" s="205" t="s">
        <v>294</v>
      </c>
      <c r="E111" s="171" t="s">
        <v>622</v>
      </c>
      <c r="F111" s="171" t="s">
        <v>591</v>
      </c>
      <c r="G111" s="171" t="s">
        <v>623</v>
      </c>
      <c r="H111" s="205" t="s">
        <v>291</v>
      </c>
      <c r="I111" s="930" t="str">
        <f>'Energy NPV'!U37</f>
        <v>Total Recurring Costs</v>
      </c>
      <c r="J111" s="205" t="s">
        <v>295</v>
      </c>
      <c r="K111" s="171" t="s">
        <v>279</v>
      </c>
      <c r="L111" s="171" t="s">
        <v>624</v>
      </c>
      <c r="M111" s="171" t="s">
        <v>625</v>
      </c>
      <c r="N111" s="195" t="s">
        <v>280</v>
      </c>
      <c r="O111" s="171" t="s">
        <v>626</v>
      </c>
      <c r="P111" s="171" t="s">
        <v>281</v>
      </c>
      <c r="Q111" s="171" t="s">
        <v>627</v>
      </c>
      <c r="R111" s="198" t="s">
        <v>282</v>
      </c>
      <c r="S111" s="195" t="s">
        <v>283</v>
      </c>
      <c r="T111" s="171" t="s">
        <v>628</v>
      </c>
      <c r="U111" s="171" t="s">
        <v>284</v>
      </c>
      <c r="V111" s="171" t="s">
        <v>629</v>
      </c>
      <c r="W111" s="198" t="s">
        <v>285</v>
      </c>
      <c r="Z111" s="204" t="s">
        <v>275</v>
      </c>
      <c r="AA111" s="205" t="s">
        <v>293</v>
      </c>
      <c r="AB111" s="205" t="s">
        <v>294</v>
      </c>
      <c r="AC111" s="171" t="s">
        <v>622</v>
      </c>
      <c r="AD111" s="171" t="s">
        <v>591</v>
      </c>
      <c r="AE111" s="171" t="s">
        <v>623</v>
      </c>
      <c r="AF111" s="205" t="s">
        <v>291</v>
      </c>
      <c r="AG111" s="930" t="str">
        <f>'Energy NPV'!U37</f>
        <v>Total Recurring Costs</v>
      </c>
      <c r="AH111" s="205" t="s">
        <v>295</v>
      </c>
      <c r="AI111" s="171" t="s">
        <v>279</v>
      </c>
      <c r="AJ111" s="171" t="s">
        <v>624</v>
      </c>
      <c r="AK111" s="171" t="s">
        <v>625</v>
      </c>
      <c r="AL111" s="195" t="s">
        <v>280</v>
      </c>
      <c r="AM111" s="171" t="s">
        <v>626</v>
      </c>
      <c r="AN111" s="171" t="s">
        <v>281</v>
      </c>
      <c r="AO111" s="171" t="s">
        <v>627</v>
      </c>
      <c r="AP111" s="198" t="s">
        <v>282</v>
      </c>
      <c r="AQ111" s="195" t="s">
        <v>283</v>
      </c>
      <c r="AR111" s="171" t="s">
        <v>628</v>
      </c>
      <c r="AS111" s="171" t="s">
        <v>284</v>
      </c>
      <c r="AT111" s="171" t="s">
        <v>629</v>
      </c>
      <c r="AU111" s="198" t="s">
        <v>285</v>
      </c>
      <c r="AX111" s="204" t="s">
        <v>275</v>
      </c>
      <c r="AY111" s="205" t="s">
        <v>293</v>
      </c>
      <c r="AZ111" s="205" t="s">
        <v>294</v>
      </c>
      <c r="BA111" s="171" t="s">
        <v>622</v>
      </c>
      <c r="BB111" s="171" t="s">
        <v>591</v>
      </c>
      <c r="BC111" s="171" t="s">
        <v>623</v>
      </c>
      <c r="BD111" s="205" t="s">
        <v>291</v>
      </c>
      <c r="BE111" s="930" t="str">
        <f>'Energy NPV'!U37</f>
        <v>Total Recurring Costs</v>
      </c>
      <c r="BF111" s="205" t="s">
        <v>295</v>
      </c>
      <c r="BG111" s="171" t="s">
        <v>279</v>
      </c>
      <c r="BH111" s="171" t="s">
        <v>624</v>
      </c>
      <c r="BI111" s="171" t="s">
        <v>625</v>
      </c>
      <c r="BJ111" s="195" t="s">
        <v>280</v>
      </c>
      <c r="BK111" s="171" t="s">
        <v>626</v>
      </c>
      <c r="BL111" s="171" t="s">
        <v>281</v>
      </c>
      <c r="BM111" s="171" t="s">
        <v>627</v>
      </c>
      <c r="BN111" s="198" t="s">
        <v>282</v>
      </c>
      <c r="BO111" s="195" t="s">
        <v>283</v>
      </c>
      <c r="BP111" s="171" t="s">
        <v>628</v>
      </c>
      <c r="BQ111" s="171" t="s">
        <v>284</v>
      </c>
      <c r="BR111" s="171" t="s">
        <v>629</v>
      </c>
      <c r="BS111" s="198" t="s">
        <v>285</v>
      </c>
      <c r="BV111" s="204" t="s">
        <v>275</v>
      </c>
      <c r="BW111" s="205" t="s">
        <v>293</v>
      </c>
      <c r="BX111" s="205" t="s">
        <v>294</v>
      </c>
      <c r="BY111" s="171" t="s">
        <v>622</v>
      </c>
      <c r="BZ111" s="171" t="s">
        <v>591</v>
      </c>
      <c r="CA111" s="171" t="s">
        <v>623</v>
      </c>
      <c r="CB111" s="205" t="s">
        <v>291</v>
      </c>
      <c r="CC111" s="930" t="str">
        <f>'Energy NPV'!U37</f>
        <v>Total Recurring Costs</v>
      </c>
      <c r="CD111" s="205" t="s">
        <v>295</v>
      </c>
      <c r="CE111" s="171" t="s">
        <v>279</v>
      </c>
      <c r="CF111" s="171" t="s">
        <v>624</v>
      </c>
      <c r="CG111" s="171" t="s">
        <v>625</v>
      </c>
      <c r="CH111" s="195" t="s">
        <v>280</v>
      </c>
      <c r="CI111" s="171" t="s">
        <v>626</v>
      </c>
      <c r="CJ111" s="171" t="s">
        <v>281</v>
      </c>
      <c r="CK111" s="171" t="s">
        <v>627</v>
      </c>
      <c r="CL111" s="198" t="s">
        <v>282</v>
      </c>
      <c r="CM111" s="195" t="s">
        <v>283</v>
      </c>
      <c r="CN111" s="171" t="s">
        <v>628</v>
      </c>
      <c r="CO111" s="171" t="s">
        <v>284</v>
      </c>
      <c r="CP111" s="171" t="s">
        <v>629</v>
      </c>
      <c r="CQ111" s="198" t="s">
        <v>285</v>
      </c>
      <c r="CT111" s="204" t="s">
        <v>275</v>
      </c>
      <c r="CU111" s="205" t="s">
        <v>293</v>
      </c>
      <c r="CV111" s="205" t="s">
        <v>294</v>
      </c>
      <c r="CW111" s="171" t="s">
        <v>622</v>
      </c>
      <c r="CX111" s="171" t="s">
        <v>591</v>
      </c>
      <c r="CY111" s="171" t="s">
        <v>623</v>
      </c>
      <c r="CZ111" s="205" t="s">
        <v>291</v>
      </c>
      <c r="DA111" s="930" t="str">
        <f>'Energy NPV'!U37</f>
        <v>Total Recurring Costs</v>
      </c>
      <c r="DB111" s="205" t="s">
        <v>295</v>
      </c>
      <c r="DC111" s="171" t="s">
        <v>279</v>
      </c>
      <c r="DD111" s="171" t="s">
        <v>624</v>
      </c>
      <c r="DE111" s="171" t="s">
        <v>625</v>
      </c>
      <c r="DF111" s="195" t="s">
        <v>280</v>
      </c>
      <c r="DG111" s="171" t="s">
        <v>626</v>
      </c>
      <c r="DH111" s="171" t="s">
        <v>281</v>
      </c>
      <c r="DI111" s="171" t="s">
        <v>627</v>
      </c>
      <c r="DJ111" s="198" t="s">
        <v>282</v>
      </c>
      <c r="DK111" s="195" t="s">
        <v>283</v>
      </c>
      <c r="DL111" s="171" t="s">
        <v>628</v>
      </c>
      <c r="DM111" s="171" t="s">
        <v>284</v>
      </c>
      <c r="DN111" s="171" t="s">
        <v>629</v>
      </c>
      <c r="DO111" s="198" t="s">
        <v>285</v>
      </c>
    </row>
    <row r="112" spans="2:119" x14ac:dyDescent="0.3">
      <c r="B112" s="173"/>
      <c r="C112" s="226" t="s">
        <v>336</v>
      </c>
      <c r="D112" s="226" t="s">
        <v>573</v>
      </c>
      <c r="E112" s="201" t="s">
        <v>571</v>
      </c>
      <c r="F112" s="201" t="s">
        <v>571</v>
      </c>
      <c r="G112" s="201" t="s">
        <v>571</v>
      </c>
      <c r="H112" s="201" t="s">
        <v>571</v>
      </c>
      <c r="I112" s="964" t="str">
        <f>'Energy NPV'!U38</f>
        <v>(PLN ha-1)</v>
      </c>
      <c r="J112" s="201" t="s">
        <v>571</v>
      </c>
      <c r="K112" s="201" t="s">
        <v>571</v>
      </c>
      <c r="L112" s="201" t="s">
        <v>571</v>
      </c>
      <c r="M112" s="202" t="s">
        <v>571</v>
      </c>
      <c r="N112" s="201" t="s">
        <v>571</v>
      </c>
      <c r="O112" s="201" t="s">
        <v>571</v>
      </c>
      <c r="P112" s="201" t="s">
        <v>571</v>
      </c>
      <c r="Q112" s="201" t="s">
        <v>571</v>
      </c>
      <c r="R112" s="202" t="s">
        <v>571</v>
      </c>
      <c r="S112" s="201" t="s">
        <v>571</v>
      </c>
      <c r="T112" s="201" t="s">
        <v>571</v>
      </c>
      <c r="U112" s="201" t="s">
        <v>571</v>
      </c>
      <c r="V112" s="201" t="s">
        <v>571</v>
      </c>
      <c r="W112" s="202" t="s">
        <v>571</v>
      </c>
      <c r="Z112" s="173"/>
      <c r="AA112" s="226" t="s">
        <v>336</v>
      </c>
      <c r="AB112" s="226" t="s">
        <v>573</v>
      </c>
      <c r="AC112" s="201" t="s">
        <v>571</v>
      </c>
      <c r="AD112" s="201" t="s">
        <v>571</v>
      </c>
      <c r="AE112" s="201" t="s">
        <v>571</v>
      </c>
      <c r="AF112" s="201" t="s">
        <v>571</v>
      </c>
      <c r="AG112" s="964" t="str">
        <f>'Energy NPV'!U38</f>
        <v>(PLN ha-1)</v>
      </c>
      <c r="AH112" s="201" t="s">
        <v>571</v>
      </c>
      <c r="AI112" s="201" t="s">
        <v>571</v>
      </c>
      <c r="AJ112" s="201" t="s">
        <v>571</v>
      </c>
      <c r="AK112" s="202" t="s">
        <v>571</v>
      </c>
      <c r="AL112" s="201" t="s">
        <v>571</v>
      </c>
      <c r="AM112" s="201" t="s">
        <v>571</v>
      </c>
      <c r="AN112" s="201" t="s">
        <v>571</v>
      </c>
      <c r="AO112" s="201" t="s">
        <v>571</v>
      </c>
      <c r="AP112" s="202" t="s">
        <v>571</v>
      </c>
      <c r="AQ112" s="201" t="s">
        <v>571</v>
      </c>
      <c r="AR112" s="201" t="s">
        <v>571</v>
      </c>
      <c r="AS112" s="201" t="s">
        <v>571</v>
      </c>
      <c r="AT112" s="201" t="s">
        <v>571</v>
      </c>
      <c r="AU112" s="202" t="s">
        <v>571</v>
      </c>
      <c r="AX112" s="173"/>
      <c r="AY112" s="226" t="s">
        <v>336</v>
      </c>
      <c r="AZ112" s="226" t="s">
        <v>573</v>
      </c>
      <c r="BA112" s="201" t="s">
        <v>571</v>
      </c>
      <c r="BB112" s="201" t="s">
        <v>571</v>
      </c>
      <c r="BC112" s="201" t="s">
        <v>571</v>
      </c>
      <c r="BD112" s="201" t="s">
        <v>571</v>
      </c>
      <c r="BE112" s="964" t="str">
        <f>'Energy NPV'!U38</f>
        <v>(PLN ha-1)</v>
      </c>
      <c r="BF112" s="201" t="s">
        <v>571</v>
      </c>
      <c r="BG112" s="201" t="s">
        <v>571</v>
      </c>
      <c r="BH112" s="201" t="s">
        <v>571</v>
      </c>
      <c r="BI112" s="202" t="s">
        <v>571</v>
      </c>
      <c r="BJ112" s="201" t="s">
        <v>571</v>
      </c>
      <c r="BK112" s="201" t="s">
        <v>571</v>
      </c>
      <c r="BL112" s="201" t="s">
        <v>571</v>
      </c>
      <c r="BM112" s="201" t="s">
        <v>571</v>
      </c>
      <c r="BN112" s="202" t="s">
        <v>571</v>
      </c>
      <c r="BO112" s="201" t="s">
        <v>571</v>
      </c>
      <c r="BP112" s="201" t="s">
        <v>571</v>
      </c>
      <c r="BQ112" s="201" t="s">
        <v>571</v>
      </c>
      <c r="BR112" s="201" t="s">
        <v>571</v>
      </c>
      <c r="BS112" s="202" t="s">
        <v>571</v>
      </c>
      <c r="BV112" s="173"/>
      <c r="BW112" s="226" t="s">
        <v>336</v>
      </c>
      <c r="BX112" s="226" t="s">
        <v>573</v>
      </c>
      <c r="BY112" s="201" t="s">
        <v>571</v>
      </c>
      <c r="BZ112" s="201" t="s">
        <v>571</v>
      </c>
      <c r="CA112" s="201" t="s">
        <v>571</v>
      </c>
      <c r="CB112" s="201" t="s">
        <v>571</v>
      </c>
      <c r="CC112" s="964" t="str">
        <f>'Energy NPV'!U38</f>
        <v>(PLN ha-1)</v>
      </c>
      <c r="CD112" s="201" t="s">
        <v>571</v>
      </c>
      <c r="CE112" s="201" t="s">
        <v>571</v>
      </c>
      <c r="CF112" s="201" t="s">
        <v>571</v>
      </c>
      <c r="CG112" s="202" t="s">
        <v>571</v>
      </c>
      <c r="CH112" s="201" t="s">
        <v>571</v>
      </c>
      <c r="CI112" s="201" t="s">
        <v>571</v>
      </c>
      <c r="CJ112" s="201" t="s">
        <v>571</v>
      </c>
      <c r="CK112" s="201" t="s">
        <v>571</v>
      </c>
      <c r="CL112" s="202" t="s">
        <v>571</v>
      </c>
      <c r="CM112" s="201" t="s">
        <v>571</v>
      </c>
      <c r="CN112" s="201" t="s">
        <v>571</v>
      </c>
      <c r="CO112" s="201" t="s">
        <v>571</v>
      </c>
      <c r="CP112" s="201" t="s">
        <v>571</v>
      </c>
      <c r="CQ112" s="202" t="s">
        <v>571</v>
      </c>
      <c r="CT112" s="173"/>
      <c r="CU112" s="226" t="s">
        <v>336</v>
      </c>
      <c r="CV112" s="226" t="s">
        <v>573</v>
      </c>
      <c r="CW112" s="201" t="s">
        <v>571</v>
      </c>
      <c r="CX112" s="201" t="s">
        <v>571</v>
      </c>
      <c r="CY112" s="201" t="s">
        <v>571</v>
      </c>
      <c r="CZ112" s="201" t="s">
        <v>571</v>
      </c>
      <c r="DA112" s="964" t="str">
        <f>'Energy NPV'!U38</f>
        <v>(PLN ha-1)</v>
      </c>
      <c r="DB112" s="201" t="s">
        <v>571</v>
      </c>
      <c r="DC112" s="201" t="s">
        <v>571</v>
      </c>
      <c r="DD112" s="201" t="s">
        <v>571</v>
      </c>
      <c r="DE112" s="202" t="s">
        <v>571</v>
      </c>
      <c r="DF112" s="201" t="s">
        <v>571</v>
      </c>
      <c r="DG112" s="201" t="s">
        <v>571</v>
      </c>
      <c r="DH112" s="201" t="s">
        <v>571</v>
      </c>
      <c r="DI112" s="201" t="s">
        <v>571</v>
      </c>
      <c r="DJ112" s="202" t="s">
        <v>571</v>
      </c>
      <c r="DK112" s="201" t="s">
        <v>571</v>
      </c>
      <c r="DL112" s="201" t="s">
        <v>571</v>
      </c>
      <c r="DM112" s="201" t="s">
        <v>571</v>
      </c>
      <c r="DN112" s="201" t="s">
        <v>571</v>
      </c>
      <c r="DO112" s="202" t="s">
        <v>571</v>
      </c>
    </row>
    <row r="113" spans="2:119" x14ac:dyDescent="0.3">
      <c r="B113" s="204">
        <v>1</v>
      </c>
      <c r="C113" s="757">
        <f>'Energy NPV'!$D39</f>
        <v>0.6</v>
      </c>
      <c r="D113" s="197">
        <f>'Energy margins'!$L$12</f>
        <v>269.5</v>
      </c>
      <c r="E113" s="197">
        <f>C113*D113</f>
        <v>161.69999999999999</v>
      </c>
      <c r="F113" s="197">
        <f>'Margins summary'!$S$14</f>
        <v>471.64</v>
      </c>
      <c r="G113" s="197">
        <f>E113+F113</f>
        <v>633.33999999999992</v>
      </c>
      <c r="H113" s="197">
        <f>'Margins summary'!$R$20</f>
        <v>66298.2</v>
      </c>
      <c r="I113" s="913">
        <f>'Energy NPV'!U39</f>
        <v>0</v>
      </c>
      <c r="J113" s="197"/>
      <c r="K113" s="197">
        <f>(H113+I113+J113)*$E$109</f>
        <v>66298.2</v>
      </c>
      <c r="L113" s="197">
        <f t="shared" ref="L113:L128" si="281">E113-K113</f>
        <v>-66136.5</v>
      </c>
      <c r="M113" s="197">
        <f t="shared" ref="M113:M128" si="282">G113-K113</f>
        <v>-65664.86</v>
      </c>
      <c r="N113" s="1014">
        <f>E113/((1+$B$4)^(B113-1))</f>
        <v>161.69999999999999</v>
      </c>
      <c r="O113" s="213">
        <f>F113/((1+$B$4)^(B113-1))</f>
        <v>471.64</v>
      </c>
      <c r="P113" s="213">
        <f>K113/((1+$B$4)^(B113-1))</f>
        <v>66298.2</v>
      </c>
      <c r="Q113" s="213">
        <f>L113/((1+$B$4)^(B113-1))</f>
        <v>-66136.5</v>
      </c>
      <c r="R113" s="924">
        <f>M113/((1+$B$4)^(B113-1))</f>
        <v>-65664.86</v>
      </c>
      <c r="S113" s="196">
        <f>N113</f>
        <v>161.69999999999999</v>
      </c>
      <c r="T113" s="197">
        <f>O113</f>
        <v>471.64</v>
      </c>
      <c r="U113" s="197">
        <f>P113</f>
        <v>66298.2</v>
      </c>
      <c r="V113" s="197">
        <f>Q113</f>
        <v>-66136.5</v>
      </c>
      <c r="W113" s="199">
        <f>R113</f>
        <v>-65664.86</v>
      </c>
      <c r="Z113" s="204">
        <v>1</v>
      </c>
      <c r="AA113" s="757">
        <f>'Energy NPV'!$D39</f>
        <v>0.6</v>
      </c>
      <c r="AB113" s="197">
        <f>'Energy margins'!$L$12</f>
        <v>269.5</v>
      </c>
      <c r="AC113" s="197">
        <f>AA113*AB113</f>
        <v>161.69999999999999</v>
      </c>
      <c r="AD113" s="197">
        <f>'Margins summary'!$S$14</f>
        <v>471.64</v>
      </c>
      <c r="AE113" s="197">
        <f>AC113+AD113</f>
        <v>633.33999999999992</v>
      </c>
      <c r="AF113" s="197">
        <f>'Margins summary'!$R$20</f>
        <v>66298.2</v>
      </c>
      <c r="AG113" s="913">
        <f>'Energy NPV'!U39</f>
        <v>0</v>
      </c>
      <c r="AH113" s="197"/>
      <c r="AI113" s="197">
        <f t="shared" ref="AI113:AI128" si="283">(AF113+AG113+AH113)*$AB$109</f>
        <v>99447.299999999988</v>
      </c>
      <c r="AJ113" s="197">
        <f t="shared" ref="AJ113:AJ128" si="284">AC113-AI113</f>
        <v>-99285.599999999991</v>
      </c>
      <c r="AK113" s="197">
        <f t="shared" ref="AK113:AK128" si="285">AE113-AI113</f>
        <v>-98813.959999999992</v>
      </c>
      <c r="AL113" s="1014">
        <f>AC113/((1+$B$4)^(Z113-1))</f>
        <v>161.69999999999999</v>
      </c>
      <c r="AM113" s="213">
        <f>AD113/((1+$B$4)^(Z113-1))</f>
        <v>471.64</v>
      </c>
      <c r="AN113" s="213">
        <f>AI113/((1+$B$4)^(Z113-1))</f>
        <v>99447.299999999988</v>
      </c>
      <c r="AO113" s="213">
        <f>AJ113/((1+$B$4)^(Z113-1))</f>
        <v>-99285.599999999991</v>
      </c>
      <c r="AP113" s="924">
        <f>AK113/((1+$B$4)^(Z113-1))</f>
        <v>-98813.959999999992</v>
      </c>
      <c r="AQ113" s="196">
        <f>AL113</f>
        <v>161.69999999999999</v>
      </c>
      <c r="AR113" s="197">
        <f>AM113</f>
        <v>471.64</v>
      </c>
      <c r="AS113" s="197">
        <f>AN113</f>
        <v>99447.299999999988</v>
      </c>
      <c r="AT113" s="197">
        <f>AO113</f>
        <v>-99285.599999999991</v>
      </c>
      <c r="AU113" s="199">
        <f>AP113</f>
        <v>-98813.959999999992</v>
      </c>
      <c r="AX113" s="204">
        <v>1</v>
      </c>
      <c r="AY113" s="757">
        <f>'Energy NPV'!$D39</f>
        <v>0.6</v>
      </c>
      <c r="AZ113" s="197">
        <f>'Energy margins'!$L$12</f>
        <v>269.5</v>
      </c>
      <c r="BA113" s="197">
        <f>AY113*AZ113</f>
        <v>161.69999999999999</v>
      </c>
      <c r="BB113" s="197">
        <f>'Margins summary'!$S$14</f>
        <v>471.64</v>
      </c>
      <c r="BC113" s="197">
        <f>BA113+BB113</f>
        <v>633.33999999999992</v>
      </c>
      <c r="BD113" s="197">
        <f>'Margins summary'!$R$20</f>
        <v>66298.2</v>
      </c>
      <c r="BE113" s="913">
        <f>'Energy NPV'!U39</f>
        <v>0</v>
      </c>
      <c r="BF113" s="197"/>
      <c r="BG113" s="197">
        <f t="shared" ref="BG113:BG128" si="286">(BD113+BE113+BF113)*$AZ$109</f>
        <v>33149.1</v>
      </c>
      <c r="BH113" s="197">
        <f t="shared" ref="BH113:BH128" si="287">BA113-BG113</f>
        <v>-32987.4</v>
      </c>
      <c r="BI113" s="197">
        <f t="shared" ref="BI113:BI128" si="288">BC113-BG113</f>
        <v>-32515.759999999998</v>
      </c>
      <c r="BJ113" s="1014">
        <f>BA113/((1+$B$4)^(AX113-1))</f>
        <v>161.69999999999999</v>
      </c>
      <c r="BK113" s="213">
        <f>BB113/((1+$B$4)^(AX113-1))</f>
        <v>471.64</v>
      </c>
      <c r="BL113" s="213">
        <f>BG113/((1+$B$4)^(AX113-1))</f>
        <v>33149.1</v>
      </c>
      <c r="BM113" s="213">
        <f>BH113/((1+$B$4)^(AX113-1))</f>
        <v>-32987.4</v>
      </c>
      <c r="BN113" s="924">
        <f>BI113/((1+$B$4)^(AX113-1))</f>
        <v>-32515.759999999998</v>
      </c>
      <c r="BO113" s="196">
        <f>BJ113</f>
        <v>161.69999999999999</v>
      </c>
      <c r="BP113" s="197">
        <f>BK113</f>
        <v>471.64</v>
      </c>
      <c r="BQ113" s="197">
        <f>BL113</f>
        <v>33149.1</v>
      </c>
      <c r="BR113" s="197">
        <f>BM113</f>
        <v>-32987.4</v>
      </c>
      <c r="BS113" s="199">
        <f>BN113</f>
        <v>-32515.759999999998</v>
      </c>
      <c r="BV113" s="204">
        <v>1</v>
      </c>
      <c r="BW113" s="757">
        <f>'Energy NPV'!$D39</f>
        <v>0.6</v>
      </c>
      <c r="BX113" s="197">
        <f>'Energy margins'!$L$12</f>
        <v>269.5</v>
      </c>
      <c r="BY113" s="197">
        <f>BW113*BX113</f>
        <v>161.69999999999999</v>
      </c>
      <c r="BZ113" s="197">
        <f>'Margins summary'!$S$14</f>
        <v>471.64</v>
      </c>
      <c r="CA113" s="197">
        <f>BY113+BZ113</f>
        <v>633.33999999999992</v>
      </c>
      <c r="CB113" s="197">
        <f>'Margins summary'!$R$20</f>
        <v>66298.2</v>
      </c>
      <c r="CC113" s="913">
        <f>'Energy NPV'!U39</f>
        <v>0</v>
      </c>
      <c r="CD113" s="197"/>
      <c r="CE113" s="197">
        <f t="shared" ref="CE113:CE128" si="289">(CB113+CC113+CD113)*$BX$109</f>
        <v>132596.4</v>
      </c>
      <c r="CF113" s="197">
        <f t="shared" ref="CF113:CF128" si="290">BY113-CE113</f>
        <v>-132434.69999999998</v>
      </c>
      <c r="CG113" s="197">
        <f t="shared" ref="CG113:CG128" si="291">CA113-CE113</f>
        <v>-131963.06</v>
      </c>
      <c r="CH113" s="1014">
        <f>BY113/((1+$B$4)^(BV113-1))</f>
        <v>161.69999999999999</v>
      </c>
      <c r="CI113" s="213">
        <f>BZ113/((1+$B$4)^(BV113-1))</f>
        <v>471.64</v>
      </c>
      <c r="CJ113" s="213">
        <f>CE113/((1+$B$4)^(BV113-1))</f>
        <v>132596.4</v>
      </c>
      <c r="CK113" s="213">
        <f>CF113/((1+$B$4)^(BV113-1))</f>
        <v>-132434.69999999998</v>
      </c>
      <c r="CL113" s="924">
        <f>CG113/((1+$B$4)^(BV113-1))</f>
        <v>-131963.06</v>
      </c>
      <c r="CM113" s="196">
        <f>CH113</f>
        <v>161.69999999999999</v>
      </c>
      <c r="CN113" s="197">
        <f>CI113</f>
        <v>471.64</v>
      </c>
      <c r="CO113" s="197">
        <f>CJ113</f>
        <v>132596.4</v>
      </c>
      <c r="CP113" s="197">
        <f>CK113</f>
        <v>-132434.69999999998</v>
      </c>
      <c r="CQ113" s="199">
        <f>CL113</f>
        <v>-131963.06</v>
      </c>
      <c r="CT113" s="204">
        <v>1</v>
      </c>
      <c r="CU113" s="757">
        <f>'Energy NPV'!$D39</f>
        <v>0.6</v>
      </c>
      <c r="CV113" s="197">
        <f>'Energy margins'!$L$12</f>
        <v>269.5</v>
      </c>
      <c r="CW113" s="197">
        <f>CU113*CV113</f>
        <v>161.69999999999999</v>
      </c>
      <c r="CX113" s="197">
        <f>'Margins summary'!$S$14</f>
        <v>471.64</v>
      </c>
      <c r="CY113" s="197">
        <f>CW113+CX113</f>
        <v>633.33999999999992</v>
      </c>
      <c r="CZ113" s="197">
        <f>'Margins summary'!$R$20</f>
        <v>66298.2</v>
      </c>
      <c r="DA113" s="913">
        <f>'Energy NPV'!U39</f>
        <v>0</v>
      </c>
      <c r="DB113" s="197"/>
      <c r="DC113" s="197">
        <f t="shared" ref="DC113:DC128" si="292">(CZ113+DA113+DB113)*$CV$109</f>
        <v>0</v>
      </c>
      <c r="DD113" s="197">
        <f t="shared" ref="DD113:DD128" si="293">CW113-DC113</f>
        <v>161.69999999999999</v>
      </c>
      <c r="DE113" s="197">
        <f t="shared" ref="DE113:DE128" si="294">CY113-DC113</f>
        <v>633.33999999999992</v>
      </c>
      <c r="DF113" s="1014">
        <f>CW113/((1+$B$4)^(CT113-1))</f>
        <v>161.69999999999999</v>
      </c>
      <c r="DG113" s="213">
        <f>CX113/((1+$B$4)^(CT113-1))</f>
        <v>471.64</v>
      </c>
      <c r="DH113" s="213">
        <f>DC113/((1+$B$4)^(CT113-1))</f>
        <v>0</v>
      </c>
      <c r="DI113" s="213">
        <f>DD113/((1+$B$4)^(CT113-1))</f>
        <v>161.69999999999999</v>
      </c>
      <c r="DJ113" s="924">
        <f>DE113/((1+$B$4)^(CT113-1))</f>
        <v>633.33999999999992</v>
      </c>
      <c r="DK113" s="196">
        <f>DF113</f>
        <v>161.69999999999999</v>
      </c>
      <c r="DL113" s="197">
        <f>DG113</f>
        <v>471.64</v>
      </c>
      <c r="DM113" s="197">
        <f>DH113</f>
        <v>0</v>
      </c>
      <c r="DN113" s="197">
        <f>DI113</f>
        <v>161.69999999999999</v>
      </c>
      <c r="DO113" s="199">
        <f>DJ113</f>
        <v>633.33999999999992</v>
      </c>
    </row>
    <row r="114" spans="2:119" x14ac:dyDescent="0.3">
      <c r="B114" s="204">
        <v>2</v>
      </c>
      <c r="C114" s="757">
        <f>'Energy NPV'!$D40</f>
        <v>3.9250000000000007</v>
      </c>
      <c r="D114" s="197">
        <f>'Energy margins'!$L$12</f>
        <v>269.5</v>
      </c>
      <c r="E114" s="197">
        <f>C114*D114</f>
        <v>1057.7875000000001</v>
      </c>
      <c r="F114" s="197">
        <f>'Margins summary'!$S$14</f>
        <v>471.64</v>
      </c>
      <c r="G114" s="197">
        <f t="shared" ref="G114:G128" si="295">E114+F114</f>
        <v>1529.4275000000002</v>
      </c>
      <c r="H114" s="197"/>
      <c r="I114" s="913">
        <f>'Energy NPV'!U40</f>
        <v>2491.768</v>
      </c>
      <c r="J114" s="197"/>
      <c r="K114" s="197">
        <f t="shared" ref="K114:K128" si="296">(H114+I114+J114)*$E$109</f>
        <v>2491.768</v>
      </c>
      <c r="L114" s="197">
        <f t="shared" si="281"/>
        <v>-1433.9804999999999</v>
      </c>
      <c r="M114" s="197">
        <f t="shared" si="282"/>
        <v>-962.34049999999979</v>
      </c>
      <c r="N114" s="196">
        <f t="shared" ref="N114:N128" si="297">E114/((1+$B$4)^(B114-1))</f>
        <v>1017.1033653846155</v>
      </c>
      <c r="O114" s="197">
        <f t="shared" ref="O114:O128" si="298">F114/((1+$B$4)^(B114-1))</f>
        <v>453.49999999999994</v>
      </c>
      <c r="P114" s="197">
        <f t="shared" ref="P114:P128" si="299">K114/((1+$B$4)^(B114-1))</f>
        <v>2395.9307692307693</v>
      </c>
      <c r="Q114" s="197">
        <f t="shared" ref="Q114:Q128" si="300">L114/((1+$B$4)^(B114-1))</f>
        <v>-1378.8274038461536</v>
      </c>
      <c r="R114" s="199">
        <f t="shared" ref="R114:R128" si="301">M114/((1+$B$4)^(B114-1))</f>
        <v>-925.32740384615363</v>
      </c>
      <c r="S114" s="196">
        <f>S113+N114</f>
        <v>1178.8033653846155</v>
      </c>
      <c r="T114" s="197">
        <f t="shared" ref="T114:T128" si="302">T113+O114</f>
        <v>925.13999999999987</v>
      </c>
      <c r="U114" s="197">
        <f t="shared" ref="U114:U128" si="303">U113+P114</f>
        <v>68694.13076923076</v>
      </c>
      <c r="V114" s="197">
        <f t="shared" ref="V114:V128" si="304">V113+Q114</f>
        <v>-67515.327403846153</v>
      </c>
      <c r="W114" s="199">
        <f t="shared" ref="W114:W128" si="305">W113+R114</f>
        <v>-66590.187403846154</v>
      </c>
      <c r="Z114" s="204">
        <v>2</v>
      </c>
      <c r="AA114" s="757">
        <f>'Energy NPV'!$D40</f>
        <v>3.9250000000000007</v>
      </c>
      <c r="AB114" s="197">
        <f>'Energy margins'!$L$12</f>
        <v>269.5</v>
      </c>
      <c r="AC114" s="197">
        <f>AA114*AB114</f>
        <v>1057.7875000000001</v>
      </c>
      <c r="AD114" s="197">
        <f>'Margins summary'!$S$14</f>
        <v>471.64</v>
      </c>
      <c r="AE114" s="197">
        <f t="shared" ref="AE114:AE128" si="306">AC114+AD114</f>
        <v>1529.4275000000002</v>
      </c>
      <c r="AF114" s="197"/>
      <c r="AG114" s="913">
        <f>'Energy NPV'!U40</f>
        <v>2491.768</v>
      </c>
      <c r="AH114" s="197"/>
      <c r="AI114" s="197">
        <f t="shared" si="283"/>
        <v>3737.652</v>
      </c>
      <c r="AJ114" s="197">
        <f t="shared" si="284"/>
        <v>-2679.8644999999997</v>
      </c>
      <c r="AK114" s="197">
        <f t="shared" si="285"/>
        <v>-2208.2244999999998</v>
      </c>
      <c r="AL114" s="196">
        <f t="shared" ref="AL114:AL128" si="307">AC114/((1+$B$4)^(Z114-1))</f>
        <v>1017.1033653846155</v>
      </c>
      <c r="AM114" s="197">
        <f t="shared" ref="AM114:AM128" si="308">AD114/((1+$B$4)^(Z114-1))</f>
        <v>453.49999999999994</v>
      </c>
      <c r="AN114" s="197">
        <f t="shared" ref="AN114:AN128" si="309">AI114/((1+$B$4)^(Z114-1))</f>
        <v>3593.8961538461535</v>
      </c>
      <c r="AO114" s="197">
        <f t="shared" ref="AO114:AO128" si="310">AJ114/((1+$B$4)^(Z114-1))</f>
        <v>-2576.7927884615378</v>
      </c>
      <c r="AP114" s="199">
        <f t="shared" ref="AP114:AP128" si="311">AK114/((1+$B$4)^(Z114-1))</f>
        <v>-2123.2927884615383</v>
      </c>
      <c r="AQ114" s="196">
        <f>AQ113+AL114</f>
        <v>1178.8033653846155</v>
      </c>
      <c r="AR114" s="197">
        <f t="shared" ref="AR114:AR128" si="312">AR113+AM114</f>
        <v>925.13999999999987</v>
      </c>
      <c r="AS114" s="197">
        <f t="shared" ref="AS114:AS128" si="313">AS113+AN114</f>
        <v>103041.19615384615</v>
      </c>
      <c r="AT114" s="197">
        <f t="shared" ref="AT114:AT128" si="314">AT113+AO114</f>
        <v>-101862.39278846153</v>
      </c>
      <c r="AU114" s="199">
        <f t="shared" ref="AU114:AU128" si="315">AU113+AP114</f>
        <v>-100937.25278846153</v>
      </c>
      <c r="AX114" s="204">
        <v>2</v>
      </c>
      <c r="AY114" s="757">
        <f>'Energy NPV'!$D40</f>
        <v>3.9250000000000007</v>
      </c>
      <c r="AZ114" s="197">
        <f>'Energy margins'!$L$12</f>
        <v>269.5</v>
      </c>
      <c r="BA114" s="197">
        <f>AY114*AZ114</f>
        <v>1057.7875000000001</v>
      </c>
      <c r="BB114" s="197">
        <f>'Margins summary'!$S$14</f>
        <v>471.64</v>
      </c>
      <c r="BC114" s="197">
        <f t="shared" ref="BC114:BC128" si="316">BA114+BB114</f>
        <v>1529.4275000000002</v>
      </c>
      <c r="BD114" s="197"/>
      <c r="BE114" s="913">
        <f>'Energy NPV'!U40</f>
        <v>2491.768</v>
      </c>
      <c r="BF114" s="197"/>
      <c r="BG114" s="197">
        <f t="shared" si="286"/>
        <v>1245.884</v>
      </c>
      <c r="BH114" s="197">
        <f t="shared" si="287"/>
        <v>-188.09649999999988</v>
      </c>
      <c r="BI114" s="197">
        <f t="shared" si="288"/>
        <v>283.54350000000022</v>
      </c>
      <c r="BJ114" s="196">
        <f t="shared" ref="BJ114:BJ128" si="317">BA114/((1+$B$4)^(AX114-1))</f>
        <v>1017.1033653846155</v>
      </c>
      <c r="BK114" s="197">
        <f t="shared" ref="BK114:BK128" si="318">BB114/((1+$B$4)^(AX114-1))</f>
        <v>453.49999999999994</v>
      </c>
      <c r="BL114" s="197">
        <f t="shared" ref="BL114:BL128" si="319">BG114/((1+$B$4)^(AX114-1))</f>
        <v>1197.9653846153847</v>
      </c>
      <c r="BM114" s="197">
        <f t="shared" ref="BM114:BM128" si="320">BH114/((1+$B$4)^(AX114-1))</f>
        <v>-180.86201923076911</v>
      </c>
      <c r="BN114" s="199">
        <f t="shared" ref="BN114:BN128" si="321">BI114/((1+$B$4)^(AX114-1))</f>
        <v>272.63798076923098</v>
      </c>
      <c r="BO114" s="196">
        <f>BO113+BJ114</f>
        <v>1178.8033653846155</v>
      </c>
      <c r="BP114" s="197">
        <f t="shared" ref="BP114:BP128" si="322">BP113+BK114</f>
        <v>925.13999999999987</v>
      </c>
      <c r="BQ114" s="197">
        <f t="shared" ref="BQ114:BQ128" si="323">BQ113+BL114</f>
        <v>34347.06538461538</v>
      </c>
      <c r="BR114" s="197">
        <f t="shared" ref="BR114:BR128" si="324">BR113+BM114</f>
        <v>-33168.262019230773</v>
      </c>
      <c r="BS114" s="199">
        <f t="shared" ref="BS114:BS128" si="325">BS113+BN114</f>
        <v>-32243.122019230766</v>
      </c>
      <c r="BV114" s="204">
        <v>2</v>
      </c>
      <c r="BW114" s="757">
        <f>'Energy NPV'!$D40</f>
        <v>3.9250000000000007</v>
      </c>
      <c r="BX114" s="197">
        <f>'Energy margins'!$L$12</f>
        <v>269.5</v>
      </c>
      <c r="BY114" s="197">
        <f>BW114*BX114</f>
        <v>1057.7875000000001</v>
      </c>
      <c r="BZ114" s="197">
        <f>'Margins summary'!$S$14</f>
        <v>471.64</v>
      </c>
      <c r="CA114" s="197">
        <f t="shared" ref="CA114:CA128" si="326">BY114+BZ114</f>
        <v>1529.4275000000002</v>
      </c>
      <c r="CB114" s="197"/>
      <c r="CC114" s="913">
        <f>'Energy NPV'!U40</f>
        <v>2491.768</v>
      </c>
      <c r="CD114" s="197"/>
      <c r="CE114" s="197">
        <f t="shared" si="289"/>
        <v>4983.5360000000001</v>
      </c>
      <c r="CF114" s="197">
        <f t="shared" si="290"/>
        <v>-3925.7484999999997</v>
      </c>
      <c r="CG114" s="197">
        <f t="shared" si="291"/>
        <v>-3454.1084999999998</v>
      </c>
      <c r="CH114" s="196">
        <f t="shared" ref="CH114:CH128" si="327">BY114/((1+$B$4)^(BV114-1))</f>
        <v>1017.1033653846155</v>
      </c>
      <c r="CI114" s="197">
        <f t="shared" ref="CI114:CI128" si="328">BZ114/((1+$B$4)^(BV114-1))</f>
        <v>453.49999999999994</v>
      </c>
      <c r="CJ114" s="197">
        <f t="shared" ref="CJ114:CJ128" si="329">CE114/((1+$B$4)^(BV114-1))</f>
        <v>4791.8615384615387</v>
      </c>
      <c r="CK114" s="197">
        <f t="shared" ref="CK114:CK128" si="330">CF114/((1+$B$4)^(BV114-1))</f>
        <v>-3774.7581730769225</v>
      </c>
      <c r="CL114" s="199">
        <f t="shared" ref="CL114:CL128" si="331">CG114/((1+$B$4)^(BV114-1))</f>
        <v>-3321.258173076923</v>
      </c>
      <c r="CM114" s="196">
        <f>CM113+CH114</f>
        <v>1178.8033653846155</v>
      </c>
      <c r="CN114" s="197">
        <f t="shared" ref="CN114:CN128" si="332">CN113+CI114</f>
        <v>925.13999999999987</v>
      </c>
      <c r="CO114" s="197">
        <f t="shared" ref="CO114:CO128" si="333">CO113+CJ114</f>
        <v>137388.26153846152</v>
      </c>
      <c r="CP114" s="197">
        <f t="shared" ref="CP114:CP128" si="334">CP113+CK114</f>
        <v>-136209.45817307691</v>
      </c>
      <c r="CQ114" s="199">
        <f t="shared" ref="CQ114:CQ128" si="335">CQ113+CL114</f>
        <v>-135284.31817307693</v>
      </c>
      <c r="CT114" s="204">
        <v>2</v>
      </c>
      <c r="CU114" s="757">
        <f>'Energy NPV'!$D40</f>
        <v>3.9250000000000007</v>
      </c>
      <c r="CV114" s="197">
        <f>'Energy margins'!$L$12</f>
        <v>269.5</v>
      </c>
      <c r="CW114" s="197">
        <f>CU114*CV114</f>
        <v>1057.7875000000001</v>
      </c>
      <c r="CX114" s="197">
        <f>'Margins summary'!$S$14</f>
        <v>471.64</v>
      </c>
      <c r="CY114" s="197">
        <f t="shared" ref="CY114:CY128" si="336">CW114+CX114</f>
        <v>1529.4275000000002</v>
      </c>
      <c r="CZ114" s="197"/>
      <c r="DA114" s="913">
        <f>'Energy NPV'!U40</f>
        <v>2491.768</v>
      </c>
      <c r="DB114" s="197"/>
      <c r="DC114" s="197">
        <f t="shared" si="292"/>
        <v>0</v>
      </c>
      <c r="DD114" s="197">
        <f t="shared" si="293"/>
        <v>1057.7875000000001</v>
      </c>
      <c r="DE114" s="197">
        <f t="shared" si="294"/>
        <v>1529.4275000000002</v>
      </c>
      <c r="DF114" s="196">
        <f t="shared" ref="DF114:DF128" si="337">CW114/((1+$B$4)^(CT114-1))</f>
        <v>1017.1033653846155</v>
      </c>
      <c r="DG114" s="197">
        <f t="shared" ref="DG114:DG128" si="338">CX114/((1+$B$4)^(CT114-1))</f>
        <v>453.49999999999994</v>
      </c>
      <c r="DH114" s="197">
        <f t="shared" ref="DH114:DH128" si="339">DC114/((1+$B$4)^(CT114-1))</f>
        <v>0</v>
      </c>
      <c r="DI114" s="197">
        <f t="shared" ref="DI114:DI128" si="340">DD114/((1+$B$4)^(CT114-1))</f>
        <v>1017.1033653846155</v>
      </c>
      <c r="DJ114" s="199">
        <f t="shared" ref="DJ114:DJ128" si="341">DE114/((1+$B$4)^(CT114-1))</f>
        <v>1470.6033653846155</v>
      </c>
      <c r="DK114" s="196">
        <f>DK113+DF114</f>
        <v>1178.8033653846155</v>
      </c>
      <c r="DL114" s="197">
        <f t="shared" ref="DL114:DL128" si="342">DL113+DG114</f>
        <v>925.13999999999987</v>
      </c>
      <c r="DM114" s="197">
        <f t="shared" ref="DM114:DM128" si="343">DM113+DH114</f>
        <v>0</v>
      </c>
      <c r="DN114" s="197">
        <f t="shared" ref="DN114:DN128" si="344">DN113+DI114</f>
        <v>1178.8033653846155</v>
      </c>
      <c r="DO114" s="199">
        <f t="shared" ref="DO114:DO128" si="345">DO113+DJ114</f>
        <v>2103.9433653846154</v>
      </c>
    </row>
    <row r="115" spans="2:119" x14ac:dyDescent="0.3">
      <c r="B115" s="204">
        <f t="shared" ref="B115:B128" si="346">B114+1</f>
        <v>3</v>
      </c>
      <c r="C115" s="757">
        <f>'Energy NPV'!$D41</f>
        <v>11.099999999999998</v>
      </c>
      <c r="D115" s="197">
        <f>'Energy margins'!$L$12</f>
        <v>269.5</v>
      </c>
      <c r="E115" s="197">
        <f t="shared" ref="E115:E128" si="347">C115*D115</f>
        <v>2991.4499999999994</v>
      </c>
      <c r="F115" s="197">
        <f>'Margins summary'!$S$14</f>
        <v>471.64</v>
      </c>
      <c r="G115" s="197">
        <f t="shared" si="295"/>
        <v>3463.0899999999992</v>
      </c>
      <c r="H115" s="197"/>
      <c r="I115" s="913">
        <f>'Energy NPV'!U41</f>
        <v>2491.768</v>
      </c>
      <c r="J115" s="197"/>
      <c r="K115" s="197">
        <f t="shared" si="296"/>
        <v>2491.768</v>
      </c>
      <c r="L115" s="197">
        <f t="shared" si="281"/>
        <v>499.68199999999933</v>
      </c>
      <c r="M115" s="197">
        <f t="shared" si="282"/>
        <v>971.32199999999921</v>
      </c>
      <c r="N115" s="196">
        <f t="shared" si="297"/>
        <v>2765.7636834319519</v>
      </c>
      <c r="O115" s="197">
        <f t="shared" si="298"/>
        <v>436.05769230769226</v>
      </c>
      <c r="P115" s="197">
        <f t="shared" si="299"/>
        <v>2303.7795857988162</v>
      </c>
      <c r="Q115" s="197">
        <f t="shared" si="300"/>
        <v>461.98409763313543</v>
      </c>
      <c r="R115" s="199">
        <f t="shared" si="301"/>
        <v>898.04178994082758</v>
      </c>
      <c r="S115" s="196">
        <f t="shared" ref="S115:S128" si="348">S114+N115</f>
        <v>3944.5670488165674</v>
      </c>
      <c r="T115" s="197">
        <f t="shared" si="302"/>
        <v>1361.1976923076923</v>
      </c>
      <c r="U115" s="197">
        <f t="shared" si="303"/>
        <v>70997.910355029569</v>
      </c>
      <c r="V115" s="197">
        <f t="shared" si="304"/>
        <v>-67053.343306213021</v>
      </c>
      <c r="W115" s="199">
        <f t="shared" si="305"/>
        <v>-65692.145613905333</v>
      </c>
      <c r="Z115" s="204">
        <f t="shared" ref="Z115:Z128" si="349">Z114+1</f>
        <v>3</v>
      </c>
      <c r="AA115" s="757">
        <f>'Energy NPV'!$D41</f>
        <v>11.099999999999998</v>
      </c>
      <c r="AB115" s="197">
        <f>'Energy margins'!$L$12</f>
        <v>269.5</v>
      </c>
      <c r="AC115" s="197">
        <f t="shared" ref="AC115:AC128" si="350">AA115*AB115</f>
        <v>2991.4499999999994</v>
      </c>
      <c r="AD115" s="197">
        <f>'Margins summary'!$S$14</f>
        <v>471.64</v>
      </c>
      <c r="AE115" s="197">
        <f t="shared" si="306"/>
        <v>3463.0899999999992</v>
      </c>
      <c r="AF115" s="197"/>
      <c r="AG115" s="913">
        <f>'Energy NPV'!U41</f>
        <v>2491.768</v>
      </c>
      <c r="AH115" s="197"/>
      <c r="AI115" s="197">
        <f t="shared" si="283"/>
        <v>3737.652</v>
      </c>
      <c r="AJ115" s="197">
        <f t="shared" si="284"/>
        <v>-746.20200000000068</v>
      </c>
      <c r="AK115" s="197">
        <f t="shared" si="285"/>
        <v>-274.56200000000081</v>
      </c>
      <c r="AL115" s="196">
        <f t="shared" si="307"/>
        <v>2765.7636834319519</v>
      </c>
      <c r="AM115" s="197">
        <f t="shared" si="308"/>
        <v>436.05769230769226</v>
      </c>
      <c r="AN115" s="197">
        <f t="shared" si="309"/>
        <v>3455.6693786982246</v>
      </c>
      <c r="AO115" s="197">
        <f t="shared" si="310"/>
        <v>-689.90569526627269</v>
      </c>
      <c r="AP115" s="199">
        <f t="shared" si="311"/>
        <v>-253.84800295858059</v>
      </c>
      <c r="AQ115" s="196">
        <f t="shared" ref="AQ115:AQ127" si="351">AQ114+AL115</f>
        <v>3944.5670488165674</v>
      </c>
      <c r="AR115" s="197">
        <f t="shared" si="312"/>
        <v>1361.1976923076923</v>
      </c>
      <c r="AS115" s="197">
        <f t="shared" si="313"/>
        <v>106496.86553254437</v>
      </c>
      <c r="AT115" s="197">
        <f t="shared" si="314"/>
        <v>-102552.29848372781</v>
      </c>
      <c r="AU115" s="199">
        <f t="shared" si="315"/>
        <v>-101191.1007914201</v>
      </c>
      <c r="AX115" s="204">
        <f t="shared" ref="AX115:AX128" si="352">AX114+1</f>
        <v>3</v>
      </c>
      <c r="AY115" s="757">
        <f>'Energy NPV'!$D41</f>
        <v>11.099999999999998</v>
      </c>
      <c r="AZ115" s="197">
        <f>'Energy margins'!$L$12</f>
        <v>269.5</v>
      </c>
      <c r="BA115" s="197">
        <f t="shared" ref="BA115:BA128" si="353">AY115*AZ115</f>
        <v>2991.4499999999994</v>
      </c>
      <c r="BB115" s="197">
        <f>'Margins summary'!$S$14</f>
        <v>471.64</v>
      </c>
      <c r="BC115" s="197">
        <f t="shared" si="316"/>
        <v>3463.0899999999992</v>
      </c>
      <c r="BD115" s="197"/>
      <c r="BE115" s="913">
        <f>'Energy NPV'!U41</f>
        <v>2491.768</v>
      </c>
      <c r="BF115" s="197"/>
      <c r="BG115" s="197">
        <f t="shared" si="286"/>
        <v>1245.884</v>
      </c>
      <c r="BH115" s="197">
        <f t="shared" si="287"/>
        <v>1745.5659999999993</v>
      </c>
      <c r="BI115" s="197">
        <f t="shared" si="288"/>
        <v>2217.2059999999992</v>
      </c>
      <c r="BJ115" s="196">
        <f t="shared" si="317"/>
        <v>2765.7636834319519</v>
      </c>
      <c r="BK115" s="197">
        <f t="shared" si="318"/>
        <v>436.05769230769226</v>
      </c>
      <c r="BL115" s="197">
        <f t="shared" si="319"/>
        <v>1151.8897928994081</v>
      </c>
      <c r="BM115" s="197">
        <f t="shared" si="320"/>
        <v>1613.8738905325436</v>
      </c>
      <c r="BN115" s="199">
        <f t="shared" si="321"/>
        <v>2049.9315828402359</v>
      </c>
      <c r="BO115" s="196">
        <f t="shared" ref="BO115:BO128" si="354">BO114+BJ115</f>
        <v>3944.5670488165674</v>
      </c>
      <c r="BP115" s="197">
        <f t="shared" si="322"/>
        <v>1361.1976923076923</v>
      </c>
      <c r="BQ115" s="197">
        <f t="shared" si="323"/>
        <v>35498.955177514785</v>
      </c>
      <c r="BR115" s="197">
        <f t="shared" si="324"/>
        <v>-31554.388128698229</v>
      </c>
      <c r="BS115" s="199">
        <f t="shared" si="325"/>
        <v>-30193.190436390531</v>
      </c>
      <c r="BV115" s="204">
        <f t="shared" ref="BV115:BV128" si="355">BV114+1</f>
        <v>3</v>
      </c>
      <c r="BW115" s="757">
        <f>'Energy NPV'!$D41</f>
        <v>11.099999999999998</v>
      </c>
      <c r="BX115" s="197">
        <f>'Energy margins'!$L$12</f>
        <v>269.5</v>
      </c>
      <c r="BY115" s="197">
        <f t="shared" ref="BY115:BY128" si="356">BW115*BX115</f>
        <v>2991.4499999999994</v>
      </c>
      <c r="BZ115" s="197">
        <f>'Margins summary'!$S$14</f>
        <v>471.64</v>
      </c>
      <c r="CA115" s="197">
        <f t="shared" si="326"/>
        <v>3463.0899999999992</v>
      </c>
      <c r="CB115" s="197"/>
      <c r="CC115" s="913">
        <f>'Energy NPV'!U41</f>
        <v>2491.768</v>
      </c>
      <c r="CD115" s="197"/>
      <c r="CE115" s="197">
        <f t="shared" si="289"/>
        <v>4983.5360000000001</v>
      </c>
      <c r="CF115" s="197">
        <f t="shared" si="290"/>
        <v>-1992.0860000000007</v>
      </c>
      <c r="CG115" s="197">
        <f t="shared" si="291"/>
        <v>-1520.4460000000008</v>
      </c>
      <c r="CH115" s="196">
        <f t="shared" si="327"/>
        <v>2765.7636834319519</v>
      </c>
      <c r="CI115" s="197">
        <f t="shared" si="328"/>
        <v>436.05769230769226</v>
      </c>
      <c r="CJ115" s="197">
        <f t="shared" si="329"/>
        <v>4607.5591715976325</v>
      </c>
      <c r="CK115" s="197">
        <f t="shared" si="330"/>
        <v>-1841.7954881656808</v>
      </c>
      <c r="CL115" s="199">
        <f t="shared" si="331"/>
        <v>-1405.7377958579889</v>
      </c>
      <c r="CM115" s="196">
        <f t="shared" ref="CM115:CM128" si="357">CM114+CH115</f>
        <v>3944.5670488165674</v>
      </c>
      <c r="CN115" s="197">
        <f t="shared" si="332"/>
        <v>1361.1976923076923</v>
      </c>
      <c r="CO115" s="197">
        <f t="shared" si="333"/>
        <v>141995.82071005914</v>
      </c>
      <c r="CP115" s="197">
        <f t="shared" si="334"/>
        <v>-138051.2536612426</v>
      </c>
      <c r="CQ115" s="199">
        <f t="shared" si="335"/>
        <v>-136690.0559689349</v>
      </c>
      <c r="CT115" s="204">
        <f t="shared" ref="CT115:CT128" si="358">CT114+1</f>
        <v>3</v>
      </c>
      <c r="CU115" s="757">
        <f>'Energy NPV'!$D41</f>
        <v>11.099999999999998</v>
      </c>
      <c r="CV115" s="197">
        <f>'Energy margins'!$L$12</f>
        <v>269.5</v>
      </c>
      <c r="CW115" s="197">
        <f t="shared" ref="CW115:CW128" si="359">CU115*CV115</f>
        <v>2991.4499999999994</v>
      </c>
      <c r="CX115" s="197">
        <f>'Margins summary'!$S$14</f>
        <v>471.64</v>
      </c>
      <c r="CY115" s="197">
        <f t="shared" si="336"/>
        <v>3463.0899999999992</v>
      </c>
      <c r="CZ115" s="197"/>
      <c r="DA115" s="913">
        <f>'Energy NPV'!U41</f>
        <v>2491.768</v>
      </c>
      <c r="DB115" s="197"/>
      <c r="DC115" s="197">
        <f t="shared" si="292"/>
        <v>0</v>
      </c>
      <c r="DD115" s="197">
        <f t="shared" si="293"/>
        <v>2991.4499999999994</v>
      </c>
      <c r="DE115" s="197">
        <f t="shared" si="294"/>
        <v>3463.0899999999992</v>
      </c>
      <c r="DF115" s="196">
        <f t="shared" si="337"/>
        <v>2765.7636834319519</v>
      </c>
      <c r="DG115" s="197">
        <f t="shared" si="338"/>
        <v>436.05769230769226</v>
      </c>
      <c r="DH115" s="197">
        <f t="shared" si="339"/>
        <v>0</v>
      </c>
      <c r="DI115" s="197">
        <f t="shared" si="340"/>
        <v>2765.7636834319519</v>
      </c>
      <c r="DJ115" s="199">
        <f t="shared" si="341"/>
        <v>3201.8213757396438</v>
      </c>
      <c r="DK115" s="196">
        <f t="shared" ref="DK115:DK128" si="360">DK114+DF115</f>
        <v>3944.5670488165674</v>
      </c>
      <c r="DL115" s="197">
        <f t="shared" si="342"/>
        <v>1361.1976923076923</v>
      </c>
      <c r="DM115" s="197">
        <f t="shared" si="343"/>
        <v>0</v>
      </c>
      <c r="DN115" s="197">
        <f t="shared" si="344"/>
        <v>3944.5670488165674</v>
      </c>
      <c r="DO115" s="199">
        <f t="shared" si="345"/>
        <v>5305.7647411242597</v>
      </c>
    </row>
    <row r="116" spans="2:119" x14ac:dyDescent="0.3">
      <c r="B116" s="204">
        <f t="shared" si="346"/>
        <v>4</v>
      </c>
      <c r="C116" s="757">
        <f>'Energy NPV'!$D42</f>
        <v>12.54</v>
      </c>
      <c r="D116" s="197">
        <f>'Energy margins'!$L$12</f>
        <v>269.5</v>
      </c>
      <c r="E116" s="197">
        <f t="shared" si="347"/>
        <v>3379.5299999999997</v>
      </c>
      <c r="F116" s="197">
        <f>'Margins summary'!$S$14</f>
        <v>471.64</v>
      </c>
      <c r="G116" s="197">
        <f t="shared" si="295"/>
        <v>3851.1699999999996</v>
      </c>
      <c r="H116" s="197"/>
      <c r="I116" s="913">
        <f>'Energy NPV'!U42</f>
        <v>2000.1999999999998</v>
      </c>
      <c r="J116" s="197"/>
      <c r="K116" s="197">
        <f t="shared" si="296"/>
        <v>2000.1999999999998</v>
      </c>
      <c r="L116" s="197">
        <f t="shared" si="281"/>
        <v>1379.33</v>
      </c>
      <c r="M116" s="197">
        <f t="shared" si="282"/>
        <v>1850.9699999999998</v>
      </c>
      <c r="N116" s="196">
        <f t="shared" si="297"/>
        <v>3004.3898640191164</v>
      </c>
      <c r="O116" s="197">
        <f t="shared" si="298"/>
        <v>419.28624260355025</v>
      </c>
      <c r="P116" s="197">
        <f t="shared" si="299"/>
        <v>1778.1705166135637</v>
      </c>
      <c r="Q116" s="197">
        <f t="shared" si="300"/>
        <v>1226.219347405553</v>
      </c>
      <c r="R116" s="199">
        <f t="shared" si="301"/>
        <v>1645.5055900091031</v>
      </c>
      <c r="S116" s="196">
        <f t="shared" si="348"/>
        <v>6948.9569128356834</v>
      </c>
      <c r="T116" s="197">
        <f t="shared" si="302"/>
        <v>1780.4839349112426</v>
      </c>
      <c r="U116" s="197">
        <f t="shared" si="303"/>
        <v>72776.080871643135</v>
      </c>
      <c r="V116" s="197">
        <f t="shared" si="304"/>
        <v>-65827.123958807468</v>
      </c>
      <c r="W116" s="199">
        <f t="shared" si="305"/>
        <v>-64046.640023896231</v>
      </c>
      <c r="Z116" s="204">
        <f t="shared" si="349"/>
        <v>4</v>
      </c>
      <c r="AA116" s="757">
        <f>'Energy NPV'!$D42</f>
        <v>12.54</v>
      </c>
      <c r="AB116" s="197">
        <f>'Energy margins'!$L$12</f>
        <v>269.5</v>
      </c>
      <c r="AC116" s="197">
        <f t="shared" si="350"/>
        <v>3379.5299999999997</v>
      </c>
      <c r="AD116" s="197">
        <f>'Margins summary'!$S$14</f>
        <v>471.64</v>
      </c>
      <c r="AE116" s="197">
        <f t="shared" si="306"/>
        <v>3851.1699999999996</v>
      </c>
      <c r="AF116" s="197"/>
      <c r="AG116" s="913">
        <f>'Energy NPV'!U42</f>
        <v>2000.1999999999998</v>
      </c>
      <c r="AH116" s="197"/>
      <c r="AI116" s="197">
        <f t="shared" si="283"/>
        <v>3000.2999999999997</v>
      </c>
      <c r="AJ116" s="197">
        <f t="shared" si="284"/>
        <v>379.23</v>
      </c>
      <c r="AK116" s="197">
        <f t="shared" si="285"/>
        <v>850.86999999999989</v>
      </c>
      <c r="AL116" s="196">
        <f t="shared" si="307"/>
        <v>3004.3898640191164</v>
      </c>
      <c r="AM116" s="197">
        <f t="shared" si="308"/>
        <v>419.28624260355025</v>
      </c>
      <c r="AN116" s="197">
        <f t="shared" si="309"/>
        <v>2667.2557749203456</v>
      </c>
      <c r="AO116" s="197">
        <f t="shared" si="310"/>
        <v>337.13408909877103</v>
      </c>
      <c r="AP116" s="199">
        <f t="shared" si="311"/>
        <v>756.42033170232116</v>
      </c>
      <c r="AQ116" s="196">
        <f t="shared" si="351"/>
        <v>6948.9569128356834</v>
      </c>
      <c r="AR116" s="197">
        <f t="shared" si="312"/>
        <v>1780.4839349112426</v>
      </c>
      <c r="AS116" s="197">
        <f t="shared" si="313"/>
        <v>109164.12130746471</v>
      </c>
      <c r="AT116" s="197">
        <f t="shared" si="314"/>
        <v>-102215.16439462903</v>
      </c>
      <c r="AU116" s="199">
        <f t="shared" si="315"/>
        <v>-100434.68045971778</v>
      </c>
      <c r="AX116" s="204">
        <f t="shared" si="352"/>
        <v>4</v>
      </c>
      <c r="AY116" s="757">
        <f>'Energy NPV'!$D42</f>
        <v>12.54</v>
      </c>
      <c r="AZ116" s="197">
        <f>'Energy margins'!$L$12</f>
        <v>269.5</v>
      </c>
      <c r="BA116" s="197">
        <f t="shared" si="353"/>
        <v>3379.5299999999997</v>
      </c>
      <c r="BB116" s="197">
        <f>'Margins summary'!$S$14</f>
        <v>471.64</v>
      </c>
      <c r="BC116" s="197">
        <f t="shared" si="316"/>
        <v>3851.1699999999996</v>
      </c>
      <c r="BD116" s="197"/>
      <c r="BE116" s="913">
        <f>'Energy NPV'!U42</f>
        <v>2000.1999999999998</v>
      </c>
      <c r="BF116" s="197"/>
      <c r="BG116" s="197">
        <f t="shared" si="286"/>
        <v>1000.0999999999999</v>
      </c>
      <c r="BH116" s="197">
        <f t="shared" si="287"/>
        <v>2379.4299999999998</v>
      </c>
      <c r="BI116" s="197">
        <f t="shared" si="288"/>
        <v>2851.0699999999997</v>
      </c>
      <c r="BJ116" s="196">
        <f t="shared" si="317"/>
        <v>3004.3898640191164</v>
      </c>
      <c r="BK116" s="197">
        <f t="shared" si="318"/>
        <v>419.28624260355025</v>
      </c>
      <c r="BL116" s="197">
        <f t="shared" si="319"/>
        <v>889.08525830678184</v>
      </c>
      <c r="BM116" s="197">
        <f t="shared" si="320"/>
        <v>2115.3046057123347</v>
      </c>
      <c r="BN116" s="199">
        <f t="shared" si="321"/>
        <v>2534.5908483158851</v>
      </c>
      <c r="BO116" s="196">
        <f t="shared" si="354"/>
        <v>6948.9569128356834</v>
      </c>
      <c r="BP116" s="197">
        <f t="shared" si="322"/>
        <v>1780.4839349112426</v>
      </c>
      <c r="BQ116" s="197">
        <f t="shared" si="323"/>
        <v>36388.040435821567</v>
      </c>
      <c r="BR116" s="197">
        <f t="shared" si="324"/>
        <v>-29439.083522985893</v>
      </c>
      <c r="BS116" s="199">
        <f t="shared" si="325"/>
        <v>-27658.599588074645</v>
      </c>
      <c r="BV116" s="204">
        <f t="shared" si="355"/>
        <v>4</v>
      </c>
      <c r="BW116" s="757">
        <f>'Energy NPV'!$D42</f>
        <v>12.54</v>
      </c>
      <c r="BX116" s="197">
        <f>'Energy margins'!$L$12</f>
        <v>269.5</v>
      </c>
      <c r="BY116" s="197">
        <f t="shared" si="356"/>
        <v>3379.5299999999997</v>
      </c>
      <c r="BZ116" s="197">
        <f>'Margins summary'!$S$14</f>
        <v>471.64</v>
      </c>
      <c r="CA116" s="197">
        <f t="shared" si="326"/>
        <v>3851.1699999999996</v>
      </c>
      <c r="CB116" s="197"/>
      <c r="CC116" s="913">
        <f>'Energy NPV'!U42</f>
        <v>2000.1999999999998</v>
      </c>
      <c r="CD116" s="197"/>
      <c r="CE116" s="197">
        <f t="shared" si="289"/>
        <v>4000.3999999999996</v>
      </c>
      <c r="CF116" s="197">
        <f t="shared" si="290"/>
        <v>-620.86999999999989</v>
      </c>
      <c r="CG116" s="197">
        <f t="shared" si="291"/>
        <v>-149.23000000000002</v>
      </c>
      <c r="CH116" s="196">
        <f t="shared" si="327"/>
        <v>3004.3898640191164</v>
      </c>
      <c r="CI116" s="197">
        <f t="shared" si="328"/>
        <v>419.28624260355025</v>
      </c>
      <c r="CJ116" s="197">
        <f t="shared" si="329"/>
        <v>3556.3410332271274</v>
      </c>
      <c r="CK116" s="197">
        <f t="shared" si="330"/>
        <v>-551.95116920801081</v>
      </c>
      <c r="CL116" s="199">
        <f t="shared" si="331"/>
        <v>-132.66492660446065</v>
      </c>
      <c r="CM116" s="196">
        <f t="shared" si="357"/>
        <v>6948.9569128356834</v>
      </c>
      <c r="CN116" s="197">
        <f t="shared" si="332"/>
        <v>1780.4839349112426</v>
      </c>
      <c r="CO116" s="197">
        <f t="shared" si="333"/>
        <v>145552.16174328627</v>
      </c>
      <c r="CP116" s="197">
        <f t="shared" si="334"/>
        <v>-138603.20483045062</v>
      </c>
      <c r="CQ116" s="199">
        <f t="shared" si="335"/>
        <v>-136822.72089553936</v>
      </c>
      <c r="CT116" s="204">
        <f t="shared" si="358"/>
        <v>4</v>
      </c>
      <c r="CU116" s="757">
        <f>'Energy NPV'!$D42</f>
        <v>12.54</v>
      </c>
      <c r="CV116" s="197">
        <f>'Energy margins'!$L$12</f>
        <v>269.5</v>
      </c>
      <c r="CW116" s="197">
        <f t="shared" si="359"/>
        <v>3379.5299999999997</v>
      </c>
      <c r="CX116" s="197">
        <f>'Margins summary'!$S$14</f>
        <v>471.64</v>
      </c>
      <c r="CY116" s="197">
        <f t="shared" si="336"/>
        <v>3851.1699999999996</v>
      </c>
      <c r="CZ116" s="197"/>
      <c r="DA116" s="913">
        <f>'Energy NPV'!U42</f>
        <v>2000.1999999999998</v>
      </c>
      <c r="DB116" s="197"/>
      <c r="DC116" s="197">
        <f t="shared" si="292"/>
        <v>0</v>
      </c>
      <c r="DD116" s="197">
        <f t="shared" si="293"/>
        <v>3379.5299999999997</v>
      </c>
      <c r="DE116" s="197">
        <f t="shared" si="294"/>
        <v>3851.1699999999996</v>
      </c>
      <c r="DF116" s="196">
        <f t="shared" si="337"/>
        <v>3004.3898640191164</v>
      </c>
      <c r="DG116" s="197">
        <f t="shared" si="338"/>
        <v>419.28624260355025</v>
      </c>
      <c r="DH116" s="197">
        <f t="shared" si="339"/>
        <v>0</v>
      </c>
      <c r="DI116" s="197">
        <f t="shared" si="340"/>
        <v>3004.3898640191164</v>
      </c>
      <c r="DJ116" s="199">
        <f t="shared" si="341"/>
        <v>3423.6761066226668</v>
      </c>
      <c r="DK116" s="196">
        <f t="shared" si="360"/>
        <v>6948.9569128356834</v>
      </c>
      <c r="DL116" s="197">
        <f t="shared" si="342"/>
        <v>1780.4839349112426</v>
      </c>
      <c r="DM116" s="197">
        <f t="shared" si="343"/>
        <v>0</v>
      </c>
      <c r="DN116" s="197">
        <f t="shared" si="344"/>
        <v>6948.9569128356834</v>
      </c>
      <c r="DO116" s="199">
        <f t="shared" si="345"/>
        <v>8729.440847746926</v>
      </c>
    </row>
    <row r="117" spans="2:119" x14ac:dyDescent="0.3">
      <c r="B117" s="204">
        <f t="shared" si="346"/>
        <v>5</v>
      </c>
      <c r="C117" s="757">
        <f>'Energy NPV'!$D43</f>
        <v>12.54</v>
      </c>
      <c r="D117" s="197">
        <f>'Energy margins'!$L$12</f>
        <v>269.5</v>
      </c>
      <c r="E117" s="197">
        <f t="shared" si="347"/>
        <v>3379.5299999999997</v>
      </c>
      <c r="F117" s="197">
        <f>'Margins summary'!$S$14</f>
        <v>471.64</v>
      </c>
      <c r="G117" s="197">
        <f t="shared" si="295"/>
        <v>3851.1699999999996</v>
      </c>
      <c r="H117" s="197"/>
      <c r="I117" s="913">
        <f>'Energy NPV'!U43</f>
        <v>2000.1999999999998</v>
      </c>
      <c r="J117" s="197"/>
      <c r="K117" s="197">
        <f t="shared" si="296"/>
        <v>2000.1999999999998</v>
      </c>
      <c r="L117" s="197">
        <f t="shared" si="281"/>
        <v>1379.33</v>
      </c>
      <c r="M117" s="197">
        <f t="shared" si="282"/>
        <v>1850.9699999999998</v>
      </c>
      <c r="N117" s="196">
        <f t="shared" si="297"/>
        <v>2888.8364077106885</v>
      </c>
      <c r="O117" s="197">
        <f t="shared" si="298"/>
        <v>403.15984865725983</v>
      </c>
      <c r="P117" s="197">
        <f t="shared" si="299"/>
        <v>1709.7793428976572</v>
      </c>
      <c r="Q117" s="197">
        <f t="shared" si="300"/>
        <v>1179.0570648130315</v>
      </c>
      <c r="R117" s="199">
        <f t="shared" si="301"/>
        <v>1582.2169134702913</v>
      </c>
      <c r="S117" s="196">
        <f t="shared" si="348"/>
        <v>9837.7933205463723</v>
      </c>
      <c r="T117" s="197">
        <f t="shared" si="302"/>
        <v>2183.6437835685024</v>
      </c>
      <c r="U117" s="197">
        <f t="shared" si="303"/>
        <v>74485.860214540793</v>
      </c>
      <c r="V117" s="197">
        <f t="shared" si="304"/>
        <v>-64648.066893994437</v>
      </c>
      <c r="W117" s="199">
        <f t="shared" si="305"/>
        <v>-62464.423110425938</v>
      </c>
      <c r="Z117" s="204">
        <f t="shared" si="349"/>
        <v>5</v>
      </c>
      <c r="AA117" s="757">
        <f>'Energy NPV'!$D43</f>
        <v>12.54</v>
      </c>
      <c r="AB117" s="197">
        <f>'Energy margins'!$L$12</f>
        <v>269.5</v>
      </c>
      <c r="AC117" s="197">
        <f t="shared" si="350"/>
        <v>3379.5299999999997</v>
      </c>
      <c r="AD117" s="197">
        <f>'Margins summary'!$S$14</f>
        <v>471.64</v>
      </c>
      <c r="AE117" s="197">
        <f t="shared" si="306"/>
        <v>3851.1699999999996</v>
      </c>
      <c r="AF117" s="197"/>
      <c r="AG117" s="913">
        <f>'Energy NPV'!U43</f>
        <v>2000.1999999999998</v>
      </c>
      <c r="AH117" s="197"/>
      <c r="AI117" s="197">
        <f t="shared" si="283"/>
        <v>3000.2999999999997</v>
      </c>
      <c r="AJ117" s="197">
        <f t="shared" si="284"/>
        <v>379.23</v>
      </c>
      <c r="AK117" s="197">
        <f t="shared" si="285"/>
        <v>850.86999999999989</v>
      </c>
      <c r="AL117" s="196">
        <f t="shared" si="307"/>
        <v>2888.8364077106885</v>
      </c>
      <c r="AM117" s="197">
        <f t="shared" si="308"/>
        <v>403.15984865725983</v>
      </c>
      <c r="AN117" s="197">
        <f t="shared" si="309"/>
        <v>2564.6690143464857</v>
      </c>
      <c r="AO117" s="197">
        <f t="shared" si="310"/>
        <v>324.16739336420289</v>
      </c>
      <c r="AP117" s="199">
        <f t="shared" si="311"/>
        <v>727.32724202146255</v>
      </c>
      <c r="AQ117" s="196">
        <f t="shared" si="351"/>
        <v>9837.7933205463723</v>
      </c>
      <c r="AR117" s="197">
        <f t="shared" si="312"/>
        <v>2183.6437835685024</v>
      </c>
      <c r="AS117" s="197">
        <f t="shared" si="313"/>
        <v>111728.79032181119</v>
      </c>
      <c r="AT117" s="197">
        <f t="shared" si="314"/>
        <v>-101890.99700126483</v>
      </c>
      <c r="AU117" s="199">
        <f t="shared" si="315"/>
        <v>-99707.35321769632</v>
      </c>
      <c r="AX117" s="204">
        <f t="shared" si="352"/>
        <v>5</v>
      </c>
      <c r="AY117" s="757">
        <f>'Energy NPV'!$D43</f>
        <v>12.54</v>
      </c>
      <c r="AZ117" s="197">
        <f>'Energy margins'!$L$12</f>
        <v>269.5</v>
      </c>
      <c r="BA117" s="197">
        <f t="shared" si="353"/>
        <v>3379.5299999999997</v>
      </c>
      <c r="BB117" s="197">
        <f>'Margins summary'!$S$14</f>
        <v>471.64</v>
      </c>
      <c r="BC117" s="197">
        <f t="shared" si="316"/>
        <v>3851.1699999999996</v>
      </c>
      <c r="BD117" s="197"/>
      <c r="BE117" s="913">
        <f>'Energy NPV'!U43</f>
        <v>2000.1999999999998</v>
      </c>
      <c r="BF117" s="197"/>
      <c r="BG117" s="197">
        <f t="shared" si="286"/>
        <v>1000.0999999999999</v>
      </c>
      <c r="BH117" s="197">
        <f t="shared" si="287"/>
        <v>2379.4299999999998</v>
      </c>
      <c r="BI117" s="197">
        <f t="shared" si="288"/>
        <v>2851.0699999999997</v>
      </c>
      <c r="BJ117" s="196">
        <f t="shared" si="317"/>
        <v>2888.8364077106885</v>
      </c>
      <c r="BK117" s="197">
        <f t="shared" si="318"/>
        <v>403.15984865725983</v>
      </c>
      <c r="BL117" s="197">
        <f t="shared" si="319"/>
        <v>854.88967144882861</v>
      </c>
      <c r="BM117" s="197">
        <f t="shared" si="320"/>
        <v>2033.94673626186</v>
      </c>
      <c r="BN117" s="199">
        <f t="shared" si="321"/>
        <v>2437.10658491912</v>
      </c>
      <c r="BO117" s="196">
        <f t="shared" si="354"/>
        <v>9837.7933205463723</v>
      </c>
      <c r="BP117" s="197">
        <f t="shared" si="322"/>
        <v>2183.6437835685024</v>
      </c>
      <c r="BQ117" s="197">
        <f t="shared" si="323"/>
        <v>37242.930107270397</v>
      </c>
      <c r="BR117" s="197">
        <f t="shared" si="324"/>
        <v>-27405.136786724033</v>
      </c>
      <c r="BS117" s="199">
        <f t="shared" si="325"/>
        <v>-25221.493003155527</v>
      </c>
      <c r="BV117" s="204">
        <f t="shared" si="355"/>
        <v>5</v>
      </c>
      <c r="BW117" s="757">
        <f>'Energy NPV'!$D43</f>
        <v>12.54</v>
      </c>
      <c r="BX117" s="197">
        <f>'Energy margins'!$L$12</f>
        <v>269.5</v>
      </c>
      <c r="BY117" s="197">
        <f t="shared" si="356"/>
        <v>3379.5299999999997</v>
      </c>
      <c r="BZ117" s="197">
        <f>'Margins summary'!$S$14</f>
        <v>471.64</v>
      </c>
      <c r="CA117" s="197">
        <f t="shared" si="326"/>
        <v>3851.1699999999996</v>
      </c>
      <c r="CB117" s="197"/>
      <c r="CC117" s="913">
        <f>'Energy NPV'!U43</f>
        <v>2000.1999999999998</v>
      </c>
      <c r="CD117" s="197"/>
      <c r="CE117" s="197">
        <f t="shared" si="289"/>
        <v>4000.3999999999996</v>
      </c>
      <c r="CF117" s="197">
        <f t="shared" si="290"/>
        <v>-620.86999999999989</v>
      </c>
      <c r="CG117" s="197">
        <f t="shared" si="291"/>
        <v>-149.23000000000002</v>
      </c>
      <c r="CH117" s="196">
        <f t="shared" si="327"/>
        <v>2888.8364077106885</v>
      </c>
      <c r="CI117" s="197">
        <f t="shared" si="328"/>
        <v>403.15984865725983</v>
      </c>
      <c r="CJ117" s="197">
        <f t="shared" si="329"/>
        <v>3419.5586857953144</v>
      </c>
      <c r="CK117" s="197">
        <f t="shared" si="330"/>
        <v>-530.72227808462571</v>
      </c>
      <c r="CL117" s="199">
        <f t="shared" si="331"/>
        <v>-127.56242942736598</v>
      </c>
      <c r="CM117" s="196">
        <f t="shared" si="357"/>
        <v>9837.7933205463723</v>
      </c>
      <c r="CN117" s="197">
        <f t="shared" si="332"/>
        <v>2183.6437835685024</v>
      </c>
      <c r="CO117" s="197">
        <f t="shared" si="333"/>
        <v>148971.72042908159</v>
      </c>
      <c r="CP117" s="197">
        <f t="shared" si="334"/>
        <v>-139133.92710853525</v>
      </c>
      <c r="CQ117" s="199">
        <f t="shared" si="335"/>
        <v>-136950.28332496673</v>
      </c>
      <c r="CT117" s="204">
        <f t="shared" si="358"/>
        <v>5</v>
      </c>
      <c r="CU117" s="757">
        <f>'Energy NPV'!$D43</f>
        <v>12.54</v>
      </c>
      <c r="CV117" s="197">
        <f>'Energy margins'!$L$12</f>
        <v>269.5</v>
      </c>
      <c r="CW117" s="197">
        <f t="shared" si="359"/>
        <v>3379.5299999999997</v>
      </c>
      <c r="CX117" s="197">
        <f>'Margins summary'!$S$14</f>
        <v>471.64</v>
      </c>
      <c r="CY117" s="197">
        <f t="shared" si="336"/>
        <v>3851.1699999999996</v>
      </c>
      <c r="CZ117" s="197"/>
      <c r="DA117" s="913">
        <f>'Energy NPV'!U43</f>
        <v>2000.1999999999998</v>
      </c>
      <c r="DB117" s="197"/>
      <c r="DC117" s="197">
        <f t="shared" si="292"/>
        <v>0</v>
      </c>
      <c r="DD117" s="197">
        <f t="shared" si="293"/>
        <v>3379.5299999999997</v>
      </c>
      <c r="DE117" s="197">
        <f t="shared" si="294"/>
        <v>3851.1699999999996</v>
      </c>
      <c r="DF117" s="196">
        <f t="shared" si="337"/>
        <v>2888.8364077106885</v>
      </c>
      <c r="DG117" s="197">
        <f t="shared" si="338"/>
        <v>403.15984865725983</v>
      </c>
      <c r="DH117" s="197">
        <f t="shared" si="339"/>
        <v>0</v>
      </c>
      <c r="DI117" s="197">
        <f t="shared" si="340"/>
        <v>2888.8364077106885</v>
      </c>
      <c r="DJ117" s="199">
        <f t="shared" si="341"/>
        <v>3291.9962563679483</v>
      </c>
      <c r="DK117" s="196">
        <f t="shared" si="360"/>
        <v>9837.7933205463723</v>
      </c>
      <c r="DL117" s="197">
        <f t="shared" si="342"/>
        <v>2183.6437835685024</v>
      </c>
      <c r="DM117" s="197">
        <f t="shared" si="343"/>
        <v>0</v>
      </c>
      <c r="DN117" s="197">
        <f t="shared" si="344"/>
        <v>9837.7933205463723</v>
      </c>
      <c r="DO117" s="199">
        <f t="shared" si="345"/>
        <v>12021.437104114873</v>
      </c>
    </row>
    <row r="118" spans="2:119" x14ac:dyDescent="0.3">
      <c r="B118" s="204">
        <f t="shared" si="346"/>
        <v>6</v>
      </c>
      <c r="C118" s="757">
        <f>'Energy NPV'!$D44</f>
        <v>12.54</v>
      </c>
      <c r="D118" s="197">
        <f>'Energy margins'!$L$12</f>
        <v>269.5</v>
      </c>
      <c r="E118" s="197">
        <f t="shared" si="347"/>
        <v>3379.5299999999997</v>
      </c>
      <c r="F118" s="197">
        <f>'Margins summary'!$S$14</f>
        <v>471.64</v>
      </c>
      <c r="G118" s="197">
        <f t="shared" si="295"/>
        <v>3851.1699999999996</v>
      </c>
      <c r="H118" s="197"/>
      <c r="I118" s="913">
        <f>'Energy NPV'!U44</f>
        <v>2000.1999999999998</v>
      </c>
      <c r="J118" s="197"/>
      <c r="K118" s="197">
        <f t="shared" si="296"/>
        <v>2000.1999999999998</v>
      </c>
      <c r="L118" s="197">
        <f t="shared" si="281"/>
        <v>1379.33</v>
      </c>
      <c r="M118" s="197">
        <f t="shared" si="282"/>
        <v>1850.9699999999998</v>
      </c>
      <c r="N118" s="196">
        <f t="shared" si="297"/>
        <v>2777.727315106431</v>
      </c>
      <c r="O118" s="197">
        <f t="shared" si="298"/>
        <v>387.65370063198054</v>
      </c>
      <c r="P118" s="197">
        <f t="shared" si="299"/>
        <v>1644.0185989400547</v>
      </c>
      <c r="Q118" s="197">
        <f t="shared" si="300"/>
        <v>1133.7087161663762</v>
      </c>
      <c r="R118" s="199">
        <f t="shared" si="301"/>
        <v>1521.3624167983567</v>
      </c>
      <c r="S118" s="196">
        <f t="shared" si="348"/>
        <v>12615.520635652803</v>
      </c>
      <c r="T118" s="197">
        <f t="shared" si="302"/>
        <v>2571.2974842004828</v>
      </c>
      <c r="U118" s="197">
        <f t="shared" si="303"/>
        <v>76129.878813480842</v>
      </c>
      <c r="V118" s="197">
        <f t="shared" si="304"/>
        <v>-63514.358177828064</v>
      </c>
      <c r="W118" s="199">
        <f t="shared" si="305"/>
        <v>-60943.06069362758</v>
      </c>
      <c r="Z118" s="204">
        <f t="shared" si="349"/>
        <v>6</v>
      </c>
      <c r="AA118" s="757">
        <f>'Energy NPV'!$D44</f>
        <v>12.54</v>
      </c>
      <c r="AB118" s="197">
        <f>'Energy margins'!$L$12</f>
        <v>269.5</v>
      </c>
      <c r="AC118" s="197">
        <f t="shared" si="350"/>
        <v>3379.5299999999997</v>
      </c>
      <c r="AD118" s="197">
        <f>'Margins summary'!$S$14</f>
        <v>471.64</v>
      </c>
      <c r="AE118" s="197">
        <f t="shared" si="306"/>
        <v>3851.1699999999996</v>
      </c>
      <c r="AF118" s="197"/>
      <c r="AG118" s="913">
        <f>'Energy NPV'!U44</f>
        <v>2000.1999999999998</v>
      </c>
      <c r="AH118" s="197"/>
      <c r="AI118" s="197">
        <f t="shared" si="283"/>
        <v>3000.2999999999997</v>
      </c>
      <c r="AJ118" s="197">
        <f t="shared" si="284"/>
        <v>379.23</v>
      </c>
      <c r="AK118" s="197">
        <f t="shared" si="285"/>
        <v>850.86999999999989</v>
      </c>
      <c r="AL118" s="196">
        <f t="shared" si="307"/>
        <v>2777.727315106431</v>
      </c>
      <c r="AM118" s="197">
        <f t="shared" si="308"/>
        <v>387.65370063198054</v>
      </c>
      <c r="AN118" s="197">
        <f t="shared" si="309"/>
        <v>2466.0278984100823</v>
      </c>
      <c r="AO118" s="197">
        <f t="shared" si="310"/>
        <v>311.69941669634892</v>
      </c>
      <c r="AP118" s="199">
        <f t="shared" si="311"/>
        <v>699.3531173283294</v>
      </c>
      <c r="AQ118" s="196">
        <f t="shared" si="351"/>
        <v>12615.520635652803</v>
      </c>
      <c r="AR118" s="197">
        <f t="shared" si="312"/>
        <v>2571.2974842004828</v>
      </c>
      <c r="AS118" s="197">
        <f t="shared" si="313"/>
        <v>114194.81822022128</v>
      </c>
      <c r="AT118" s="197">
        <f t="shared" si="314"/>
        <v>-101579.29758456847</v>
      </c>
      <c r="AU118" s="199">
        <f t="shared" si="315"/>
        <v>-99008.000100367994</v>
      </c>
      <c r="AX118" s="204">
        <f t="shared" si="352"/>
        <v>6</v>
      </c>
      <c r="AY118" s="757">
        <f>'Energy NPV'!$D44</f>
        <v>12.54</v>
      </c>
      <c r="AZ118" s="197">
        <f>'Energy margins'!$L$12</f>
        <v>269.5</v>
      </c>
      <c r="BA118" s="197">
        <f t="shared" si="353"/>
        <v>3379.5299999999997</v>
      </c>
      <c r="BB118" s="197">
        <f>'Margins summary'!$S$14</f>
        <v>471.64</v>
      </c>
      <c r="BC118" s="197">
        <f t="shared" si="316"/>
        <v>3851.1699999999996</v>
      </c>
      <c r="BD118" s="197"/>
      <c r="BE118" s="913">
        <f>'Energy NPV'!U44</f>
        <v>2000.1999999999998</v>
      </c>
      <c r="BF118" s="197"/>
      <c r="BG118" s="197">
        <f t="shared" si="286"/>
        <v>1000.0999999999999</v>
      </c>
      <c r="BH118" s="197">
        <f t="shared" si="287"/>
        <v>2379.4299999999998</v>
      </c>
      <c r="BI118" s="197">
        <f t="shared" si="288"/>
        <v>2851.0699999999997</v>
      </c>
      <c r="BJ118" s="196">
        <f t="shared" si="317"/>
        <v>2777.727315106431</v>
      </c>
      <c r="BK118" s="197">
        <f t="shared" si="318"/>
        <v>387.65370063198054</v>
      </c>
      <c r="BL118" s="197">
        <f t="shared" si="319"/>
        <v>822.00929947002737</v>
      </c>
      <c r="BM118" s="197">
        <f t="shared" si="320"/>
        <v>1955.7180156364036</v>
      </c>
      <c r="BN118" s="199">
        <f t="shared" si="321"/>
        <v>2343.3717162683843</v>
      </c>
      <c r="BO118" s="196">
        <f t="shared" si="354"/>
        <v>12615.520635652803</v>
      </c>
      <c r="BP118" s="197">
        <f t="shared" si="322"/>
        <v>2571.2974842004828</v>
      </c>
      <c r="BQ118" s="197">
        <f t="shared" si="323"/>
        <v>38064.939406740421</v>
      </c>
      <c r="BR118" s="197">
        <f t="shared" si="324"/>
        <v>-25449.418771087629</v>
      </c>
      <c r="BS118" s="199">
        <f t="shared" si="325"/>
        <v>-22878.121286887144</v>
      </c>
      <c r="BV118" s="204">
        <f t="shared" si="355"/>
        <v>6</v>
      </c>
      <c r="BW118" s="757">
        <f>'Energy NPV'!$D44</f>
        <v>12.54</v>
      </c>
      <c r="BX118" s="197">
        <f>'Energy margins'!$L$12</f>
        <v>269.5</v>
      </c>
      <c r="BY118" s="197">
        <f t="shared" si="356"/>
        <v>3379.5299999999997</v>
      </c>
      <c r="BZ118" s="197">
        <f>'Margins summary'!$S$14</f>
        <v>471.64</v>
      </c>
      <c r="CA118" s="197">
        <f t="shared" si="326"/>
        <v>3851.1699999999996</v>
      </c>
      <c r="CB118" s="197"/>
      <c r="CC118" s="913">
        <f>'Energy NPV'!U44</f>
        <v>2000.1999999999998</v>
      </c>
      <c r="CD118" s="197"/>
      <c r="CE118" s="197">
        <f t="shared" si="289"/>
        <v>4000.3999999999996</v>
      </c>
      <c r="CF118" s="197">
        <f t="shared" si="290"/>
        <v>-620.86999999999989</v>
      </c>
      <c r="CG118" s="197">
        <f t="shared" si="291"/>
        <v>-149.23000000000002</v>
      </c>
      <c r="CH118" s="196">
        <f t="shared" si="327"/>
        <v>2777.727315106431</v>
      </c>
      <c r="CI118" s="197">
        <f t="shared" si="328"/>
        <v>387.65370063198054</v>
      </c>
      <c r="CJ118" s="197">
        <f t="shared" si="329"/>
        <v>3288.0371978801095</v>
      </c>
      <c r="CK118" s="197">
        <f t="shared" si="330"/>
        <v>-510.30988277367851</v>
      </c>
      <c r="CL118" s="199">
        <f t="shared" si="331"/>
        <v>-122.65618214169804</v>
      </c>
      <c r="CM118" s="196">
        <f t="shared" si="357"/>
        <v>12615.520635652803</v>
      </c>
      <c r="CN118" s="197">
        <f t="shared" si="332"/>
        <v>2571.2974842004828</v>
      </c>
      <c r="CO118" s="197">
        <f t="shared" si="333"/>
        <v>152259.75762696168</v>
      </c>
      <c r="CP118" s="197">
        <f t="shared" si="334"/>
        <v>-139644.23699130892</v>
      </c>
      <c r="CQ118" s="199">
        <f t="shared" si="335"/>
        <v>-137072.93950710841</v>
      </c>
      <c r="CT118" s="204">
        <f t="shared" si="358"/>
        <v>6</v>
      </c>
      <c r="CU118" s="757">
        <f>'Energy NPV'!$D44</f>
        <v>12.54</v>
      </c>
      <c r="CV118" s="197">
        <f>'Energy margins'!$L$12</f>
        <v>269.5</v>
      </c>
      <c r="CW118" s="197">
        <f t="shared" si="359"/>
        <v>3379.5299999999997</v>
      </c>
      <c r="CX118" s="197">
        <f>'Margins summary'!$S$14</f>
        <v>471.64</v>
      </c>
      <c r="CY118" s="197">
        <f t="shared" si="336"/>
        <v>3851.1699999999996</v>
      </c>
      <c r="CZ118" s="197"/>
      <c r="DA118" s="913">
        <f>'Energy NPV'!U44</f>
        <v>2000.1999999999998</v>
      </c>
      <c r="DB118" s="197"/>
      <c r="DC118" s="197">
        <f t="shared" si="292"/>
        <v>0</v>
      </c>
      <c r="DD118" s="197">
        <f t="shared" si="293"/>
        <v>3379.5299999999997</v>
      </c>
      <c r="DE118" s="197">
        <f t="shared" si="294"/>
        <v>3851.1699999999996</v>
      </c>
      <c r="DF118" s="196">
        <f t="shared" si="337"/>
        <v>2777.727315106431</v>
      </c>
      <c r="DG118" s="197">
        <f t="shared" si="338"/>
        <v>387.65370063198054</v>
      </c>
      <c r="DH118" s="197">
        <f t="shared" si="339"/>
        <v>0</v>
      </c>
      <c r="DI118" s="197">
        <f t="shared" si="340"/>
        <v>2777.727315106431</v>
      </c>
      <c r="DJ118" s="199">
        <f t="shared" si="341"/>
        <v>3165.3810157384114</v>
      </c>
      <c r="DK118" s="196">
        <f t="shared" si="360"/>
        <v>12615.520635652803</v>
      </c>
      <c r="DL118" s="197">
        <f t="shared" si="342"/>
        <v>2571.2974842004828</v>
      </c>
      <c r="DM118" s="197">
        <f t="shared" si="343"/>
        <v>0</v>
      </c>
      <c r="DN118" s="197">
        <f t="shared" si="344"/>
        <v>12615.520635652803</v>
      </c>
      <c r="DO118" s="199">
        <f t="shared" si="345"/>
        <v>15186.818119853284</v>
      </c>
    </row>
    <row r="119" spans="2:119" x14ac:dyDescent="0.3">
      <c r="B119" s="204">
        <f t="shared" si="346"/>
        <v>7</v>
      </c>
      <c r="C119" s="757">
        <f>'Energy NPV'!$D45</f>
        <v>12.54</v>
      </c>
      <c r="D119" s="197">
        <f>'Energy margins'!$L$12</f>
        <v>269.5</v>
      </c>
      <c r="E119" s="197">
        <f t="shared" si="347"/>
        <v>3379.5299999999997</v>
      </c>
      <c r="F119" s="197">
        <f>'Margins summary'!$S$14</f>
        <v>471.64</v>
      </c>
      <c r="G119" s="197">
        <f t="shared" si="295"/>
        <v>3851.1699999999996</v>
      </c>
      <c r="H119" s="197"/>
      <c r="I119" s="913">
        <f>'Energy NPV'!U45</f>
        <v>2000.1999999999998</v>
      </c>
      <c r="J119" s="197"/>
      <c r="K119" s="197">
        <f t="shared" si="296"/>
        <v>2000.1999999999998</v>
      </c>
      <c r="L119" s="197">
        <f t="shared" si="281"/>
        <v>1379.33</v>
      </c>
      <c r="M119" s="197">
        <f t="shared" si="282"/>
        <v>1850.9699999999998</v>
      </c>
      <c r="N119" s="196">
        <f t="shared" si="297"/>
        <v>2670.891649140799</v>
      </c>
      <c r="O119" s="197">
        <f t="shared" si="298"/>
        <v>372.74394291536589</v>
      </c>
      <c r="P119" s="197">
        <f t="shared" si="299"/>
        <v>1580.7871143654372</v>
      </c>
      <c r="Q119" s="197">
        <f t="shared" si="300"/>
        <v>1090.1045347753618</v>
      </c>
      <c r="R119" s="199">
        <f t="shared" si="301"/>
        <v>1462.8484776907276</v>
      </c>
      <c r="S119" s="196">
        <f t="shared" si="348"/>
        <v>15286.412284793601</v>
      </c>
      <c r="T119" s="197">
        <f t="shared" si="302"/>
        <v>2944.0414271158488</v>
      </c>
      <c r="U119" s="197">
        <f t="shared" si="303"/>
        <v>77710.665927846276</v>
      </c>
      <c r="V119" s="197">
        <f t="shared" si="304"/>
        <v>-62424.253643052703</v>
      </c>
      <c r="W119" s="199">
        <f t="shared" si="305"/>
        <v>-59480.212215936852</v>
      </c>
      <c r="Z119" s="204">
        <f t="shared" si="349"/>
        <v>7</v>
      </c>
      <c r="AA119" s="757">
        <f>'Energy NPV'!$D45</f>
        <v>12.54</v>
      </c>
      <c r="AB119" s="197">
        <f>'Energy margins'!$L$12</f>
        <v>269.5</v>
      </c>
      <c r="AC119" s="197">
        <f t="shared" si="350"/>
        <v>3379.5299999999997</v>
      </c>
      <c r="AD119" s="197">
        <f>'Margins summary'!$S$14</f>
        <v>471.64</v>
      </c>
      <c r="AE119" s="197">
        <f t="shared" si="306"/>
        <v>3851.1699999999996</v>
      </c>
      <c r="AF119" s="197"/>
      <c r="AG119" s="913">
        <f>'Energy NPV'!U45</f>
        <v>2000.1999999999998</v>
      </c>
      <c r="AH119" s="197"/>
      <c r="AI119" s="197">
        <f t="shared" si="283"/>
        <v>3000.2999999999997</v>
      </c>
      <c r="AJ119" s="197">
        <f t="shared" si="284"/>
        <v>379.23</v>
      </c>
      <c r="AK119" s="197">
        <f t="shared" si="285"/>
        <v>850.86999999999989</v>
      </c>
      <c r="AL119" s="196">
        <f t="shared" si="307"/>
        <v>2670.891649140799</v>
      </c>
      <c r="AM119" s="197">
        <f t="shared" si="308"/>
        <v>372.74394291536589</v>
      </c>
      <c r="AN119" s="197">
        <f t="shared" si="309"/>
        <v>2371.1806715481562</v>
      </c>
      <c r="AO119" s="197">
        <f t="shared" si="310"/>
        <v>299.71097759264319</v>
      </c>
      <c r="AP119" s="199">
        <f t="shared" si="311"/>
        <v>672.45492050800897</v>
      </c>
      <c r="AQ119" s="196">
        <f t="shared" si="351"/>
        <v>15286.412284793601</v>
      </c>
      <c r="AR119" s="197">
        <f t="shared" si="312"/>
        <v>2944.0414271158488</v>
      </c>
      <c r="AS119" s="197">
        <f t="shared" si="313"/>
        <v>116565.99889176943</v>
      </c>
      <c r="AT119" s="197">
        <f t="shared" si="314"/>
        <v>-101279.58660697583</v>
      </c>
      <c r="AU119" s="199">
        <f t="shared" si="315"/>
        <v>-98335.545179859982</v>
      </c>
      <c r="AX119" s="204">
        <f t="shared" si="352"/>
        <v>7</v>
      </c>
      <c r="AY119" s="757">
        <f>'Energy NPV'!$D45</f>
        <v>12.54</v>
      </c>
      <c r="AZ119" s="197">
        <f>'Energy margins'!$L$12</f>
        <v>269.5</v>
      </c>
      <c r="BA119" s="197">
        <f t="shared" si="353"/>
        <v>3379.5299999999997</v>
      </c>
      <c r="BB119" s="197">
        <f>'Margins summary'!$S$14</f>
        <v>471.64</v>
      </c>
      <c r="BC119" s="197">
        <f t="shared" si="316"/>
        <v>3851.1699999999996</v>
      </c>
      <c r="BD119" s="197"/>
      <c r="BE119" s="913">
        <f>'Energy NPV'!U45</f>
        <v>2000.1999999999998</v>
      </c>
      <c r="BF119" s="197"/>
      <c r="BG119" s="197">
        <f t="shared" si="286"/>
        <v>1000.0999999999999</v>
      </c>
      <c r="BH119" s="197">
        <f t="shared" si="287"/>
        <v>2379.4299999999998</v>
      </c>
      <c r="BI119" s="197">
        <f t="shared" si="288"/>
        <v>2851.0699999999997</v>
      </c>
      <c r="BJ119" s="196">
        <f t="shared" si="317"/>
        <v>2670.891649140799</v>
      </c>
      <c r="BK119" s="197">
        <f t="shared" si="318"/>
        <v>372.74394291536589</v>
      </c>
      <c r="BL119" s="197">
        <f t="shared" si="319"/>
        <v>790.39355718271861</v>
      </c>
      <c r="BM119" s="197">
        <f t="shared" si="320"/>
        <v>1880.4980919580805</v>
      </c>
      <c r="BN119" s="199">
        <f t="shared" si="321"/>
        <v>2253.2420348734463</v>
      </c>
      <c r="BO119" s="196">
        <f t="shared" si="354"/>
        <v>15286.412284793601</v>
      </c>
      <c r="BP119" s="197">
        <f t="shared" si="322"/>
        <v>2944.0414271158488</v>
      </c>
      <c r="BQ119" s="197">
        <f t="shared" si="323"/>
        <v>38855.332963923138</v>
      </c>
      <c r="BR119" s="197">
        <f t="shared" si="324"/>
        <v>-23568.920679129547</v>
      </c>
      <c r="BS119" s="199">
        <f t="shared" si="325"/>
        <v>-20624.879252013699</v>
      </c>
      <c r="BV119" s="204">
        <f t="shared" si="355"/>
        <v>7</v>
      </c>
      <c r="BW119" s="757">
        <f>'Energy NPV'!$D45</f>
        <v>12.54</v>
      </c>
      <c r="BX119" s="197">
        <f>'Energy margins'!$L$12</f>
        <v>269.5</v>
      </c>
      <c r="BY119" s="197">
        <f t="shared" si="356"/>
        <v>3379.5299999999997</v>
      </c>
      <c r="BZ119" s="197">
        <f>'Margins summary'!$S$14</f>
        <v>471.64</v>
      </c>
      <c r="CA119" s="197">
        <f t="shared" si="326"/>
        <v>3851.1699999999996</v>
      </c>
      <c r="CB119" s="197"/>
      <c r="CC119" s="913">
        <f>'Energy NPV'!U45</f>
        <v>2000.1999999999998</v>
      </c>
      <c r="CD119" s="197"/>
      <c r="CE119" s="197">
        <f t="shared" si="289"/>
        <v>4000.3999999999996</v>
      </c>
      <c r="CF119" s="197">
        <f t="shared" si="290"/>
        <v>-620.86999999999989</v>
      </c>
      <c r="CG119" s="197">
        <f t="shared" si="291"/>
        <v>-149.23000000000002</v>
      </c>
      <c r="CH119" s="196">
        <f t="shared" si="327"/>
        <v>2670.891649140799</v>
      </c>
      <c r="CI119" s="197">
        <f t="shared" si="328"/>
        <v>372.74394291536589</v>
      </c>
      <c r="CJ119" s="197">
        <f t="shared" si="329"/>
        <v>3161.5742287308744</v>
      </c>
      <c r="CK119" s="197">
        <f t="shared" si="330"/>
        <v>-490.68257959007548</v>
      </c>
      <c r="CL119" s="199">
        <f t="shared" si="331"/>
        <v>-117.93863667470966</v>
      </c>
      <c r="CM119" s="196">
        <f t="shared" si="357"/>
        <v>15286.412284793601</v>
      </c>
      <c r="CN119" s="197">
        <f t="shared" si="332"/>
        <v>2944.0414271158488</v>
      </c>
      <c r="CO119" s="197">
        <f t="shared" si="333"/>
        <v>155421.33185569255</v>
      </c>
      <c r="CP119" s="197">
        <f t="shared" si="334"/>
        <v>-140134.91957089899</v>
      </c>
      <c r="CQ119" s="199">
        <f t="shared" si="335"/>
        <v>-137190.87814378313</v>
      </c>
      <c r="CT119" s="204">
        <f t="shared" si="358"/>
        <v>7</v>
      </c>
      <c r="CU119" s="757">
        <f>'Energy NPV'!$D45</f>
        <v>12.54</v>
      </c>
      <c r="CV119" s="197">
        <f>'Energy margins'!$L$12</f>
        <v>269.5</v>
      </c>
      <c r="CW119" s="197">
        <f t="shared" si="359"/>
        <v>3379.5299999999997</v>
      </c>
      <c r="CX119" s="197">
        <f>'Margins summary'!$S$14</f>
        <v>471.64</v>
      </c>
      <c r="CY119" s="197">
        <f t="shared" si="336"/>
        <v>3851.1699999999996</v>
      </c>
      <c r="CZ119" s="197"/>
      <c r="DA119" s="913">
        <f>'Energy NPV'!U45</f>
        <v>2000.1999999999998</v>
      </c>
      <c r="DB119" s="197"/>
      <c r="DC119" s="197">
        <f t="shared" si="292"/>
        <v>0</v>
      </c>
      <c r="DD119" s="197">
        <f t="shared" si="293"/>
        <v>3379.5299999999997</v>
      </c>
      <c r="DE119" s="197">
        <f t="shared" si="294"/>
        <v>3851.1699999999996</v>
      </c>
      <c r="DF119" s="196">
        <f t="shared" si="337"/>
        <v>2670.891649140799</v>
      </c>
      <c r="DG119" s="197">
        <f t="shared" si="338"/>
        <v>372.74394291536589</v>
      </c>
      <c r="DH119" s="197">
        <f t="shared" si="339"/>
        <v>0</v>
      </c>
      <c r="DI119" s="197">
        <f t="shared" si="340"/>
        <v>2670.891649140799</v>
      </c>
      <c r="DJ119" s="199">
        <f t="shared" si="341"/>
        <v>3043.635592056165</v>
      </c>
      <c r="DK119" s="196">
        <f t="shared" si="360"/>
        <v>15286.412284793601</v>
      </c>
      <c r="DL119" s="197">
        <f t="shared" si="342"/>
        <v>2944.0414271158488</v>
      </c>
      <c r="DM119" s="197">
        <f t="shared" si="343"/>
        <v>0</v>
      </c>
      <c r="DN119" s="197">
        <f t="shared" si="344"/>
        <v>15286.412284793601</v>
      </c>
      <c r="DO119" s="199">
        <f t="shared" si="345"/>
        <v>18230.453711909449</v>
      </c>
    </row>
    <row r="120" spans="2:119" x14ac:dyDescent="0.3">
      <c r="B120" s="204">
        <f t="shared" si="346"/>
        <v>8</v>
      </c>
      <c r="C120" s="757">
        <f>'Energy NPV'!$D46</f>
        <v>12.54</v>
      </c>
      <c r="D120" s="197">
        <f>'Energy margins'!$L$12</f>
        <v>269.5</v>
      </c>
      <c r="E120" s="197">
        <f t="shared" si="347"/>
        <v>3379.5299999999997</v>
      </c>
      <c r="F120" s="197">
        <f>'Margins summary'!$S$14</f>
        <v>471.64</v>
      </c>
      <c r="G120" s="197">
        <f t="shared" si="295"/>
        <v>3851.1699999999996</v>
      </c>
      <c r="H120" s="197"/>
      <c r="I120" s="913">
        <f>'Energy NPV'!U46</f>
        <v>2000.1999999999998</v>
      </c>
      <c r="J120" s="197"/>
      <c r="K120" s="197">
        <f t="shared" si="296"/>
        <v>2000.1999999999998</v>
      </c>
      <c r="L120" s="197">
        <f t="shared" si="281"/>
        <v>1379.33</v>
      </c>
      <c r="M120" s="197">
        <f t="shared" si="282"/>
        <v>1850.9699999999998</v>
      </c>
      <c r="N120" s="196">
        <f t="shared" si="297"/>
        <v>2568.1650472507686</v>
      </c>
      <c r="O120" s="197">
        <f t="shared" si="298"/>
        <v>358.40763741862111</v>
      </c>
      <c r="P120" s="197">
        <f t="shared" si="299"/>
        <v>1519.9876099667667</v>
      </c>
      <c r="Q120" s="197">
        <f t="shared" si="300"/>
        <v>1048.1774372840018</v>
      </c>
      <c r="R120" s="199">
        <f t="shared" si="301"/>
        <v>1406.5850747026229</v>
      </c>
      <c r="S120" s="196">
        <f t="shared" si="348"/>
        <v>17854.57733204437</v>
      </c>
      <c r="T120" s="197">
        <f t="shared" si="302"/>
        <v>3302.4490645344699</v>
      </c>
      <c r="U120" s="197">
        <f t="shared" si="303"/>
        <v>79230.653537813036</v>
      </c>
      <c r="V120" s="197">
        <f t="shared" si="304"/>
        <v>-61376.076205768702</v>
      </c>
      <c r="W120" s="199">
        <f t="shared" si="305"/>
        <v>-58073.627141234232</v>
      </c>
      <c r="Z120" s="204">
        <f t="shared" si="349"/>
        <v>8</v>
      </c>
      <c r="AA120" s="757">
        <f>'Energy NPV'!$D46</f>
        <v>12.54</v>
      </c>
      <c r="AB120" s="197">
        <f>'Energy margins'!$L$12</f>
        <v>269.5</v>
      </c>
      <c r="AC120" s="197">
        <f t="shared" si="350"/>
        <v>3379.5299999999997</v>
      </c>
      <c r="AD120" s="197">
        <f>'Margins summary'!$S$14</f>
        <v>471.64</v>
      </c>
      <c r="AE120" s="197">
        <f t="shared" si="306"/>
        <v>3851.1699999999996</v>
      </c>
      <c r="AF120" s="197"/>
      <c r="AG120" s="913">
        <f>'Energy NPV'!U46</f>
        <v>2000.1999999999998</v>
      </c>
      <c r="AH120" s="197"/>
      <c r="AI120" s="197">
        <f t="shared" si="283"/>
        <v>3000.2999999999997</v>
      </c>
      <c r="AJ120" s="197">
        <f t="shared" si="284"/>
        <v>379.23</v>
      </c>
      <c r="AK120" s="197">
        <f t="shared" si="285"/>
        <v>850.86999999999989</v>
      </c>
      <c r="AL120" s="196">
        <f t="shared" si="307"/>
        <v>2568.1650472507686</v>
      </c>
      <c r="AM120" s="197">
        <f t="shared" si="308"/>
        <v>358.40763741862111</v>
      </c>
      <c r="AN120" s="197">
        <f t="shared" si="309"/>
        <v>2279.9814149501503</v>
      </c>
      <c r="AO120" s="197">
        <f t="shared" si="310"/>
        <v>288.18363230061846</v>
      </c>
      <c r="AP120" s="199">
        <f t="shared" si="311"/>
        <v>646.59126971923945</v>
      </c>
      <c r="AQ120" s="196">
        <f t="shared" si="351"/>
        <v>17854.57733204437</v>
      </c>
      <c r="AR120" s="197">
        <f t="shared" si="312"/>
        <v>3302.4490645344699</v>
      </c>
      <c r="AS120" s="197">
        <f t="shared" si="313"/>
        <v>118845.98030671958</v>
      </c>
      <c r="AT120" s="197">
        <f t="shared" si="314"/>
        <v>-100991.40297467522</v>
      </c>
      <c r="AU120" s="199">
        <f t="shared" si="315"/>
        <v>-97688.953910140743</v>
      </c>
      <c r="AX120" s="204">
        <f t="shared" si="352"/>
        <v>8</v>
      </c>
      <c r="AY120" s="757">
        <f>'Energy NPV'!$D46</f>
        <v>12.54</v>
      </c>
      <c r="AZ120" s="197">
        <f>'Energy margins'!$L$12</f>
        <v>269.5</v>
      </c>
      <c r="BA120" s="197">
        <f t="shared" si="353"/>
        <v>3379.5299999999997</v>
      </c>
      <c r="BB120" s="197">
        <f>'Margins summary'!$S$14</f>
        <v>471.64</v>
      </c>
      <c r="BC120" s="197">
        <f t="shared" si="316"/>
        <v>3851.1699999999996</v>
      </c>
      <c r="BD120" s="197"/>
      <c r="BE120" s="913">
        <f>'Energy NPV'!U46</f>
        <v>2000.1999999999998</v>
      </c>
      <c r="BF120" s="197"/>
      <c r="BG120" s="197">
        <f t="shared" si="286"/>
        <v>1000.0999999999999</v>
      </c>
      <c r="BH120" s="197">
        <f t="shared" si="287"/>
        <v>2379.4299999999998</v>
      </c>
      <c r="BI120" s="197">
        <f t="shared" si="288"/>
        <v>2851.0699999999997</v>
      </c>
      <c r="BJ120" s="196">
        <f t="shared" si="317"/>
        <v>2568.1650472507686</v>
      </c>
      <c r="BK120" s="197">
        <f t="shared" si="318"/>
        <v>358.40763741862111</v>
      </c>
      <c r="BL120" s="197">
        <f t="shared" si="319"/>
        <v>759.99380498338337</v>
      </c>
      <c r="BM120" s="197">
        <f t="shared" si="320"/>
        <v>1808.1712422673852</v>
      </c>
      <c r="BN120" s="199">
        <f t="shared" si="321"/>
        <v>2166.5788796860061</v>
      </c>
      <c r="BO120" s="196">
        <f t="shared" si="354"/>
        <v>17854.57733204437</v>
      </c>
      <c r="BP120" s="197">
        <f t="shared" si="322"/>
        <v>3302.4490645344699</v>
      </c>
      <c r="BQ120" s="197">
        <f t="shared" si="323"/>
        <v>39615.326768906518</v>
      </c>
      <c r="BR120" s="197">
        <f t="shared" si="324"/>
        <v>-21760.749436862163</v>
      </c>
      <c r="BS120" s="199">
        <f t="shared" si="325"/>
        <v>-18458.300372327692</v>
      </c>
      <c r="BV120" s="204">
        <f t="shared" si="355"/>
        <v>8</v>
      </c>
      <c r="BW120" s="757">
        <f>'Energy NPV'!$D46</f>
        <v>12.54</v>
      </c>
      <c r="BX120" s="197">
        <f>'Energy margins'!$L$12</f>
        <v>269.5</v>
      </c>
      <c r="BY120" s="197">
        <f t="shared" si="356"/>
        <v>3379.5299999999997</v>
      </c>
      <c r="BZ120" s="197">
        <f>'Margins summary'!$S$14</f>
        <v>471.64</v>
      </c>
      <c r="CA120" s="197">
        <f t="shared" si="326"/>
        <v>3851.1699999999996</v>
      </c>
      <c r="CB120" s="197"/>
      <c r="CC120" s="913">
        <f>'Energy NPV'!U46</f>
        <v>2000.1999999999998</v>
      </c>
      <c r="CD120" s="197"/>
      <c r="CE120" s="197">
        <f t="shared" si="289"/>
        <v>4000.3999999999996</v>
      </c>
      <c r="CF120" s="197">
        <f t="shared" si="290"/>
        <v>-620.86999999999989</v>
      </c>
      <c r="CG120" s="197">
        <f t="shared" si="291"/>
        <v>-149.23000000000002</v>
      </c>
      <c r="CH120" s="196">
        <f t="shared" si="327"/>
        <v>2568.1650472507686</v>
      </c>
      <c r="CI120" s="197">
        <f t="shared" si="328"/>
        <v>358.40763741862111</v>
      </c>
      <c r="CJ120" s="197">
        <f t="shared" si="329"/>
        <v>3039.9752199335335</v>
      </c>
      <c r="CK120" s="197">
        <f t="shared" si="330"/>
        <v>-471.81017268276491</v>
      </c>
      <c r="CL120" s="199">
        <f t="shared" si="331"/>
        <v>-113.40253526414391</v>
      </c>
      <c r="CM120" s="196">
        <f t="shared" si="357"/>
        <v>17854.57733204437</v>
      </c>
      <c r="CN120" s="197">
        <f t="shared" si="332"/>
        <v>3302.4490645344699</v>
      </c>
      <c r="CO120" s="197">
        <f t="shared" si="333"/>
        <v>158461.30707562607</v>
      </c>
      <c r="CP120" s="197">
        <f t="shared" si="334"/>
        <v>-140606.72974358176</v>
      </c>
      <c r="CQ120" s="199">
        <f t="shared" si="335"/>
        <v>-137304.28067904728</v>
      </c>
      <c r="CT120" s="204">
        <f t="shared" si="358"/>
        <v>8</v>
      </c>
      <c r="CU120" s="757">
        <f>'Energy NPV'!$D46</f>
        <v>12.54</v>
      </c>
      <c r="CV120" s="197">
        <f>'Energy margins'!$L$12</f>
        <v>269.5</v>
      </c>
      <c r="CW120" s="197">
        <f t="shared" si="359"/>
        <v>3379.5299999999997</v>
      </c>
      <c r="CX120" s="197">
        <f>'Margins summary'!$S$14</f>
        <v>471.64</v>
      </c>
      <c r="CY120" s="197">
        <f t="shared" si="336"/>
        <v>3851.1699999999996</v>
      </c>
      <c r="CZ120" s="197"/>
      <c r="DA120" s="913">
        <f>'Energy NPV'!U46</f>
        <v>2000.1999999999998</v>
      </c>
      <c r="DB120" s="197"/>
      <c r="DC120" s="197">
        <f t="shared" si="292"/>
        <v>0</v>
      </c>
      <c r="DD120" s="197">
        <f t="shared" si="293"/>
        <v>3379.5299999999997</v>
      </c>
      <c r="DE120" s="197">
        <f t="shared" si="294"/>
        <v>3851.1699999999996</v>
      </c>
      <c r="DF120" s="196">
        <f t="shared" si="337"/>
        <v>2568.1650472507686</v>
      </c>
      <c r="DG120" s="197">
        <f t="shared" si="338"/>
        <v>358.40763741862111</v>
      </c>
      <c r="DH120" s="197">
        <f t="shared" si="339"/>
        <v>0</v>
      </c>
      <c r="DI120" s="197">
        <f t="shared" si="340"/>
        <v>2568.1650472507686</v>
      </c>
      <c r="DJ120" s="199">
        <f t="shared" si="341"/>
        <v>2926.5726846693897</v>
      </c>
      <c r="DK120" s="196">
        <f t="shared" si="360"/>
        <v>17854.57733204437</v>
      </c>
      <c r="DL120" s="197">
        <f t="shared" si="342"/>
        <v>3302.4490645344699</v>
      </c>
      <c r="DM120" s="197">
        <f t="shared" si="343"/>
        <v>0</v>
      </c>
      <c r="DN120" s="197">
        <f t="shared" si="344"/>
        <v>17854.57733204437</v>
      </c>
      <c r="DO120" s="199">
        <f t="shared" si="345"/>
        <v>21157.02639657884</v>
      </c>
    </row>
    <row r="121" spans="2:119" x14ac:dyDescent="0.3">
      <c r="B121" s="204">
        <f t="shared" si="346"/>
        <v>9</v>
      </c>
      <c r="C121" s="757">
        <f>'Energy NPV'!$D47</f>
        <v>12.54</v>
      </c>
      <c r="D121" s="197">
        <f>'Energy margins'!$L$12</f>
        <v>269.5</v>
      </c>
      <c r="E121" s="197">
        <f t="shared" si="347"/>
        <v>3379.5299999999997</v>
      </c>
      <c r="F121" s="197">
        <f>'Margins summary'!$S$14</f>
        <v>471.64</v>
      </c>
      <c r="G121" s="197">
        <f t="shared" si="295"/>
        <v>3851.1699999999996</v>
      </c>
      <c r="H121" s="197"/>
      <c r="I121" s="913">
        <f>'Energy NPV'!U47</f>
        <v>2000.1999999999998</v>
      </c>
      <c r="J121" s="197"/>
      <c r="K121" s="197">
        <f t="shared" si="296"/>
        <v>2000.1999999999998</v>
      </c>
      <c r="L121" s="197">
        <f t="shared" si="281"/>
        <v>1379.33</v>
      </c>
      <c r="M121" s="197">
        <f t="shared" si="282"/>
        <v>1850.9699999999998</v>
      </c>
      <c r="N121" s="196">
        <f t="shared" si="297"/>
        <v>2469.3894685103542</v>
      </c>
      <c r="O121" s="197">
        <f t="shared" si="298"/>
        <v>344.6227282871356</v>
      </c>
      <c r="P121" s="197">
        <f t="shared" si="299"/>
        <v>1461.5265480449677</v>
      </c>
      <c r="Q121" s="197">
        <f t="shared" si="300"/>
        <v>1007.8629204653862</v>
      </c>
      <c r="R121" s="199">
        <f t="shared" si="301"/>
        <v>1352.4856487525217</v>
      </c>
      <c r="S121" s="196">
        <f t="shared" si="348"/>
        <v>20323.966800554725</v>
      </c>
      <c r="T121" s="197">
        <f t="shared" si="302"/>
        <v>3647.0717928216054</v>
      </c>
      <c r="U121" s="197">
        <f t="shared" si="303"/>
        <v>80692.18008585801</v>
      </c>
      <c r="V121" s="197">
        <f t="shared" si="304"/>
        <v>-60368.213285303318</v>
      </c>
      <c r="W121" s="199">
        <f t="shared" si="305"/>
        <v>-56721.141492481707</v>
      </c>
      <c r="Z121" s="204">
        <f t="shared" si="349"/>
        <v>9</v>
      </c>
      <c r="AA121" s="757">
        <f>'Energy NPV'!$D47</f>
        <v>12.54</v>
      </c>
      <c r="AB121" s="197">
        <f>'Energy margins'!$L$12</f>
        <v>269.5</v>
      </c>
      <c r="AC121" s="197">
        <f t="shared" si="350"/>
        <v>3379.5299999999997</v>
      </c>
      <c r="AD121" s="197">
        <f>'Margins summary'!$S$14</f>
        <v>471.64</v>
      </c>
      <c r="AE121" s="197">
        <f t="shared" si="306"/>
        <v>3851.1699999999996</v>
      </c>
      <c r="AF121" s="197"/>
      <c r="AG121" s="913">
        <f>'Energy NPV'!U47</f>
        <v>2000.1999999999998</v>
      </c>
      <c r="AH121" s="197"/>
      <c r="AI121" s="197">
        <f t="shared" si="283"/>
        <v>3000.2999999999997</v>
      </c>
      <c r="AJ121" s="197">
        <f t="shared" si="284"/>
        <v>379.23</v>
      </c>
      <c r="AK121" s="197">
        <f t="shared" si="285"/>
        <v>850.86999999999989</v>
      </c>
      <c r="AL121" s="196">
        <f t="shared" si="307"/>
        <v>2469.3894685103542</v>
      </c>
      <c r="AM121" s="197">
        <f t="shared" si="308"/>
        <v>344.6227282871356</v>
      </c>
      <c r="AN121" s="197">
        <f t="shared" si="309"/>
        <v>2192.2898220674515</v>
      </c>
      <c r="AO121" s="197">
        <f t="shared" si="310"/>
        <v>277.09964644290233</v>
      </c>
      <c r="AP121" s="199">
        <f t="shared" si="311"/>
        <v>621.72237473003781</v>
      </c>
      <c r="AQ121" s="196">
        <f t="shared" si="351"/>
        <v>20323.966800554725</v>
      </c>
      <c r="AR121" s="197">
        <f t="shared" si="312"/>
        <v>3647.0717928216054</v>
      </c>
      <c r="AS121" s="197">
        <f t="shared" si="313"/>
        <v>121038.27012878703</v>
      </c>
      <c r="AT121" s="197">
        <f t="shared" si="314"/>
        <v>-100714.30332823232</v>
      </c>
      <c r="AU121" s="199">
        <f t="shared" si="315"/>
        <v>-97067.231535410698</v>
      </c>
      <c r="AX121" s="204">
        <f t="shared" si="352"/>
        <v>9</v>
      </c>
      <c r="AY121" s="757">
        <f>'Energy NPV'!$D47</f>
        <v>12.54</v>
      </c>
      <c r="AZ121" s="197">
        <f>'Energy margins'!$L$12</f>
        <v>269.5</v>
      </c>
      <c r="BA121" s="197">
        <f t="shared" si="353"/>
        <v>3379.5299999999997</v>
      </c>
      <c r="BB121" s="197">
        <f>'Margins summary'!$S$14</f>
        <v>471.64</v>
      </c>
      <c r="BC121" s="197">
        <f t="shared" si="316"/>
        <v>3851.1699999999996</v>
      </c>
      <c r="BD121" s="197"/>
      <c r="BE121" s="913">
        <f>'Energy NPV'!U47</f>
        <v>2000.1999999999998</v>
      </c>
      <c r="BF121" s="197"/>
      <c r="BG121" s="197">
        <f t="shared" si="286"/>
        <v>1000.0999999999999</v>
      </c>
      <c r="BH121" s="197">
        <f t="shared" si="287"/>
        <v>2379.4299999999998</v>
      </c>
      <c r="BI121" s="197">
        <f t="shared" si="288"/>
        <v>2851.0699999999997</v>
      </c>
      <c r="BJ121" s="196">
        <f t="shared" si="317"/>
        <v>2469.3894685103542</v>
      </c>
      <c r="BK121" s="197">
        <f t="shared" si="318"/>
        <v>344.6227282871356</v>
      </c>
      <c r="BL121" s="197">
        <f t="shared" si="319"/>
        <v>730.76327402248387</v>
      </c>
      <c r="BM121" s="197">
        <f t="shared" si="320"/>
        <v>1738.6261944878702</v>
      </c>
      <c r="BN121" s="199">
        <f t="shared" si="321"/>
        <v>2083.2489227750057</v>
      </c>
      <c r="BO121" s="196">
        <f t="shared" si="354"/>
        <v>20323.966800554725</v>
      </c>
      <c r="BP121" s="197">
        <f t="shared" si="322"/>
        <v>3647.0717928216054</v>
      </c>
      <c r="BQ121" s="197">
        <f t="shared" si="323"/>
        <v>40346.090042929005</v>
      </c>
      <c r="BR121" s="197">
        <f t="shared" si="324"/>
        <v>-20022.123242374291</v>
      </c>
      <c r="BS121" s="199">
        <f t="shared" si="325"/>
        <v>-16375.051449552688</v>
      </c>
      <c r="BV121" s="204">
        <f t="shared" si="355"/>
        <v>9</v>
      </c>
      <c r="BW121" s="757">
        <f>'Energy NPV'!$D47</f>
        <v>12.54</v>
      </c>
      <c r="BX121" s="197">
        <f>'Energy margins'!$L$12</f>
        <v>269.5</v>
      </c>
      <c r="BY121" s="197">
        <f t="shared" si="356"/>
        <v>3379.5299999999997</v>
      </c>
      <c r="BZ121" s="197">
        <f>'Margins summary'!$S$14</f>
        <v>471.64</v>
      </c>
      <c r="CA121" s="197">
        <f t="shared" si="326"/>
        <v>3851.1699999999996</v>
      </c>
      <c r="CB121" s="197"/>
      <c r="CC121" s="913">
        <f>'Energy NPV'!U47</f>
        <v>2000.1999999999998</v>
      </c>
      <c r="CD121" s="197"/>
      <c r="CE121" s="197">
        <f t="shared" si="289"/>
        <v>4000.3999999999996</v>
      </c>
      <c r="CF121" s="197">
        <f t="shared" si="290"/>
        <v>-620.86999999999989</v>
      </c>
      <c r="CG121" s="197">
        <f t="shared" si="291"/>
        <v>-149.23000000000002</v>
      </c>
      <c r="CH121" s="196">
        <f t="shared" si="327"/>
        <v>2469.3894685103542</v>
      </c>
      <c r="CI121" s="197">
        <f t="shared" si="328"/>
        <v>344.6227282871356</v>
      </c>
      <c r="CJ121" s="197">
        <f t="shared" si="329"/>
        <v>2923.0530960899355</v>
      </c>
      <c r="CK121" s="197">
        <f t="shared" si="330"/>
        <v>-453.6636275795816</v>
      </c>
      <c r="CL121" s="199">
        <f t="shared" si="331"/>
        <v>-109.04089929244606</v>
      </c>
      <c r="CM121" s="196">
        <f t="shared" si="357"/>
        <v>20323.966800554725</v>
      </c>
      <c r="CN121" s="197">
        <f t="shared" si="332"/>
        <v>3647.0717928216054</v>
      </c>
      <c r="CO121" s="197">
        <f t="shared" si="333"/>
        <v>161384.36017171602</v>
      </c>
      <c r="CP121" s="197">
        <f t="shared" si="334"/>
        <v>-141060.39337116134</v>
      </c>
      <c r="CQ121" s="199">
        <f t="shared" si="335"/>
        <v>-137413.32157833973</v>
      </c>
      <c r="CT121" s="204">
        <f t="shared" si="358"/>
        <v>9</v>
      </c>
      <c r="CU121" s="757">
        <f>'Energy NPV'!$D47</f>
        <v>12.54</v>
      </c>
      <c r="CV121" s="197">
        <f>'Energy margins'!$L$12</f>
        <v>269.5</v>
      </c>
      <c r="CW121" s="197">
        <f t="shared" si="359"/>
        <v>3379.5299999999997</v>
      </c>
      <c r="CX121" s="197">
        <f>'Margins summary'!$S$14</f>
        <v>471.64</v>
      </c>
      <c r="CY121" s="197">
        <f t="shared" si="336"/>
        <v>3851.1699999999996</v>
      </c>
      <c r="CZ121" s="197"/>
      <c r="DA121" s="913">
        <f>'Energy NPV'!U47</f>
        <v>2000.1999999999998</v>
      </c>
      <c r="DB121" s="197"/>
      <c r="DC121" s="197">
        <f t="shared" si="292"/>
        <v>0</v>
      </c>
      <c r="DD121" s="197">
        <f t="shared" si="293"/>
        <v>3379.5299999999997</v>
      </c>
      <c r="DE121" s="197">
        <f t="shared" si="294"/>
        <v>3851.1699999999996</v>
      </c>
      <c r="DF121" s="196">
        <f t="shared" si="337"/>
        <v>2469.3894685103542</v>
      </c>
      <c r="DG121" s="197">
        <f t="shared" si="338"/>
        <v>344.6227282871356</v>
      </c>
      <c r="DH121" s="197">
        <f t="shared" si="339"/>
        <v>0</v>
      </c>
      <c r="DI121" s="197">
        <f t="shared" si="340"/>
        <v>2469.3894685103542</v>
      </c>
      <c r="DJ121" s="199">
        <f t="shared" si="341"/>
        <v>2814.0121967974897</v>
      </c>
      <c r="DK121" s="196">
        <f t="shared" si="360"/>
        <v>20323.966800554725</v>
      </c>
      <c r="DL121" s="197">
        <f t="shared" si="342"/>
        <v>3647.0717928216054</v>
      </c>
      <c r="DM121" s="197">
        <f t="shared" si="343"/>
        <v>0</v>
      </c>
      <c r="DN121" s="197">
        <f t="shared" si="344"/>
        <v>20323.966800554725</v>
      </c>
      <c r="DO121" s="199">
        <f t="shared" si="345"/>
        <v>23971.038593376328</v>
      </c>
    </row>
    <row r="122" spans="2:119" x14ac:dyDescent="0.3">
      <c r="B122" s="204">
        <f t="shared" si="346"/>
        <v>10</v>
      </c>
      <c r="C122" s="757">
        <f>'Energy NPV'!$D48</f>
        <v>12.54</v>
      </c>
      <c r="D122" s="197">
        <f>'Energy margins'!$L$12</f>
        <v>269.5</v>
      </c>
      <c r="E122" s="197">
        <f t="shared" si="347"/>
        <v>3379.5299999999997</v>
      </c>
      <c r="F122" s="197">
        <f>'Margins summary'!$S$14</f>
        <v>471.64</v>
      </c>
      <c r="G122" s="197">
        <f t="shared" si="295"/>
        <v>3851.1699999999996</v>
      </c>
      <c r="H122" s="197"/>
      <c r="I122" s="913">
        <f>'Energy NPV'!U48</f>
        <v>2000.1999999999998</v>
      </c>
      <c r="J122" s="197"/>
      <c r="K122" s="197">
        <f t="shared" si="296"/>
        <v>2000.1999999999998</v>
      </c>
      <c r="L122" s="197">
        <f t="shared" si="281"/>
        <v>1379.33</v>
      </c>
      <c r="M122" s="197">
        <f t="shared" si="282"/>
        <v>1850.9699999999998</v>
      </c>
      <c r="N122" s="196">
        <f t="shared" si="297"/>
        <v>2374.4129504907251</v>
      </c>
      <c r="O122" s="197">
        <f t="shared" si="298"/>
        <v>331.36800796839958</v>
      </c>
      <c r="P122" s="197">
        <f t="shared" si="299"/>
        <v>1405.3139885047767</v>
      </c>
      <c r="Q122" s="197">
        <f t="shared" si="300"/>
        <v>969.09896198594822</v>
      </c>
      <c r="R122" s="199">
        <f t="shared" si="301"/>
        <v>1300.4669699543476</v>
      </c>
      <c r="S122" s="196">
        <f t="shared" si="348"/>
        <v>22698.37975104545</v>
      </c>
      <c r="T122" s="197">
        <f t="shared" si="302"/>
        <v>3978.4398007900049</v>
      </c>
      <c r="U122" s="197">
        <f t="shared" si="303"/>
        <v>82097.494074362781</v>
      </c>
      <c r="V122" s="197">
        <f t="shared" si="304"/>
        <v>-59399.114323317372</v>
      </c>
      <c r="W122" s="199">
        <f t="shared" si="305"/>
        <v>-55420.674522527363</v>
      </c>
      <c r="Z122" s="204">
        <f t="shared" si="349"/>
        <v>10</v>
      </c>
      <c r="AA122" s="757">
        <f>'Energy NPV'!$D48</f>
        <v>12.54</v>
      </c>
      <c r="AB122" s="197">
        <f>'Energy margins'!$L$12</f>
        <v>269.5</v>
      </c>
      <c r="AC122" s="197">
        <f t="shared" si="350"/>
        <v>3379.5299999999997</v>
      </c>
      <c r="AD122" s="197">
        <f>'Margins summary'!$S$14</f>
        <v>471.64</v>
      </c>
      <c r="AE122" s="197">
        <f t="shared" si="306"/>
        <v>3851.1699999999996</v>
      </c>
      <c r="AF122" s="197"/>
      <c r="AG122" s="913">
        <f>'Energy NPV'!U48</f>
        <v>2000.1999999999998</v>
      </c>
      <c r="AH122" s="197"/>
      <c r="AI122" s="197">
        <f t="shared" si="283"/>
        <v>3000.2999999999997</v>
      </c>
      <c r="AJ122" s="197">
        <f t="shared" si="284"/>
        <v>379.23</v>
      </c>
      <c r="AK122" s="197">
        <f t="shared" si="285"/>
        <v>850.86999999999989</v>
      </c>
      <c r="AL122" s="196">
        <f t="shared" si="307"/>
        <v>2374.4129504907251</v>
      </c>
      <c r="AM122" s="197">
        <f t="shared" si="308"/>
        <v>331.36800796839958</v>
      </c>
      <c r="AN122" s="197">
        <f t="shared" si="309"/>
        <v>2107.9709827571651</v>
      </c>
      <c r="AO122" s="197">
        <f t="shared" si="310"/>
        <v>266.44196773355992</v>
      </c>
      <c r="AP122" s="199">
        <f t="shared" si="311"/>
        <v>597.80997570195939</v>
      </c>
      <c r="AQ122" s="196">
        <f t="shared" si="351"/>
        <v>22698.37975104545</v>
      </c>
      <c r="AR122" s="197">
        <f t="shared" si="312"/>
        <v>3978.4398007900049</v>
      </c>
      <c r="AS122" s="197">
        <f t="shared" si="313"/>
        <v>123146.24111154419</v>
      </c>
      <c r="AT122" s="197">
        <f t="shared" si="314"/>
        <v>-100447.86136049876</v>
      </c>
      <c r="AU122" s="199">
        <f t="shared" si="315"/>
        <v>-96469.421559708731</v>
      </c>
      <c r="AX122" s="204">
        <f t="shared" si="352"/>
        <v>10</v>
      </c>
      <c r="AY122" s="757">
        <f>'Energy NPV'!$D48</f>
        <v>12.54</v>
      </c>
      <c r="AZ122" s="197">
        <f>'Energy margins'!$L$12</f>
        <v>269.5</v>
      </c>
      <c r="BA122" s="197">
        <f t="shared" si="353"/>
        <v>3379.5299999999997</v>
      </c>
      <c r="BB122" s="197">
        <f>'Margins summary'!$S$14</f>
        <v>471.64</v>
      </c>
      <c r="BC122" s="197">
        <f t="shared" si="316"/>
        <v>3851.1699999999996</v>
      </c>
      <c r="BD122" s="197"/>
      <c r="BE122" s="913">
        <f>'Energy NPV'!U48</f>
        <v>2000.1999999999998</v>
      </c>
      <c r="BF122" s="197"/>
      <c r="BG122" s="197">
        <f t="shared" si="286"/>
        <v>1000.0999999999999</v>
      </c>
      <c r="BH122" s="197">
        <f t="shared" si="287"/>
        <v>2379.4299999999998</v>
      </c>
      <c r="BI122" s="197">
        <f t="shared" si="288"/>
        <v>2851.0699999999997</v>
      </c>
      <c r="BJ122" s="196">
        <f t="shared" si="317"/>
        <v>2374.4129504907251</v>
      </c>
      <c r="BK122" s="197">
        <f t="shared" si="318"/>
        <v>331.36800796839958</v>
      </c>
      <c r="BL122" s="197">
        <f t="shared" si="319"/>
        <v>702.65699425238836</v>
      </c>
      <c r="BM122" s="197">
        <f t="shared" si="320"/>
        <v>1671.7559562383365</v>
      </c>
      <c r="BN122" s="199">
        <f t="shared" si="321"/>
        <v>2003.123964206736</v>
      </c>
      <c r="BO122" s="196">
        <f t="shared" si="354"/>
        <v>22698.37975104545</v>
      </c>
      <c r="BP122" s="197">
        <f t="shared" si="322"/>
        <v>3978.4398007900049</v>
      </c>
      <c r="BQ122" s="197">
        <f t="shared" si="323"/>
        <v>41048.747037181391</v>
      </c>
      <c r="BR122" s="197">
        <f t="shared" si="324"/>
        <v>-18350.367286135956</v>
      </c>
      <c r="BS122" s="199">
        <f t="shared" si="325"/>
        <v>-14371.927485345952</v>
      </c>
      <c r="BV122" s="204">
        <f t="shared" si="355"/>
        <v>10</v>
      </c>
      <c r="BW122" s="757">
        <f>'Energy NPV'!$D48</f>
        <v>12.54</v>
      </c>
      <c r="BX122" s="197">
        <f>'Energy margins'!$L$12</f>
        <v>269.5</v>
      </c>
      <c r="BY122" s="197">
        <f t="shared" si="356"/>
        <v>3379.5299999999997</v>
      </c>
      <c r="BZ122" s="197">
        <f>'Margins summary'!$S$14</f>
        <v>471.64</v>
      </c>
      <c r="CA122" s="197">
        <f t="shared" si="326"/>
        <v>3851.1699999999996</v>
      </c>
      <c r="CB122" s="197"/>
      <c r="CC122" s="913">
        <f>'Energy NPV'!U48</f>
        <v>2000.1999999999998</v>
      </c>
      <c r="CD122" s="197"/>
      <c r="CE122" s="197">
        <f t="shared" si="289"/>
        <v>4000.3999999999996</v>
      </c>
      <c r="CF122" s="197">
        <f t="shared" si="290"/>
        <v>-620.86999999999989</v>
      </c>
      <c r="CG122" s="197">
        <f t="shared" si="291"/>
        <v>-149.23000000000002</v>
      </c>
      <c r="CH122" s="196">
        <f t="shared" si="327"/>
        <v>2374.4129504907251</v>
      </c>
      <c r="CI122" s="197">
        <f t="shared" si="328"/>
        <v>331.36800796839958</v>
      </c>
      <c r="CJ122" s="197">
        <f t="shared" si="329"/>
        <v>2810.6279770095534</v>
      </c>
      <c r="CK122" s="197">
        <f t="shared" si="330"/>
        <v>-436.21502651882844</v>
      </c>
      <c r="CL122" s="199">
        <f t="shared" si="331"/>
        <v>-104.84701855042888</v>
      </c>
      <c r="CM122" s="196">
        <f t="shared" si="357"/>
        <v>22698.37975104545</v>
      </c>
      <c r="CN122" s="197">
        <f t="shared" si="332"/>
        <v>3978.4398007900049</v>
      </c>
      <c r="CO122" s="197">
        <f t="shared" si="333"/>
        <v>164194.98814872556</v>
      </c>
      <c r="CP122" s="197">
        <f t="shared" si="334"/>
        <v>-141496.60839768016</v>
      </c>
      <c r="CQ122" s="199">
        <f t="shared" si="335"/>
        <v>-137518.16859689017</v>
      </c>
      <c r="CT122" s="204">
        <f t="shared" si="358"/>
        <v>10</v>
      </c>
      <c r="CU122" s="757">
        <f>'Energy NPV'!$D48</f>
        <v>12.54</v>
      </c>
      <c r="CV122" s="197">
        <f>'Energy margins'!$L$12</f>
        <v>269.5</v>
      </c>
      <c r="CW122" s="197">
        <f t="shared" si="359"/>
        <v>3379.5299999999997</v>
      </c>
      <c r="CX122" s="197">
        <f>'Margins summary'!$S$14</f>
        <v>471.64</v>
      </c>
      <c r="CY122" s="197">
        <f t="shared" si="336"/>
        <v>3851.1699999999996</v>
      </c>
      <c r="CZ122" s="197"/>
      <c r="DA122" s="913">
        <f>'Energy NPV'!U48</f>
        <v>2000.1999999999998</v>
      </c>
      <c r="DB122" s="197"/>
      <c r="DC122" s="197">
        <f t="shared" si="292"/>
        <v>0</v>
      </c>
      <c r="DD122" s="197">
        <f t="shared" si="293"/>
        <v>3379.5299999999997</v>
      </c>
      <c r="DE122" s="197">
        <f t="shared" si="294"/>
        <v>3851.1699999999996</v>
      </c>
      <c r="DF122" s="196">
        <f t="shared" si="337"/>
        <v>2374.4129504907251</v>
      </c>
      <c r="DG122" s="197">
        <f t="shared" si="338"/>
        <v>331.36800796839958</v>
      </c>
      <c r="DH122" s="197">
        <f t="shared" si="339"/>
        <v>0</v>
      </c>
      <c r="DI122" s="197">
        <f t="shared" si="340"/>
        <v>2374.4129504907251</v>
      </c>
      <c r="DJ122" s="199">
        <f t="shared" si="341"/>
        <v>2705.7809584591246</v>
      </c>
      <c r="DK122" s="196">
        <f t="shared" si="360"/>
        <v>22698.37975104545</v>
      </c>
      <c r="DL122" s="197">
        <f t="shared" si="342"/>
        <v>3978.4398007900049</v>
      </c>
      <c r="DM122" s="197">
        <f t="shared" si="343"/>
        <v>0</v>
      </c>
      <c r="DN122" s="197">
        <f t="shared" si="344"/>
        <v>22698.37975104545</v>
      </c>
      <c r="DO122" s="199">
        <f t="shared" si="345"/>
        <v>26676.819551835451</v>
      </c>
    </row>
    <row r="123" spans="2:119" x14ac:dyDescent="0.3">
      <c r="B123" s="204">
        <f t="shared" si="346"/>
        <v>11</v>
      </c>
      <c r="C123" s="757">
        <f>'Energy NPV'!$D49</f>
        <v>12.54</v>
      </c>
      <c r="D123" s="197">
        <f>'Energy margins'!$L$12</f>
        <v>269.5</v>
      </c>
      <c r="E123" s="197">
        <f t="shared" si="347"/>
        <v>3379.5299999999997</v>
      </c>
      <c r="F123" s="197">
        <f>'Margins summary'!$S$14</f>
        <v>471.64</v>
      </c>
      <c r="G123" s="197">
        <f t="shared" si="295"/>
        <v>3851.1699999999996</v>
      </c>
      <c r="H123" s="197"/>
      <c r="I123" s="913">
        <f>'Energy NPV'!U49</f>
        <v>2000.1999999999998</v>
      </c>
      <c r="J123" s="197"/>
      <c r="K123" s="197">
        <f t="shared" si="296"/>
        <v>2000.1999999999998</v>
      </c>
      <c r="L123" s="197">
        <f t="shared" si="281"/>
        <v>1379.33</v>
      </c>
      <c r="M123" s="197">
        <f t="shared" si="282"/>
        <v>1850.9699999999998</v>
      </c>
      <c r="N123" s="196">
        <f t="shared" si="297"/>
        <v>2283.0893754718509</v>
      </c>
      <c r="O123" s="197">
        <f t="shared" si="298"/>
        <v>318.62308458499962</v>
      </c>
      <c r="P123" s="197">
        <f t="shared" si="299"/>
        <v>1351.2634504853622</v>
      </c>
      <c r="Q123" s="197">
        <f t="shared" si="300"/>
        <v>931.82592498648864</v>
      </c>
      <c r="R123" s="199">
        <f t="shared" si="301"/>
        <v>1250.4490095714882</v>
      </c>
      <c r="S123" s="196">
        <f t="shared" si="348"/>
        <v>24981.469126517302</v>
      </c>
      <c r="T123" s="197">
        <f t="shared" si="302"/>
        <v>4297.062885375005</v>
      </c>
      <c r="U123" s="197">
        <f t="shared" si="303"/>
        <v>83448.757524848144</v>
      </c>
      <c r="V123" s="197">
        <f t="shared" si="304"/>
        <v>-58467.288398330886</v>
      </c>
      <c r="W123" s="199">
        <f t="shared" si="305"/>
        <v>-54170.225512955876</v>
      </c>
      <c r="Z123" s="204">
        <f t="shared" si="349"/>
        <v>11</v>
      </c>
      <c r="AA123" s="757">
        <f>'Energy NPV'!$D49</f>
        <v>12.54</v>
      </c>
      <c r="AB123" s="197">
        <f>'Energy margins'!$L$12</f>
        <v>269.5</v>
      </c>
      <c r="AC123" s="197">
        <f t="shared" si="350"/>
        <v>3379.5299999999997</v>
      </c>
      <c r="AD123" s="197">
        <f>'Margins summary'!$S$14</f>
        <v>471.64</v>
      </c>
      <c r="AE123" s="197">
        <f t="shared" si="306"/>
        <v>3851.1699999999996</v>
      </c>
      <c r="AF123" s="197"/>
      <c r="AG123" s="913">
        <f>'Energy NPV'!U49</f>
        <v>2000.1999999999998</v>
      </c>
      <c r="AH123" s="197"/>
      <c r="AI123" s="197">
        <f t="shared" si="283"/>
        <v>3000.2999999999997</v>
      </c>
      <c r="AJ123" s="197">
        <f t="shared" si="284"/>
        <v>379.23</v>
      </c>
      <c r="AK123" s="197">
        <f t="shared" si="285"/>
        <v>850.86999999999989</v>
      </c>
      <c r="AL123" s="196">
        <f t="shared" si="307"/>
        <v>2283.0893754718509</v>
      </c>
      <c r="AM123" s="197">
        <f t="shared" si="308"/>
        <v>318.62308458499962</v>
      </c>
      <c r="AN123" s="197">
        <f t="shared" si="309"/>
        <v>2026.8951757280431</v>
      </c>
      <c r="AO123" s="197">
        <f t="shared" si="310"/>
        <v>256.19419974380759</v>
      </c>
      <c r="AP123" s="199">
        <f t="shared" si="311"/>
        <v>574.81728432880709</v>
      </c>
      <c r="AQ123" s="196">
        <f t="shared" si="351"/>
        <v>24981.469126517302</v>
      </c>
      <c r="AR123" s="197">
        <f t="shared" si="312"/>
        <v>4297.062885375005</v>
      </c>
      <c r="AS123" s="197">
        <f t="shared" si="313"/>
        <v>125173.13628727224</v>
      </c>
      <c r="AT123" s="197">
        <f t="shared" si="314"/>
        <v>-100191.66716075495</v>
      </c>
      <c r="AU123" s="199">
        <f t="shared" si="315"/>
        <v>-95894.604275379927</v>
      </c>
      <c r="AX123" s="204">
        <f t="shared" si="352"/>
        <v>11</v>
      </c>
      <c r="AY123" s="757">
        <f>'Energy NPV'!$D49</f>
        <v>12.54</v>
      </c>
      <c r="AZ123" s="197">
        <f>'Energy margins'!$L$12</f>
        <v>269.5</v>
      </c>
      <c r="BA123" s="197">
        <f t="shared" si="353"/>
        <v>3379.5299999999997</v>
      </c>
      <c r="BB123" s="197">
        <f>'Margins summary'!$S$14</f>
        <v>471.64</v>
      </c>
      <c r="BC123" s="197">
        <f t="shared" si="316"/>
        <v>3851.1699999999996</v>
      </c>
      <c r="BD123" s="197"/>
      <c r="BE123" s="913">
        <f>'Energy NPV'!U49</f>
        <v>2000.1999999999998</v>
      </c>
      <c r="BF123" s="197"/>
      <c r="BG123" s="197">
        <f t="shared" si="286"/>
        <v>1000.0999999999999</v>
      </c>
      <c r="BH123" s="197">
        <f t="shared" si="287"/>
        <v>2379.4299999999998</v>
      </c>
      <c r="BI123" s="197">
        <f t="shared" si="288"/>
        <v>2851.0699999999997</v>
      </c>
      <c r="BJ123" s="196">
        <f t="shared" si="317"/>
        <v>2283.0893754718509</v>
      </c>
      <c r="BK123" s="197">
        <f t="shared" si="318"/>
        <v>318.62308458499962</v>
      </c>
      <c r="BL123" s="197">
        <f t="shared" si="319"/>
        <v>675.63172524268111</v>
      </c>
      <c r="BM123" s="197">
        <f t="shared" si="320"/>
        <v>1607.4576502291698</v>
      </c>
      <c r="BN123" s="199">
        <f t="shared" si="321"/>
        <v>1926.0807348141693</v>
      </c>
      <c r="BO123" s="196">
        <f t="shared" si="354"/>
        <v>24981.469126517302</v>
      </c>
      <c r="BP123" s="197">
        <f t="shared" si="322"/>
        <v>4297.062885375005</v>
      </c>
      <c r="BQ123" s="197">
        <f t="shared" si="323"/>
        <v>41724.378762424072</v>
      </c>
      <c r="BR123" s="197">
        <f t="shared" si="324"/>
        <v>-16742.909635906784</v>
      </c>
      <c r="BS123" s="199">
        <f t="shared" si="325"/>
        <v>-12445.846750531782</v>
      </c>
      <c r="BV123" s="204">
        <f t="shared" si="355"/>
        <v>11</v>
      </c>
      <c r="BW123" s="757">
        <f>'Energy NPV'!$D49</f>
        <v>12.54</v>
      </c>
      <c r="BX123" s="197">
        <f>'Energy margins'!$L$12</f>
        <v>269.5</v>
      </c>
      <c r="BY123" s="197">
        <f t="shared" si="356"/>
        <v>3379.5299999999997</v>
      </c>
      <c r="BZ123" s="197">
        <f>'Margins summary'!$S$14</f>
        <v>471.64</v>
      </c>
      <c r="CA123" s="197">
        <f t="shared" si="326"/>
        <v>3851.1699999999996</v>
      </c>
      <c r="CB123" s="197"/>
      <c r="CC123" s="913">
        <f>'Energy NPV'!U49</f>
        <v>2000.1999999999998</v>
      </c>
      <c r="CD123" s="197"/>
      <c r="CE123" s="197">
        <f t="shared" si="289"/>
        <v>4000.3999999999996</v>
      </c>
      <c r="CF123" s="197">
        <f t="shared" si="290"/>
        <v>-620.86999999999989</v>
      </c>
      <c r="CG123" s="197">
        <f t="shared" si="291"/>
        <v>-149.23000000000002</v>
      </c>
      <c r="CH123" s="196">
        <f t="shared" si="327"/>
        <v>2283.0893754718509</v>
      </c>
      <c r="CI123" s="197">
        <f t="shared" si="328"/>
        <v>318.62308458499962</v>
      </c>
      <c r="CJ123" s="197">
        <f t="shared" si="329"/>
        <v>2702.5269009707245</v>
      </c>
      <c r="CK123" s="197">
        <f t="shared" si="330"/>
        <v>-419.43752549887347</v>
      </c>
      <c r="CL123" s="199">
        <f t="shared" si="331"/>
        <v>-100.81444091387392</v>
      </c>
      <c r="CM123" s="196">
        <f t="shared" si="357"/>
        <v>24981.469126517302</v>
      </c>
      <c r="CN123" s="197">
        <f t="shared" si="332"/>
        <v>4297.062885375005</v>
      </c>
      <c r="CO123" s="197">
        <f t="shared" si="333"/>
        <v>166897.51504969629</v>
      </c>
      <c r="CP123" s="197">
        <f t="shared" si="334"/>
        <v>-141916.04592317904</v>
      </c>
      <c r="CQ123" s="199">
        <f t="shared" si="335"/>
        <v>-137618.98303780405</v>
      </c>
      <c r="CT123" s="204">
        <f t="shared" si="358"/>
        <v>11</v>
      </c>
      <c r="CU123" s="757">
        <f>'Energy NPV'!$D49</f>
        <v>12.54</v>
      </c>
      <c r="CV123" s="197">
        <f>'Energy margins'!$L$12</f>
        <v>269.5</v>
      </c>
      <c r="CW123" s="197">
        <f t="shared" si="359"/>
        <v>3379.5299999999997</v>
      </c>
      <c r="CX123" s="197">
        <f>'Margins summary'!$S$14</f>
        <v>471.64</v>
      </c>
      <c r="CY123" s="197">
        <f t="shared" si="336"/>
        <v>3851.1699999999996</v>
      </c>
      <c r="CZ123" s="197"/>
      <c r="DA123" s="913">
        <f>'Energy NPV'!U49</f>
        <v>2000.1999999999998</v>
      </c>
      <c r="DB123" s="197"/>
      <c r="DC123" s="197">
        <f t="shared" si="292"/>
        <v>0</v>
      </c>
      <c r="DD123" s="197">
        <f t="shared" si="293"/>
        <v>3379.5299999999997</v>
      </c>
      <c r="DE123" s="197">
        <f t="shared" si="294"/>
        <v>3851.1699999999996</v>
      </c>
      <c r="DF123" s="196">
        <f t="shared" si="337"/>
        <v>2283.0893754718509</v>
      </c>
      <c r="DG123" s="197">
        <f t="shared" si="338"/>
        <v>318.62308458499962</v>
      </c>
      <c r="DH123" s="197">
        <f t="shared" si="339"/>
        <v>0</v>
      </c>
      <c r="DI123" s="197">
        <f t="shared" si="340"/>
        <v>2283.0893754718509</v>
      </c>
      <c r="DJ123" s="199">
        <f t="shared" si="341"/>
        <v>2601.7124600568504</v>
      </c>
      <c r="DK123" s="196">
        <f t="shared" si="360"/>
        <v>24981.469126517302</v>
      </c>
      <c r="DL123" s="197">
        <f t="shared" si="342"/>
        <v>4297.062885375005</v>
      </c>
      <c r="DM123" s="197">
        <f t="shared" si="343"/>
        <v>0</v>
      </c>
      <c r="DN123" s="197">
        <f t="shared" si="344"/>
        <v>24981.469126517302</v>
      </c>
      <c r="DO123" s="199">
        <f t="shared" si="345"/>
        <v>29278.532011892301</v>
      </c>
    </row>
    <row r="124" spans="2:119" x14ac:dyDescent="0.3">
      <c r="B124" s="204">
        <f t="shared" si="346"/>
        <v>12</v>
      </c>
      <c r="C124" s="757">
        <f>'Energy NPV'!$D50</f>
        <v>12.54</v>
      </c>
      <c r="D124" s="197">
        <f>'Energy margins'!$L$12</f>
        <v>269.5</v>
      </c>
      <c r="E124" s="197">
        <f t="shared" si="347"/>
        <v>3379.5299999999997</v>
      </c>
      <c r="F124" s="197">
        <f>'Margins summary'!$S$14</f>
        <v>471.64</v>
      </c>
      <c r="G124" s="197">
        <f t="shared" si="295"/>
        <v>3851.1699999999996</v>
      </c>
      <c r="H124" s="197"/>
      <c r="I124" s="913">
        <f>'Energy NPV'!U50</f>
        <v>2000.1999999999998</v>
      </c>
      <c r="J124" s="197"/>
      <c r="K124" s="197">
        <f t="shared" si="296"/>
        <v>2000.1999999999998</v>
      </c>
      <c r="L124" s="197">
        <f t="shared" si="281"/>
        <v>1379.33</v>
      </c>
      <c r="M124" s="197">
        <f t="shared" si="282"/>
        <v>1850.9699999999998</v>
      </c>
      <c r="N124" s="196">
        <f t="shared" si="297"/>
        <v>2195.2782456460104</v>
      </c>
      <c r="O124" s="197">
        <f t="shared" si="298"/>
        <v>306.36835056249964</v>
      </c>
      <c r="P124" s="197">
        <f t="shared" si="299"/>
        <v>1299.2917793128483</v>
      </c>
      <c r="Q124" s="197">
        <f t="shared" si="300"/>
        <v>895.9864663331623</v>
      </c>
      <c r="R124" s="199">
        <f t="shared" si="301"/>
        <v>1202.3548168956618</v>
      </c>
      <c r="S124" s="196">
        <f t="shared" si="348"/>
        <v>27176.747372163314</v>
      </c>
      <c r="T124" s="197">
        <f t="shared" si="302"/>
        <v>4603.4312359375044</v>
      </c>
      <c r="U124" s="197">
        <f t="shared" si="303"/>
        <v>84748.049304160988</v>
      </c>
      <c r="V124" s="197">
        <f t="shared" si="304"/>
        <v>-57571.301931997725</v>
      </c>
      <c r="W124" s="199">
        <f t="shared" si="305"/>
        <v>-52967.870696060214</v>
      </c>
      <c r="Z124" s="204">
        <f t="shared" si="349"/>
        <v>12</v>
      </c>
      <c r="AA124" s="757">
        <f>'Energy NPV'!$D50</f>
        <v>12.54</v>
      </c>
      <c r="AB124" s="197">
        <f>'Energy margins'!$L$12</f>
        <v>269.5</v>
      </c>
      <c r="AC124" s="197">
        <f t="shared" si="350"/>
        <v>3379.5299999999997</v>
      </c>
      <c r="AD124" s="197">
        <f>'Margins summary'!$S$14</f>
        <v>471.64</v>
      </c>
      <c r="AE124" s="197">
        <f t="shared" si="306"/>
        <v>3851.1699999999996</v>
      </c>
      <c r="AF124" s="197"/>
      <c r="AG124" s="913">
        <f>'Energy NPV'!U50</f>
        <v>2000.1999999999998</v>
      </c>
      <c r="AH124" s="197"/>
      <c r="AI124" s="197">
        <f t="shared" si="283"/>
        <v>3000.2999999999997</v>
      </c>
      <c r="AJ124" s="197">
        <f t="shared" si="284"/>
        <v>379.23</v>
      </c>
      <c r="AK124" s="197">
        <f t="shared" si="285"/>
        <v>850.86999999999989</v>
      </c>
      <c r="AL124" s="196">
        <f t="shared" si="307"/>
        <v>2195.2782456460104</v>
      </c>
      <c r="AM124" s="197">
        <f t="shared" si="308"/>
        <v>306.36835056249964</v>
      </c>
      <c r="AN124" s="197">
        <f t="shared" si="309"/>
        <v>1948.9376689692724</v>
      </c>
      <c r="AO124" s="197">
        <f t="shared" si="310"/>
        <v>246.3405766767381</v>
      </c>
      <c r="AP124" s="199">
        <f t="shared" si="311"/>
        <v>552.70892723923771</v>
      </c>
      <c r="AQ124" s="196">
        <f t="shared" si="351"/>
        <v>27176.747372163314</v>
      </c>
      <c r="AR124" s="197">
        <f t="shared" si="312"/>
        <v>4603.4312359375044</v>
      </c>
      <c r="AS124" s="197">
        <f t="shared" si="313"/>
        <v>127122.07395624151</v>
      </c>
      <c r="AT124" s="197">
        <f t="shared" si="314"/>
        <v>-99945.326584078211</v>
      </c>
      <c r="AU124" s="199">
        <f t="shared" si="315"/>
        <v>-95341.895348140693</v>
      </c>
      <c r="AX124" s="204">
        <f t="shared" si="352"/>
        <v>12</v>
      </c>
      <c r="AY124" s="757">
        <f>'Energy NPV'!$D50</f>
        <v>12.54</v>
      </c>
      <c r="AZ124" s="197">
        <f>'Energy margins'!$L$12</f>
        <v>269.5</v>
      </c>
      <c r="BA124" s="197">
        <f t="shared" si="353"/>
        <v>3379.5299999999997</v>
      </c>
      <c r="BB124" s="197">
        <f>'Margins summary'!$S$14</f>
        <v>471.64</v>
      </c>
      <c r="BC124" s="197">
        <f t="shared" si="316"/>
        <v>3851.1699999999996</v>
      </c>
      <c r="BD124" s="197"/>
      <c r="BE124" s="913">
        <f>'Energy NPV'!U50</f>
        <v>2000.1999999999998</v>
      </c>
      <c r="BF124" s="197"/>
      <c r="BG124" s="197">
        <f t="shared" si="286"/>
        <v>1000.0999999999999</v>
      </c>
      <c r="BH124" s="197">
        <f t="shared" si="287"/>
        <v>2379.4299999999998</v>
      </c>
      <c r="BI124" s="197">
        <f t="shared" si="288"/>
        <v>2851.0699999999997</v>
      </c>
      <c r="BJ124" s="196">
        <f t="shared" si="317"/>
        <v>2195.2782456460104</v>
      </c>
      <c r="BK124" s="197">
        <f t="shared" si="318"/>
        <v>306.36835056249964</v>
      </c>
      <c r="BL124" s="197">
        <f t="shared" si="319"/>
        <v>649.64588965642417</v>
      </c>
      <c r="BM124" s="197">
        <f t="shared" si="320"/>
        <v>1545.6323559895864</v>
      </c>
      <c r="BN124" s="199">
        <f t="shared" si="321"/>
        <v>1852.0007065520861</v>
      </c>
      <c r="BO124" s="196">
        <f t="shared" si="354"/>
        <v>27176.747372163314</v>
      </c>
      <c r="BP124" s="197">
        <f t="shared" si="322"/>
        <v>4603.4312359375044</v>
      </c>
      <c r="BQ124" s="197">
        <f t="shared" si="323"/>
        <v>42374.024652080494</v>
      </c>
      <c r="BR124" s="197">
        <f t="shared" si="324"/>
        <v>-15197.277279917198</v>
      </c>
      <c r="BS124" s="199">
        <f t="shared" si="325"/>
        <v>-10593.846043979696</v>
      </c>
      <c r="BV124" s="204">
        <f t="shared" si="355"/>
        <v>12</v>
      </c>
      <c r="BW124" s="757">
        <f>'Energy NPV'!$D50</f>
        <v>12.54</v>
      </c>
      <c r="BX124" s="197">
        <f>'Energy margins'!$L$12</f>
        <v>269.5</v>
      </c>
      <c r="BY124" s="197">
        <f t="shared" si="356"/>
        <v>3379.5299999999997</v>
      </c>
      <c r="BZ124" s="197">
        <f>'Margins summary'!$S$14</f>
        <v>471.64</v>
      </c>
      <c r="CA124" s="197">
        <f t="shared" si="326"/>
        <v>3851.1699999999996</v>
      </c>
      <c r="CB124" s="197"/>
      <c r="CC124" s="913">
        <f>'Energy NPV'!U50</f>
        <v>2000.1999999999998</v>
      </c>
      <c r="CD124" s="197"/>
      <c r="CE124" s="197">
        <f t="shared" si="289"/>
        <v>4000.3999999999996</v>
      </c>
      <c r="CF124" s="197">
        <f t="shared" si="290"/>
        <v>-620.86999999999989</v>
      </c>
      <c r="CG124" s="197">
        <f t="shared" si="291"/>
        <v>-149.23000000000002</v>
      </c>
      <c r="CH124" s="196">
        <f t="shared" si="327"/>
        <v>2195.2782456460104</v>
      </c>
      <c r="CI124" s="197">
        <f t="shared" si="328"/>
        <v>306.36835056249964</v>
      </c>
      <c r="CJ124" s="197">
        <f t="shared" si="329"/>
        <v>2598.5835586256967</v>
      </c>
      <c r="CK124" s="197">
        <f t="shared" si="330"/>
        <v>-403.30531297968605</v>
      </c>
      <c r="CL124" s="199">
        <f t="shared" si="331"/>
        <v>-96.936962417186479</v>
      </c>
      <c r="CM124" s="196">
        <f t="shared" si="357"/>
        <v>27176.747372163314</v>
      </c>
      <c r="CN124" s="197">
        <f t="shared" si="332"/>
        <v>4603.4312359375044</v>
      </c>
      <c r="CO124" s="197">
        <f t="shared" si="333"/>
        <v>169496.09860832198</v>
      </c>
      <c r="CP124" s="197">
        <f t="shared" si="334"/>
        <v>-142319.35123615872</v>
      </c>
      <c r="CQ124" s="199">
        <f t="shared" si="335"/>
        <v>-137715.92000022123</v>
      </c>
      <c r="CT124" s="204">
        <f t="shared" si="358"/>
        <v>12</v>
      </c>
      <c r="CU124" s="757">
        <f>'Energy NPV'!$D50</f>
        <v>12.54</v>
      </c>
      <c r="CV124" s="197">
        <f>'Energy margins'!$L$12</f>
        <v>269.5</v>
      </c>
      <c r="CW124" s="197">
        <f t="shared" si="359"/>
        <v>3379.5299999999997</v>
      </c>
      <c r="CX124" s="197">
        <f>'Margins summary'!$S$14</f>
        <v>471.64</v>
      </c>
      <c r="CY124" s="197">
        <f t="shared" si="336"/>
        <v>3851.1699999999996</v>
      </c>
      <c r="CZ124" s="197"/>
      <c r="DA124" s="913">
        <f>'Energy NPV'!U50</f>
        <v>2000.1999999999998</v>
      </c>
      <c r="DB124" s="197"/>
      <c r="DC124" s="197">
        <f t="shared" si="292"/>
        <v>0</v>
      </c>
      <c r="DD124" s="197">
        <f t="shared" si="293"/>
        <v>3379.5299999999997</v>
      </c>
      <c r="DE124" s="197">
        <f t="shared" si="294"/>
        <v>3851.1699999999996</v>
      </c>
      <c r="DF124" s="196">
        <f t="shared" si="337"/>
        <v>2195.2782456460104</v>
      </c>
      <c r="DG124" s="197">
        <f t="shared" si="338"/>
        <v>306.36835056249964</v>
      </c>
      <c r="DH124" s="197">
        <f t="shared" si="339"/>
        <v>0</v>
      </c>
      <c r="DI124" s="197">
        <f t="shared" si="340"/>
        <v>2195.2782456460104</v>
      </c>
      <c r="DJ124" s="199">
        <f t="shared" si="341"/>
        <v>2501.6465962085103</v>
      </c>
      <c r="DK124" s="196">
        <f t="shared" si="360"/>
        <v>27176.747372163314</v>
      </c>
      <c r="DL124" s="197">
        <f t="shared" si="342"/>
        <v>4603.4312359375044</v>
      </c>
      <c r="DM124" s="197">
        <f t="shared" si="343"/>
        <v>0</v>
      </c>
      <c r="DN124" s="197">
        <f t="shared" si="344"/>
        <v>27176.747372163314</v>
      </c>
      <c r="DO124" s="199">
        <f t="shared" si="345"/>
        <v>31780.17860810081</v>
      </c>
    </row>
    <row r="125" spans="2:119" x14ac:dyDescent="0.3">
      <c r="B125" s="204">
        <f t="shared" si="346"/>
        <v>13</v>
      </c>
      <c r="C125" s="757">
        <f>'Energy NPV'!$D51</f>
        <v>12.54</v>
      </c>
      <c r="D125" s="197">
        <f>'Energy margins'!$L$12</f>
        <v>269.5</v>
      </c>
      <c r="E125" s="197">
        <f t="shared" si="347"/>
        <v>3379.5299999999997</v>
      </c>
      <c r="F125" s="197">
        <f>'Margins summary'!$S$14</f>
        <v>471.64</v>
      </c>
      <c r="G125" s="197">
        <f t="shared" si="295"/>
        <v>3851.1699999999996</v>
      </c>
      <c r="H125" s="197"/>
      <c r="I125" s="913">
        <f>'Energy NPV'!U51</f>
        <v>2000.1999999999998</v>
      </c>
      <c r="J125" s="197"/>
      <c r="K125" s="197">
        <f t="shared" si="296"/>
        <v>2000.1999999999998</v>
      </c>
      <c r="L125" s="197">
        <f t="shared" si="281"/>
        <v>1379.33</v>
      </c>
      <c r="M125" s="197">
        <f t="shared" si="282"/>
        <v>1850.9699999999998</v>
      </c>
      <c r="N125" s="196">
        <f t="shared" si="297"/>
        <v>2110.8444669673172</v>
      </c>
      <c r="O125" s="197">
        <f t="shared" si="298"/>
        <v>294.58495246394193</v>
      </c>
      <c r="P125" s="197">
        <f t="shared" si="299"/>
        <v>1249.3190185700462</v>
      </c>
      <c r="Q125" s="197">
        <f t="shared" si="300"/>
        <v>861.52544839727125</v>
      </c>
      <c r="R125" s="199">
        <f t="shared" si="301"/>
        <v>1156.1104008612131</v>
      </c>
      <c r="S125" s="196">
        <f t="shared" si="348"/>
        <v>29287.591839130633</v>
      </c>
      <c r="T125" s="197">
        <f t="shared" si="302"/>
        <v>4898.016188401446</v>
      </c>
      <c r="U125" s="197">
        <f t="shared" si="303"/>
        <v>85997.368322731039</v>
      </c>
      <c r="V125" s="197">
        <f t="shared" si="304"/>
        <v>-56709.77648360045</v>
      </c>
      <c r="W125" s="199">
        <f t="shared" si="305"/>
        <v>-51811.760295198997</v>
      </c>
      <c r="Z125" s="204">
        <f t="shared" si="349"/>
        <v>13</v>
      </c>
      <c r="AA125" s="757">
        <f>'Energy NPV'!$D51</f>
        <v>12.54</v>
      </c>
      <c r="AB125" s="197">
        <f>'Energy margins'!$L$12</f>
        <v>269.5</v>
      </c>
      <c r="AC125" s="197">
        <f t="shared" si="350"/>
        <v>3379.5299999999997</v>
      </c>
      <c r="AD125" s="197">
        <f>'Margins summary'!$S$14</f>
        <v>471.64</v>
      </c>
      <c r="AE125" s="197">
        <f t="shared" si="306"/>
        <v>3851.1699999999996</v>
      </c>
      <c r="AF125" s="197"/>
      <c r="AG125" s="913">
        <f>'Energy NPV'!U51</f>
        <v>2000.1999999999998</v>
      </c>
      <c r="AH125" s="197"/>
      <c r="AI125" s="197">
        <f t="shared" si="283"/>
        <v>3000.2999999999997</v>
      </c>
      <c r="AJ125" s="197">
        <f t="shared" si="284"/>
        <v>379.23</v>
      </c>
      <c r="AK125" s="197">
        <f t="shared" si="285"/>
        <v>850.86999999999989</v>
      </c>
      <c r="AL125" s="196">
        <f t="shared" si="307"/>
        <v>2110.8444669673172</v>
      </c>
      <c r="AM125" s="197">
        <f t="shared" si="308"/>
        <v>294.58495246394193</v>
      </c>
      <c r="AN125" s="197">
        <f t="shared" si="309"/>
        <v>1873.9785278550692</v>
      </c>
      <c r="AO125" s="197">
        <f t="shared" si="310"/>
        <v>236.86593911224813</v>
      </c>
      <c r="AP125" s="199">
        <f t="shared" si="311"/>
        <v>531.45089157618997</v>
      </c>
      <c r="AQ125" s="196">
        <f t="shared" si="351"/>
        <v>29287.591839130633</v>
      </c>
      <c r="AR125" s="197">
        <f t="shared" si="312"/>
        <v>4898.016188401446</v>
      </c>
      <c r="AS125" s="197">
        <f t="shared" si="313"/>
        <v>128996.05248409658</v>
      </c>
      <c r="AT125" s="197">
        <f t="shared" si="314"/>
        <v>-99708.460644965962</v>
      </c>
      <c r="AU125" s="199">
        <f t="shared" si="315"/>
        <v>-94810.44445656451</v>
      </c>
      <c r="AX125" s="204">
        <f t="shared" si="352"/>
        <v>13</v>
      </c>
      <c r="AY125" s="757">
        <f>'Energy NPV'!$D51</f>
        <v>12.54</v>
      </c>
      <c r="AZ125" s="197">
        <f>'Energy margins'!$L$12</f>
        <v>269.5</v>
      </c>
      <c r="BA125" s="197">
        <f t="shared" si="353"/>
        <v>3379.5299999999997</v>
      </c>
      <c r="BB125" s="197">
        <f>'Margins summary'!$S$14</f>
        <v>471.64</v>
      </c>
      <c r="BC125" s="197">
        <f t="shared" si="316"/>
        <v>3851.1699999999996</v>
      </c>
      <c r="BD125" s="197"/>
      <c r="BE125" s="913">
        <f>'Energy NPV'!U51</f>
        <v>2000.1999999999998</v>
      </c>
      <c r="BF125" s="197"/>
      <c r="BG125" s="197">
        <f t="shared" si="286"/>
        <v>1000.0999999999999</v>
      </c>
      <c r="BH125" s="197">
        <f t="shared" si="287"/>
        <v>2379.4299999999998</v>
      </c>
      <c r="BI125" s="197">
        <f t="shared" si="288"/>
        <v>2851.0699999999997</v>
      </c>
      <c r="BJ125" s="196">
        <f t="shared" si="317"/>
        <v>2110.8444669673172</v>
      </c>
      <c r="BK125" s="197">
        <f t="shared" si="318"/>
        <v>294.58495246394193</v>
      </c>
      <c r="BL125" s="197">
        <f t="shared" si="319"/>
        <v>624.65950928502309</v>
      </c>
      <c r="BM125" s="197">
        <f t="shared" si="320"/>
        <v>1486.1849576822942</v>
      </c>
      <c r="BN125" s="199">
        <f t="shared" si="321"/>
        <v>1780.769910146236</v>
      </c>
      <c r="BO125" s="196">
        <f t="shared" si="354"/>
        <v>29287.591839130633</v>
      </c>
      <c r="BP125" s="197">
        <f t="shared" si="322"/>
        <v>4898.016188401446</v>
      </c>
      <c r="BQ125" s="197">
        <f t="shared" si="323"/>
        <v>42998.68416136552</v>
      </c>
      <c r="BR125" s="197">
        <f t="shared" si="324"/>
        <v>-13711.092322234905</v>
      </c>
      <c r="BS125" s="199">
        <f t="shared" si="325"/>
        <v>-8813.0761338334596</v>
      </c>
      <c r="BV125" s="204">
        <f t="shared" si="355"/>
        <v>13</v>
      </c>
      <c r="BW125" s="757">
        <f>'Energy NPV'!$D51</f>
        <v>12.54</v>
      </c>
      <c r="BX125" s="197">
        <f>'Energy margins'!$L$12</f>
        <v>269.5</v>
      </c>
      <c r="BY125" s="197">
        <f t="shared" si="356"/>
        <v>3379.5299999999997</v>
      </c>
      <c r="BZ125" s="197">
        <f>'Margins summary'!$S$14</f>
        <v>471.64</v>
      </c>
      <c r="CA125" s="197">
        <f t="shared" si="326"/>
        <v>3851.1699999999996</v>
      </c>
      <c r="CB125" s="197"/>
      <c r="CC125" s="913">
        <f>'Energy NPV'!U51</f>
        <v>2000.1999999999998</v>
      </c>
      <c r="CD125" s="197"/>
      <c r="CE125" s="197">
        <f t="shared" si="289"/>
        <v>4000.3999999999996</v>
      </c>
      <c r="CF125" s="197">
        <f t="shared" si="290"/>
        <v>-620.86999999999989</v>
      </c>
      <c r="CG125" s="197">
        <f t="shared" si="291"/>
        <v>-149.23000000000002</v>
      </c>
      <c r="CH125" s="196">
        <f t="shared" si="327"/>
        <v>2110.8444669673172</v>
      </c>
      <c r="CI125" s="197">
        <f t="shared" si="328"/>
        <v>294.58495246394193</v>
      </c>
      <c r="CJ125" s="197">
        <f t="shared" si="329"/>
        <v>2498.6380371400924</v>
      </c>
      <c r="CK125" s="197">
        <f t="shared" si="330"/>
        <v>-387.79357017277499</v>
      </c>
      <c r="CL125" s="199">
        <f t="shared" si="331"/>
        <v>-93.208617708833131</v>
      </c>
      <c r="CM125" s="196">
        <f t="shared" si="357"/>
        <v>29287.591839130633</v>
      </c>
      <c r="CN125" s="197">
        <f t="shared" si="332"/>
        <v>4898.016188401446</v>
      </c>
      <c r="CO125" s="197">
        <f t="shared" si="333"/>
        <v>171994.73664546208</v>
      </c>
      <c r="CP125" s="197">
        <f t="shared" si="334"/>
        <v>-142707.14480633149</v>
      </c>
      <c r="CQ125" s="199">
        <f t="shared" si="335"/>
        <v>-137809.12861793005</v>
      </c>
      <c r="CT125" s="204">
        <f t="shared" si="358"/>
        <v>13</v>
      </c>
      <c r="CU125" s="757">
        <f>'Energy NPV'!$D51</f>
        <v>12.54</v>
      </c>
      <c r="CV125" s="197">
        <f>'Energy margins'!$L$12</f>
        <v>269.5</v>
      </c>
      <c r="CW125" s="197">
        <f t="shared" si="359"/>
        <v>3379.5299999999997</v>
      </c>
      <c r="CX125" s="197">
        <f>'Margins summary'!$S$14</f>
        <v>471.64</v>
      </c>
      <c r="CY125" s="197">
        <f t="shared" si="336"/>
        <v>3851.1699999999996</v>
      </c>
      <c r="CZ125" s="197"/>
      <c r="DA125" s="913">
        <f>'Energy NPV'!U51</f>
        <v>2000.1999999999998</v>
      </c>
      <c r="DB125" s="197"/>
      <c r="DC125" s="197">
        <f t="shared" si="292"/>
        <v>0</v>
      </c>
      <c r="DD125" s="197">
        <f t="shared" si="293"/>
        <v>3379.5299999999997</v>
      </c>
      <c r="DE125" s="197">
        <f t="shared" si="294"/>
        <v>3851.1699999999996</v>
      </c>
      <c r="DF125" s="196">
        <f t="shared" si="337"/>
        <v>2110.8444669673172</v>
      </c>
      <c r="DG125" s="197">
        <f t="shared" si="338"/>
        <v>294.58495246394193</v>
      </c>
      <c r="DH125" s="197">
        <f t="shared" si="339"/>
        <v>0</v>
      </c>
      <c r="DI125" s="197">
        <f t="shared" si="340"/>
        <v>2110.8444669673172</v>
      </c>
      <c r="DJ125" s="199">
        <f t="shared" si="341"/>
        <v>2405.4294194312592</v>
      </c>
      <c r="DK125" s="196">
        <f t="shared" si="360"/>
        <v>29287.591839130633</v>
      </c>
      <c r="DL125" s="197">
        <f t="shared" si="342"/>
        <v>4898.016188401446</v>
      </c>
      <c r="DM125" s="197">
        <f t="shared" si="343"/>
        <v>0</v>
      </c>
      <c r="DN125" s="197">
        <f t="shared" si="344"/>
        <v>29287.591839130633</v>
      </c>
      <c r="DO125" s="199">
        <f t="shared" si="345"/>
        <v>34185.608027532071</v>
      </c>
    </row>
    <row r="126" spans="2:119" x14ac:dyDescent="0.3">
      <c r="B126" s="204">
        <f t="shared" si="346"/>
        <v>14</v>
      </c>
      <c r="C126" s="757">
        <f>'Energy NPV'!$D52</f>
        <v>12.54</v>
      </c>
      <c r="D126" s="197">
        <f>'Energy margins'!$L$12</f>
        <v>269.5</v>
      </c>
      <c r="E126" s="197">
        <f t="shared" si="347"/>
        <v>3379.5299999999997</v>
      </c>
      <c r="F126" s="197">
        <f>'Margins summary'!$S$14</f>
        <v>471.64</v>
      </c>
      <c r="G126" s="197">
        <f t="shared" si="295"/>
        <v>3851.1699999999996</v>
      </c>
      <c r="H126" s="197"/>
      <c r="I126" s="913">
        <f>'Energy NPV'!U52</f>
        <v>2000.1999999999998</v>
      </c>
      <c r="J126" s="197"/>
      <c r="K126" s="197">
        <f t="shared" si="296"/>
        <v>2000.1999999999998</v>
      </c>
      <c r="L126" s="197">
        <f t="shared" si="281"/>
        <v>1379.33</v>
      </c>
      <c r="M126" s="197">
        <f t="shared" si="282"/>
        <v>1850.9699999999998</v>
      </c>
      <c r="N126" s="196">
        <f t="shared" si="297"/>
        <v>2029.6581413147283</v>
      </c>
      <c r="O126" s="197">
        <f t="shared" si="298"/>
        <v>283.25476198455954</v>
      </c>
      <c r="P126" s="197">
        <f t="shared" si="299"/>
        <v>1201.2682870865829</v>
      </c>
      <c r="Q126" s="197">
        <f t="shared" si="300"/>
        <v>828.3898542281454</v>
      </c>
      <c r="R126" s="199">
        <f t="shared" si="301"/>
        <v>1111.6446162127049</v>
      </c>
      <c r="S126" s="196">
        <f t="shared" si="348"/>
        <v>31317.249980445362</v>
      </c>
      <c r="T126" s="197">
        <f t="shared" si="302"/>
        <v>5181.270950386006</v>
      </c>
      <c r="U126" s="197">
        <f t="shared" si="303"/>
        <v>87198.636609817622</v>
      </c>
      <c r="V126" s="197">
        <f t="shared" si="304"/>
        <v>-55881.386629372304</v>
      </c>
      <c r="W126" s="199">
        <f t="shared" si="305"/>
        <v>-50700.115678986294</v>
      </c>
      <c r="Z126" s="204">
        <f t="shared" si="349"/>
        <v>14</v>
      </c>
      <c r="AA126" s="757">
        <f>'Energy NPV'!$D52</f>
        <v>12.54</v>
      </c>
      <c r="AB126" s="197">
        <f>'Energy margins'!$L$12</f>
        <v>269.5</v>
      </c>
      <c r="AC126" s="197">
        <f t="shared" si="350"/>
        <v>3379.5299999999997</v>
      </c>
      <c r="AD126" s="197">
        <f>'Margins summary'!$S$14</f>
        <v>471.64</v>
      </c>
      <c r="AE126" s="197">
        <f t="shared" si="306"/>
        <v>3851.1699999999996</v>
      </c>
      <c r="AF126" s="197"/>
      <c r="AG126" s="913">
        <f>'Energy NPV'!U52</f>
        <v>2000.1999999999998</v>
      </c>
      <c r="AH126" s="197"/>
      <c r="AI126" s="197">
        <f t="shared" si="283"/>
        <v>3000.2999999999997</v>
      </c>
      <c r="AJ126" s="197">
        <f t="shared" si="284"/>
        <v>379.23</v>
      </c>
      <c r="AK126" s="197">
        <f t="shared" si="285"/>
        <v>850.86999999999989</v>
      </c>
      <c r="AL126" s="196">
        <f t="shared" si="307"/>
        <v>2029.6581413147283</v>
      </c>
      <c r="AM126" s="197">
        <f t="shared" si="308"/>
        <v>283.25476198455954</v>
      </c>
      <c r="AN126" s="197">
        <f t="shared" si="309"/>
        <v>1801.9024306298743</v>
      </c>
      <c r="AO126" s="197">
        <f t="shared" si="310"/>
        <v>227.75571068485394</v>
      </c>
      <c r="AP126" s="199">
        <f t="shared" si="311"/>
        <v>511.01047266941339</v>
      </c>
      <c r="AQ126" s="196">
        <f t="shared" si="351"/>
        <v>31317.249980445362</v>
      </c>
      <c r="AR126" s="197">
        <f t="shared" si="312"/>
        <v>5181.270950386006</v>
      </c>
      <c r="AS126" s="197">
        <f t="shared" si="313"/>
        <v>130797.95491472646</v>
      </c>
      <c r="AT126" s="197">
        <f t="shared" si="314"/>
        <v>-99480.704934281108</v>
      </c>
      <c r="AU126" s="199">
        <f t="shared" si="315"/>
        <v>-94299.433983895098</v>
      </c>
      <c r="AX126" s="204">
        <f t="shared" si="352"/>
        <v>14</v>
      </c>
      <c r="AY126" s="757">
        <f>'Energy NPV'!$D52</f>
        <v>12.54</v>
      </c>
      <c r="AZ126" s="197">
        <f>'Energy margins'!$L$12</f>
        <v>269.5</v>
      </c>
      <c r="BA126" s="197">
        <f t="shared" si="353"/>
        <v>3379.5299999999997</v>
      </c>
      <c r="BB126" s="197">
        <f>'Margins summary'!$S$14</f>
        <v>471.64</v>
      </c>
      <c r="BC126" s="197">
        <f t="shared" si="316"/>
        <v>3851.1699999999996</v>
      </c>
      <c r="BD126" s="197"/>
      <c r="BE126" s="913">
        <f>'Energy NPV'!U52</f>
        <v>2000.1999999999998</v>
      </c>
      <c r="BF126" s="197"/>
      <c r="BG126" s="197">
        <f t="shared" si="286"/>
        <v>1000.0999999999999</v>
      </c>
      <c r="BH126" s="197">
        <f t="shared" si="287"/>
        <v>2379.4299999999998</v>
      </c>
      <c r="BI126" s="197">
        <f t="shared" si="288"/>
        <v>2851.0699999999997</v>
      </c>
      <c r="BJ126" s="196">
        <f t="shared" si="317"/>
        <v>2029.6581413147283</v>
      </c>
      <c r="BK126" s="197">
        <f t="shared" si="318"/>
        <v>283.25476198455954</v>
      </c>
      <c r="BL126" s="197">
        <f t="shared" si="319"/>
        <v>600.63414354329143</v>
      </c>
      <c r="BM126" s="197">
        <f t="shared" si="320"/>
        <v>1429.0239977714368</v>
      </c>
      <c r="BN126" s="199">
        <f t="shared" si="321"/>
        <v>1712.2787597559961</v>
      </c>
      <c r="BO126" s="196">
        <f t="shared" si="354"/>
        <v>31317.249980445362</v>
      </c>
      <c r="BP126" s="197">
        <f t="shared" si="322"/>
        <v>5181.270950386006</v>
      </c>
      <c r="BQ126" s="197">
        <f t="shared" si="323"/>
        <v>43599.318304908811</v>
      </c>
      <c r="BR126" s="197">
        <f t="shared" si="324"/>
        <v>-12282.068324463467</v>
      </c>
      <c r="BS126" s="199">
        <f t="shared" si="325"/>
        <v>-7100.7973740774632</v>
      </c>
      <c r="BV126" s="204">
        <f t="shared" si="355"/>
        <v>14</v>
      </c>
      <c r="BW126" s="757">
        <f>'Energy NPV'!$D52</f>
        <v>12.54</v>
      </c>
      <c r="BX126" s="197">
        <f>'Energy margins'!$L$12</f>
        <v>269.5</v>
      </c>
      <c r="BY126" s="197">
        <f t="shared" si="356"/>
        <v>3379.5299999999997</v>
      </c>
      <c r="BZ126" s="197">
        <f>'Margins summary'!$S$14</f>
        <v>471.64</v>
      </c>
      <c r="CA126" s="197">
        <f t="shared" si="326"/>
        <v>3851.1699999999996</v>
      </c>
      <c r="CB126" s="197"/>
      <c r="CC126" s="913">
        <f>'Energy NPV'!U52</f>
        <v>2000.1999999999998</v>
      </c>
      <c r="CD126" s="197"/>
      <c r="CE126" s="197">
        <f t="shared" si="289"/>
        <v>4000.3999999999996</v>
      </c>
      <c r="CF126" s="197">
        <f t="shared" si="290"/>
        <v>-620.86999999999989</v>
      </c>
      <c r="CG126" s="197">
        <f t="shared" si="291"/>
        <v>-149.23000000000002</v>
      </c>
      <c r="CH126" s="196">
        <f t="shared" si="327"/>
        <v>2029.6581413147283</v>
      </c>
      <c r="CI126" s="197">
        <f t="shared" si="328"/>
        <v>283.25476198455954</v>
      </c>
      <c r="CJ126" s="197">
        <f t="shared" si="329"/>
        <v>2402.5365741731657</v>
      </c>
      <c r="CK126" s="197">
        <f t="shared" si="330"/>
        <v>-372.87843285843746</v>
      </c>
      <c r="CL126" s="199">
        <f t="shared" si="331"/>
        <v>-89.623670873878012</v>
      </c>
      <c r="CM126" s="196">
        <f t="shared" si="357"/>
        <v>31317.249980445362</v>
      </c>
      <c r="CN126" s="197">
        <f t="shared" si="332"/>
        <v>5181.270950386006</v>
      </c>
      <c r="CO126" s="197">
        <f t="shared" si="333"/>
        <v>174397.27321963524</v>
      </c>
      <c r="CP126" s="197">
        <f t="shared" si="334"/>
        <v>-143080.02323918993</v>
      </c>
      <c r="CQ126" s="199">
        <f t="shared" si="335"/>
        <v>-137898.75228880392</v>
      </c>
      <c r="CT126" s="204">
        <f t="shared" si="358"/>
        <v>14</v>
      </c>
      <c r="CU126" s="757">
        <f>'Energy NPV'!$D52</f>
        <v>12.54</v>
      </c>
      <c r="CV126" s="197">
        <f>'Energy margins'!$L$12</f>
        <v>269.5</v>
      </c>
      <c r="CW126" s="197">
        <f t="shared" si="359"/>
        <v>3379.5299999999997</v>
      </c>
      <c r="CX126" s="197">
        <f>'Margins summary'!$S$14</f>
        <v>471.64</v>
      </c>
      <c r="CY126" s="197">
        <f t="shared" si="336"/>
        <v>3851.1699999999996</v>
      </c>
      <c r="CZ126" s="197"/>
      <c r="DA126" s="913">
        <f>'Energy NPV'!U52</f>
        <v>2000.1999999999998</v>
      </c>
      <c r="DB126" s="197"/>
      <c r="DC126" s="197">
        <f t="shared" si="292"/>
        <v>0</v>
      </c>
      <c r="DD126" s="197">
        <f t="shared" si="293"/>
        <v>3379.5299999999997</v>
      </c>
      <c r="DE126" s="197">
        <f t="shared" si="294"/>
        <v>3851.1699999999996</v>
      </c>
      <c r="DF126" s="196">
        <f t="shared" si="337"/>
        <v>2029.6581413147283</v>
      </c>
      <c r="DG126" s="197">
        <f t="shared" si="338"/>
        <v>283.25476198455954</v>
      </c>
      <c r="DH126" s="197">
        <f t="shared" si="339"/>
        <v>0</v>
      </c>
      <c r="DI126" s="197">
        <f t="shared" si="340"/>
        <v>2029.6581413147283</v>
      </c>
      <c r="DJ126" s="199">
        <f t="shared" si="341"/>
        <v>2312.9129032992878</v>
      </c>
      <c r="DK126" s="196">
        <f t="shared" si="360"/>
        <v>31317.249980445362</v>
      </c>
      <c r="DL126" s="197">
        <f t="shared" si="342"/>
        <v>5181.270950386006</v>
      </c>
      <c r="DM126" s="197">
        <f t="shared" si="343"/>
        <v>0</v>
      </c>
      <c r="DN126" s="197">
        <f t="shared" si="344"/>
        <v>31317.249980445362</v>
      </c>
      <c r="DO126" s="199">
        <f t="shared" si="345"/>
        <v>36498.520930831357</v>
      </c>
    </row>
    <row r="127" spans="2:119" x14ac:dyDescent="0.3">
      <c r="B127" s="204">
        <f t="shared" si="346"/>
        <v>15</v>
      </c>
      <c r="C127" s="757">
        <f>'Energy NPV'!$D53</f>
        <v>12.54</v>
      </c>
      <c r="D127" s="197">
        <f>'Energy margins'!$L$12</f>
        <v>269.5</v>
      </c>
      <c r="E127" s="197">
        <f t="shared" si="347"/>
        <v>3379.5299999999997</v>
      </c>
      <c r="F127" s="197">
        <f>'Margins summary'!$S$14</f>
        <v>471.64</v>
      </c>
      <c r="G127" s="197">
        <f t="shared" si="295"/>
        <v>3851.1699999999996</v>
      </c>
      <c r="H127" s="197"/>
      <c r="I127" s="913">
        <f>'Energy NPV'!U53</f>
        <v>2000.1999999999998</v>
      </c>
      <c r="J127" s="197"/>
      <c r="K127" s="197">
        <f t="shared" si="296"/>
        <v>2000.1999999999998</v>
      </c>
      <c r="L127" s="197">
        <f t="shared" si="281"/>
        <v>1379.33</v>
      </c>
      <c r="M127" s="197">
        <f t="shared" si="282"/>
        <v>1850.9699999999998</v>
      </c>
      <c r="N127" s="196">
        <f t="shared" si="297"/>
        <v>1951.5943666487772</v>
      </c>
      <c r="O127" s="197">
        <f t="shared" si="298"/>
        <v>272.36034806207647</v>
      </c>
      <c r="P127" s="197">
        <f t="shared" si="299"/>
        <v>1155.0656606601758</v>
      </c>
      <c r="Q127" s="197">
        <f t="shared" si="300"/>
        <v>796.52870598860136</v>
      </c>
      <c r="R127" s="199">
        <f t="shared" si="301"/>
        <v>1068.8890540506777</v>
      </c>
      <c r="S127" s="196">
        <f t="shared" si="348"/>
        <v>33268.844347094142</v>
      </c>
      <c r="T127" s="197">
        <f t="shared" si="302"/>
        <v>5453.6312984480828</v>
      </c>
      <c r="U127" s="197">
        <f t="shared" si="303"/>
        <v>88353.702270477792</v>
      </c>
      <c r="V127" s="197">
        <f t="shared" si="304"/>
        <v>-55084.857923383701</v>
      </c>
      <c r="W127" s="199">
        <f t="shared" si="305"/>
        <v>-49631.226624935618</v>
      </c>
      <c r="Z127" s="204">
        <f t="shared" si="349"/>
        <v>15</v>
      </c>
      <c r="AA127" s="757">
        <f>'Energy NPV'!$D53</f>
        <v>12.54</v>
      </c>
      <c r="AB127" s="197">
        <f>'Energy margins'!$L$12</f>
        <v>269.5</v>
      </c>
      <c r="AC127" s="197">
        <f t="shared" si="350"/>
        <v>3379.5299999999997</v>
      </c>
      <c r="AD127" s="197">
        <f>'Margins summary'!$S$14</f>
        <v>471.64</v>
      </c>
      <c r="AE127" s="197">
        <f t="shared" si="306"/>
        <v>3851.1699999999996</v>
      </c>
      <c r="AF127" s="197"/>
      <c r="AG127" s="913">
        <f>'Energy NPV'!U53</f>
        <v>2000.1999999999998</v>
      </c>
      <c r="AH127" s="197"/>
      <c r="AI127" s="197">
        <f t="shared" si="283"/>
        <v>3000.2999999999997</v>
      </c>
      <c r="AJ127" s="197">
        <f t="shared" si="284"/>
        <v>379.23</v>
      </c>
      <c r="AK127" s="197">
        <f t="shared" si="285"/>
        <v>850.86999999999989</v>
      </c>
      <c r="AL127" s="196">
        <f t="shared" si="307"/>
        <v>1951.5943666487772</v>
      </c>
      <c r="AM127" s="197">
        <f t="shared" si="308"/>
        <v>272.36034806207647</v>
      </c>
      <c r="AN127" s="197">
        <f t="shared" si="309"/>
        <v>1732.5984909902638</v>
      </c>
      <c r="AO127" s="197">
        <f t="shared" si="310"/>
        <v>218.99587565851343</v>
      </c>
      <c r="AP127" s="199">
        <f t="shared" si="311"/>
        <v>491.35622372058981</v>
      </c>
      <c r="AQ127" s="196">
        <f t="shared" si="351"/>
        <v>33268.844347094142</v>
      </c>
      <c r="AR127" s="197">
        <f t="shared" si="312"/>
        <v>5453.6312984480828</v>
      </c>
      <c r="AS127" s="197">
        <f t="shared" si="313"/>
        <v>132530.55340571672</v>
      </c>
      <c r="AT127" s="197">
        <f t="shared" si="314"/>
        <v>-99261.709058622597</v>
      </c>
      <c r="AU127" s="199">
        <f t="shared" si="315"/>
        <v>-93808.077760174507</v>
      </c>
      <c r="AX127" s="204">
        <f t="shared" si="352"/>
        <v>15</v>
      </c>
      <c r="AY127" s="757">
        <f>'Energy NPV'!$D53</f>
        <v>12.54</v>
      </c>
      <c r="AZ127" s="197">
        <f>'Energy margins'!$L$12</f>
        <v>269.5</v>
      </c>
      <c r="BA127" s="197">
        <f t="shared" si="353"/>
        <v>3379.5299999999997</v>
      </c>
      <c r="BB127" s="197">
        <f>'Margins summary'!$S$14</f>
        <v>471.64</v>
      </c>
      <c r="BC127" s="197">
        <f t="shared" si="316"/>
        <v>3851.1699999999996</v>
      </c>
      <c r="BD127" s="197"/>
      <c r="BE127" s="913">
        <f>'Energy NPV'!U53</f>
        <v>2000.1999999999998</v>
      </c>
      <c r="BF127" s="197"/>
      <c r="BG127" s="197">
        <f t="shared" si="286"/>
        <v>1000.0999999999999</v>
      </c>
      <c r="BH127" s="197">
        <f t="shared" si="287"/>
        <v>2379.4299999999998</v>
      </c>
      <c r="BI127" s="197">
        <f t="shared" si="288"/>
        <v>2851.0699999999997</v>
      </c>
      <c r="BJ127" s="196">
        <f t="shared" si="317"/>
        <v>1951.5943666487772</v>
      </c>
      <c r="BK127" s="197">
        <f t="shared" si="318"/>
        <v>272.36034806207647</v>
      </c>
      <c r="BL127" s="197">
        <f t="shared" si="319"/>
        <v>577.5328303300879</v>
      </c>
      <c r="BM127" s="197">
        <f t="shared" si="320"/>
        <v>1374.0615363186891</v>
      </c>
      <c r="BN127" s="199">
        <f t="shared" si="321"/>
        <v>1646.4218843807657</v>
      </c>
      <c r="BO127" s="196">
        <f t="shared" si="354"/>
        <v>33268.844347094142</v>
      </c>
      <c r="BP127" s="197">
        <f t="shared" si="322"/>
        <v>5453.6312984480828</v>
      </c>
      <c r="BQ127" s="197">
        <f t="shared" si="323"/>
        <v>44176.851135238896</v>
      </c>
      <c r="BR127" s="197">
        <f t="shared" si="324"/>
        <v>-10908.006788144778</v>
      </c>
      <c r="BS127" s="199">
        <f t="shared" si="325"/>
        <v>-5454.3754896966975</v>
      </c>
      <c r="BV127" s="204">
        <f t="shared" si="355"/>
        <v>15</v>
      </c>
      <c r="BW127" s="757">
        <f>'Energy NPV'!$D53</f>
        <v>12.54</v>
      </c>
      <c r="BX127" s="197">
        <f>'Energy margins'!$L$12</f>
        <v>269.5</v>
      </c>
      <c r="BY127" s="197">
        <f t="shared" si="356"/>
        <v>3379.5299999999997</v>
      </c>
      <c r="BZ127" s="197">
        <f>'Margins summary'!$S$14</f>
        <v>471.64</v>
      </c>
      <c r="CA127" s="197">
        <f t="shared" si="326"/>
        <v>3851.1699999999996</v>
      </c>
      <c r="CB127" s="197"/>
      <c r="CC127" s="913">
        <f>'Energy NPV'!U53</f>
        <v>2000.1999999999998</v>
      </c>
      <c r="CD127" s="197"/>
      <c r="CE127" s="197">
        <f t="shared" si="289"/>
        <v>4000.3999999999996</v>
      </c>
      <c r="CF127" s="197">
        <f t="shared" si="290"/>
        <v>-620.86999999999989</v>
      </c>
      <c r="CG127" s="197">
        <f t="shared" si="291"/>
        <v>-149.23000000000002</v>
      </c>
      <c r="CH127" s="196">
        <f t="shared" si="327"/>
        <v>1951.5943666487772</v>
      </c>
      <c r="CI127" s="197">
        <f t="shared" si="328"/>
        <v>272.36034806207647</v>
      </c>
      <c r="CJ127" s="197">
        <f t="shared" si="329"/>
        <v>2310.1313213203516</v>
      </c>
      <c r="CK127" s="197">
        <f t="shared" si="330"/>
        <v>-358.53695467157451</v>
      </c>
      <c r="CL127" s="199">
        <f t="shared" si="331"/>
        <v>-86.176606609498094</v>
      </c>
      <c r="CM127" s="196">
        <f t="shared" si="357"/>
        <v>33268.844347094142</v>
      </c>
      <c r="CN127" s="197">
        <f t="shared" si="332"/>
        <v>5453.6312984480828</v>
      </c>
      <c r="CO127" s="197">
        <f t="shared" si="333"/>
        <v>176707.40454095558</v>
      </c>
      <c r="CP127" s="197">
        <f t="shared" si="334"/>
        <v>-143438.56019386151</v>
      </c>
      <c r="CQ127" s="199">
        <f t="shared" si="335"/>
        <v>-137984.92889541341</v>
      </c>
      <c r="CT127" s="204">
        <f t="shared" si="358"/>
        <v>15</v>
      </c>
      <c r="CU127" s="757">
        <f>'Energy NPV'!$D53</f>
        <v>12.54</v>
      </c>
      <c r="CV127" s="197">
        <f>'Energy margins'!$L$12</f>
        <v>269.5</v>
      </c>
      <c r="CW127" s="197">
        <f t="shared" si="359"/>
        <v>3379.5299999999997</v>
      </c>
      <c r="CX127" s="197">
        <f>'Margins summary'!$S$14</f>
        <v>471.64</v>
      </c>
      <c r="CY127" s="197">
        <f t="shared" si="336"/>
        <v>3851.1699999999996</v>
      </c>
      <c r="CZ127" s="197"/>
      <c r="DA127" s="913">
        <f>'Energy NPV'!U53</f>
        <v>2000.1999999999998</v>
      </c>
      <c r="DB127" s="197"/>
      <c r="DC127" s="197">
        <f t="shared" si="292"/>
        <v>0</v>
      </c>
      <c r="DD127" s="197">
        <f t="shared" si="293"/>
        <v>3379.5299999999997</v>
      </c>
      <c r="DE127" s="197">
        <f t="shared" si="294"/>
        <v>3851.1699999999996</v>
      </c>
      <c r="DF127" s="196">
        <f t="shared" si="337"/>
        <v>1951.5943666487772</v>
      </c>
      <c r="DG127" s="197">
        <f t="shared" si="338"/>
        <v>272.36034806207647</v>
      </c>
      <c r="DH127" s="197">
        <f t="shared" si="339"/>
        <v>0</v>
      </c>
      <c r="DI127" s="197">
        <f t="shared" si="340"/>
        <v>1951.5943666487772</v>
      </c>
      <c r="DJ127" s="199">
        <f t="shared" si="341"/>
        <v>2223.9547147108538</v>
      </c>
      <c r="DK127" s="196">
        <f t="shared" si="360"/>
        <v>33268.844347094142</v>
      </c>
      <c r="DL127" s="197">
        <f t="shared" si="342"/>
        <v>5453.6312984480828</v>
      </c>
      <c r="DM127" s="197">
        <f t="shared" si="343"/>
        <v>0</v>
      </c>
      <c r="DN127" s="197">
        <f t="shared" si="344"/>
        <v>33268.844347094142</v>
      </c>
      <c r="DO127" s="199">
        <f t="shared" si="345"/>
        <v>38722.47564554221</v>
      </c>
    </row>
    <row r="128" spans="2:119" x14ac:dyDescent="0.3">
      <c r="B128" s="206">
        <f t="shared" si="346"/>
        <v>16</v>
      </c>
      <c r="C128" s="758">
        <f>'Energy NPV'!$D54</f>
        <v>12.54</v>
      </c>
      <c r="D128" s="207">
        <f>'Energy margins'!$L$12</f>
        <v>269.5</v>
      </c>
      <c r="E128" s="207">
        <f t="shared" si="347"/>
        <v>3379.5299999999997</v>
      </c>
      <c r="F128" s="207">
        <f>'Margins summary'!$S$14</f>
        <v>471.64</v>
      </c>
      <c r="G128" s="207">
        <f t="shared" si="295"/>
        <v>3851.1699999999996</v>
      </c>
      <c r="H128" s="207"/>
      <c r="I128" s="914">
        <f>'Energy NPV'!U54</f>
        <v>2000.1999999999998</v>
      </c>
      <c r="J128" s="207">
        <f>'Energy margins'!$Q$67</f>
        <v>500</v>
      </c>
      <c r="K128" s="207">
        <f t="shared" si="296"/>
        <v>2500.1999999999998</v>
      </c>
      <c r="L128" s="207">
        <f t="shared" si="281"/>
        <v>879.32999999999993</v>
      </c>
      <c r="M128" s="207">
        <f t="shared" si="282"/>
        <v>1350.9699999999998</v>
      </c>
      <c r="N128" s="208">
        <f t="shared" si="297"/>
        <v>1876.5330448545935</v>
      </c>
      <c r="O128" s="207">
        <f t="shared" si="298"/>
        <v>261.88495005968895</v>
      </c>
      <c r="P128" s="207">
        <f t="shared" si="299"/>
        <v>1388.2723096837296</v>
      </c>
      <c r="Q128" s="207">
        <f t="shared" si="300"/>
        <v>488.26073517086388</v>
      </c>
      <c r="R128" s="209">
        <f t="shared" si="301"/>
        <v>750.14568523055277</v>
      </c>
      <c r="S128" s="208">
        <f t="shared" si="348"/>
        <v>35145.377391948736</v>
      </c>
      <c r="T128" s="207">
        <f t="shared" si="302"/>
        <v>5715.5162485077717</v>
      </c>
      <c r="U128" s="207">
        <f t="shared" si="303"/>
        <v>89741.974580161521</v>
      </c>
      <c r="V128" s="207">
        <f t="shared" si="304"/>
        <v>-54596.597188212836</v>
      </c>
      <c r="W128" s="209">
        <f t="shared" si="305"/>
        <v>-48881.080939705062</v>
      </c>
      <c r="Z128" s="206">
        <f t="shared" si="349"/>
        <v>16</v>
      </c>
      <c r="AA128" s="758">
        <f>'Energy NPV'!$D54</f>
        <v>12.54</v>
      </c>
      <c r="AB128" s="207">
        <f>'Energy margins'!$L$12</f>
        <v>269.5</v>
      </c>
      <c r="AC128" s="207">
        <f t="shared" si="350"/>
        <v>3379.5299999999997</v>
      </c>
      <c r="AD128" s="207">
        <f>'Margins summary'!$S$14</f>
        <v>471.64</v>
      </c>
      <c r="AE128" s="207">
        <f t="shared" si="306"/>
        <v>3851.1699999999996</v>
      </c>
      <c r="AF128" s="207"/>
      <c r="AG128" s="914">
        <f>'Energy NPV'!U54</f>
        <v>2000.1999999999998</v>
      </c>
      <c r="AH128" s="207">
        <f>'Energy margins'!$Q$67</f>
        <v>500</v>
      </c>
      <c r="AI128" s="207">
        <f t="shared" si="283"/>
        <v>3750.2999999999997</v>
      </c>
      <c r="AJ128" s="207">
        <f t="shared" si="284"/>
        <v>-370.77</v>
      </c>
      <c r="AK128" s="207">
        <f t="shared" si="285"/>
        <v>100.86999999999989</v>
      </c>
      <c r="AL128" s="208">
        <f t="shared" si="307"/>
        <v>1876.5330448545935</v>
      </c>
      <c r="AM128" s="207">
        <f t="shared" si="308"/>
        <v>261.88495005968895</v>
      </c>
      <c r="AN128" s="207">
        <f t="shared" si="309"/>
        <v>2082.4084645255944</v>
      </c>
      <c r="AO128" s="207">
        <f t="shared" si="310"/>
        <v>-205.87541967100088</v>
      </c>
      <c r="AP128" s="209">
        <f t="shared" si="311"/>
        <v>56.009530388687971</v>
      </c>
      <c r="AQ128" s="208">
        <f>AQ127+AL128</f>
        <v>35145.377391948736</v>
      </c>
      <c r="AR128" s="207">
        <f t="shared" si="312"/>
        <v>5715.5162485077717</v>
      </c>
      <c r="AS128" s="207">
        <f t="shared" si="313"/>
        <v>134612.96187024232</v>
      </c>
      <c r="AT128" s="207">
        <f t="shared" si="314"/>
        <v>-99467.584478293604</v>
      </c>
      <c r="AU128" s="209">
        <f t="shared" si="315"/>
        <v>-93752.068229785815</v>
      </c>
      <c r="AX128" s="206">
        <f t="shared" si="352"/>
        <v>16</v>
      </c>
      <c r="AY128" s="758">
        <f>'Energy NPV'!$D54</f>
        <v>12.54</v>
      </c>
      <c r="AZ128" s="207">
        <f>'Energy margins'!$L$12</f>
        <v>269.5</v>
      </c>
      <c r="BA128" s="207">
        <f t="shared" si="353"/>
        <v>3379.5299999999997</v>
      </c>
      <c r="BB128" s="207">
        <f>'Margins summary'!$S$14</f>
        <v>471.64</v>
      </c>
      <c r="BC128" s="207">
        <f t="shared" si="316"/>
        <v>3851.1699999999996</v>
      </c>
      <c r="BD128" s="207"/>
      <c r="BE128" s="914">
        <f>'Energy NPV'!U54</f>
        <v>2000.1999999999998</v>
      </c>
      <c r="BF128" s="207">
        <f>'Energy margins'!$Q$67</f>
        <v>500</v>
      </c>
      <c r="BG128" s="207">
        <f t="shared" si="286"/>
        <v>1250.0999999999999</v>
      </c>
      <c r="BH128" s="207">
        <f t="shared" si="287"/>
        <v>2129.4299999999998</v>
      </c>
      <c r="BI128" s="207">
        <f t="shared" si="288"/>
        <v>2601.0699999999997</v>
      </c>
      <c r="BJ128" s="208">
        <f t="shared" si="317"/>
        <v>1876.5330448545935</v>
      </c>
      <c r="BK128" s="207">
        <f t="shared" si="318"/>
        <v>261.88495005968895</v>
      </c>
      <c r="BL128" s="207">
        <f t="shared" si="319"/>
        <v>694.13615484186482</v>
      </c>
      <c r="BM128" s="207">
        <f t="shared" si="320"/>
        <v>1182.3968900127286</v>
      </c>
      <c r="BN128" s="209">
        <f t="shared" si="321"/>
        <v>1444.2818400724175</v>
      </c>
      <c r="BO128" s="208">
        <f t="shared" si="354"/>
        <v>35145.377391948736</v>
      </c>
      <c r="BP128" s="207">
        <f t="shared" si="322"/>
        <v>5715.5162485077717</v>
      </c>
      <c r="BQ128" s="207">
        <f t="shared" si="323"/>
        <v>44870.98729008076</v>
      </c>
      <c r="BR128" s="207">
        <f t="shared" si="324"/>
        <v>-9725.6098981320483</v>
      </c>
      <c r="BS128" s="209">
        <f t="shared" si="325"/>
        <v>-4010.0936496242803</v>
      </c>
      <c r="BV128" s="206">
        <f t="shared" si="355"/>
        <v>16</v>
      </c>
      <c r="BW128" s="758">
        <f>'Energy NPV'!$D54</f>
        <v>12.54</v>
      </c>
      <c r="BX128" s="207">
        <f>'Energy margins'!$L$12</f>
        <v>269.5</v>
      </c>
      <c r="BY128" s="207">
        <f t="shared" si="356"/>
        <v>3379.5299999999997</v>
      </c>
      <c r="BZ128" s="207">
        <f>'Margins summary'!$S$14</f>
        <v>471.64</v>
      </c>
      <c r="CA128" s="207">
        <f t="shared" si="326"/>
        <v>3851.1699999999996</v>
      </c>
      <c r="CB128" s="207"/>
      <c r="CC128" s="914">
        <f>'Energy NPV'!U54</f>
        <v>2000.1999999999998</v>
      </c>
      <c r="CD128" s="207">
        <f>'Energy margins'!$Q$67</f>
        <v>500</v>
      </c>
      <c r="CE128" s="207">
        <f t="shared" si="289"/>
        <v>5000.3999999999996</v>
      </c>
      <c r="CF128" s="207">
        <f t="shared" si="290"/>
        <v>-1620.87</v>
      </c>
      <c r="CG128" s="207">
        <f t="shared" si="291"/>
        <v>-1149.23</v>
      </c>
      <c r="CH128" s="208">
        <f t="shared" si="327"/>
        <v>1876.5330448545935</v>
      </c>
      <c r="CI128" s="207">
        <f t="shared" si="328"/>
        <v>261.88495005968895</v>
      </c>
      <c r="CJ128" s="207">
        <f t="shared" si="329"/>
        <v>2776.5446193674593</v>
      </c>
      <c r="CK128" s="207">
        <f t="shared" si="330"/>
        <v>-900.01157451286565</v>
      </c>
      <c r="CL128" s="209">
        <f t="shared" si="331"/>
        <v>-638.12662445317676</v>
      </c>
      <c r="CM128" s="208">
        <f t="shared" si="357"/>
        <v>35145.377391948736</v>
      </c>
      <c r="CN128" s="207">
        <f t="shared" si="332"/>
        <v>5715.5162485077717</v>
      </c>
      <c r="CO128" s="207">
        <f t="shared" si="333"/>
        <v>179483.94916032304</v>
      </c>
      <c r="CP128" s="207">
        <f t="shared" si="334"/>
        <v>-144338.57176837439</v>
      </c>
      <c r="CQ128" s="209">
        <f t="shared" si="335"/>
        <v>-138623.05551986658</v>
      </c>
      <c r="CT128" s="206">
        <f t="shared" si="358"/>
        <v>16</v>
      </c>
      <c r="CU128" s="758">
        <f>'Energy NPV'!$D54</f>
        <v>12.54</v>
      </c>
      <c r="CV128" s="207">
        <f>'Energy margins'!$L$12</f>
        <v>269.5</v>
      </c>
      <c r="CW128" s="207">
        <f t="shared" si="359"/>
        <v>3379.5299999999997</v>
      </c>
      <c r="CX128" s="207">
        <f>'Margins summary'!$S$14</f>
        <v>471.64</v>
      </c>
      <c r="CY128" s="207">
        <f t="shared" si="336"/>
        <v>3851.1699999999996</v>
      </c>
      <c r="CZ128" s="207"/>
      <c r="DA128" s="914">
        <f>'Energy NPV'!U54</f>
        <v>2000.1999999999998</v>
      </c>
      <c r="DB128" s="207">
        <f>'Energy margins'!$Q$67</f>
        <v>500</v>
      </c>
      <c r="DC128" s="207">
        <f t="shared" si="292"/>
        <v>0</v>
      </c>
      <c r="DD128" s="207">
        <f t="shared" si="293"/>
        <v>3379.5299999999997</v>
      </c>
      <c r="DE128" s="207">
        <f t="shared" si="294"/>
        <v>3851.1699999999996</v>
      </c>
      <c r="DF128" s="208">
        <f t="shared" si="337"/>
        <v>1876.5330448545935</v>
      </c>
      <c r="DG128" s="207">
        <f t="shared" si="338"/>
        <v>261.88495005968895</v>
      </c>
      <c r="DH128" s="207">
        <f t="shared" si="339"/>
        <v>0</v>
      </c>
      <c r="DI128" s="207">
        <f t="shared" si="340"/>
        <v>1876.5330448545935</v>
      </c>
      <c r="DJ128" s="209">
        <f t="shared" si="341"/>
        <v>2138.4179949142822</v>
      </c>
      <c r="DK128" s="208">
        <f t="shared" si="360"/>
        <v>35145.377391948736</v>
      </c>
      <c r="DL128" s="207">
        <f t="shared" si="342"/>
        <v>5715.5162485077717</v>
      </c>
      <c r="DM128" s="207">
        <f t="shared" si="343"/>
        <v>0</v>
      </c>
      <c r="DN128" s="207">
        <f t="shared" si="344"/>
        <v>35145.377391948736</v>
      </c>
      <c r="DO128" s="209">
        <f t="shared" si="345"/>
        <v>40860.893640456496</v>
      </c>
    </row>
    <row r="134" spans="2:118" x14ac:dyDescent="0.3">
      <c r="B134" s="212" t="s">
        <v>258</v>
      </c>
      <c r="C134" s="760" t="s">
        <v>406</v>
      </c>
      <c r="D134" s="269" t="s">
        <v>397</v>
      </c>
      <c r="E134" s="908">
        <v>1</v>
      </c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Z134" s="212" t="s">
        <v>258</v>
      </c>
      <c r="AA134" s="760" t="s">
        <v>407</v>
      </c>
      <c r="AB134" s="269" t="s">
        <v>397</v>
      </c>
      <c r="AC134" s="908">
        <v>1.5</v>
      </c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X134" s="212" t="s">
        <v>258</v>
      </c>
      <c r="AY134" s="760" t="s">
        <v>408</v>
      </c>
      <c r="AZ134" s="269" t="s">
        <v>397</v>
      </c>
      <c r="BA134" s="908">
        <v>0.5</v>
      </c>
      <c r="BB134" s="102"/>
      <c r="BC134" s="102"/>
      <c r="BD134" s="102"/>
      <c r="BE134" s="102"/>
      <c r="BF134" s="102"/>
      <c r="BG134" s="102"/>
      <c r="BH134" s="102"/>
      <c r="BI134" s="102"/>
      <c r="BJ134" s="102"/>
      <c r="BK134" s="102"/>
      <c r="BL134" s="102"/>
      <c r="BM134" s="102"/>
      <c r="BN134" s="102"/>
      <c r="BO134" s="102"/>
      <c r="BP134" s="102"/>
      <c r="BV134" s="212" t="s">
        <v>258</v>
      </c>
      <c r="BW134" s="760" t="s">
        <v>409</v>
      </c>
      <c r="BX134" s="269" t="s">
        <v>397</v>
      </c>
      <c r="BY134" s="908">
        <v>2</v>
      </c>
      <c r="BZ134" s="102"/>
      <c r="CA134" s="102"/>
      <c r="CB134" s="102"/>
      <c r="CC134" s="102"/>
      <c r="CD134" s="102"/>
      <c r="CE134" s="102"/>
      <c r="CF134" s="102"/>
      <c r="CG134" s="102"/>
      <c r="CH134" s="102"/>
      <c r="CI134" s="102"/>
      <c r="CJ134" s="102"/>
      <c r="CK134" s="102"/>
      <c r="CL134" s="102"/>
      <c r="CM134" s="102"/>
      <c r="CN134" s="102"/>
      <c r="CT134" s="212" t="s">
        <v>258</v>
      </c>
      <c r="CU134" s="760" t="s">
        <v>434</v>
      </c>
      <c r="CV134" s="269" t="s">
        <v>397</v>
      </c>
      <c r="CW134" s="908">
        <v>0</v>
      </c>
      <c r="CX134" s="102"/>
      <c r="CY134" s="102"/>
      <c r="CZ134" s="102"/>
      <c r="DA134" s="102"/>
      <c r="DB134" s="102"/>
      <c r="DC134" s="102"/>
      <c r="DD134" s="102"/>
      <c r="DE134" s="102"/>
      <c r="DF134" s="102"/>
      <c r="DG134" s="102"/>
      <c r="DH134" s="102"/>
      <c r="DI134" s="102"/>
      <c r="DJ134" s="102"/>
      <c r="DK134" s="102"/>
      <c r="DL134" s="102"/>
    </row>
    <row r="135" spans="2:118" x14ac:dyDescent="0.3">
      <c r="B135" s="203"/>
      <c r="D135" s="158"/>
      <c r="E135" s="755"/>
      <c r="F135" s="755"/>
      <c r="G135" s="755"/>
      <c r="H135" s="148"/>
      <c r="I135" s="148"/>
      <c r="J135" s="755"/>
      <c r="K135" s="148"/>
      <c r="L135" s="148"/>
      <c r="M135" s="889" t="s">
        <v>273</v>
      </c>
      <c r="N135" s="890"/>
      <c r="O135" s="890"/>
      <c r="P135" s="890"/>
      <c r="Q135" s="891"/>
      <c r="R135" s="889" t="s">
        <v>274</v>
      </c>
      <c r="S135" s="890"/>
      <c r="T135" s="890"/>
      <c r="U135" s="890"/>
      <c r="V135" s="891"/>
      <c r="Z135" s="203"/>
      <c r="AB135" s="158"/>
      <c r="AC135" s="755"/>
      <c r="AD135" s="755"/>
      <c r="AE135" s="755"/>
      <c r="AF135" s="148"/>
      <c r="AG135" s="148"/>
      <c r="AH135" s="755"/>
      <c r="AI135" s="148"/>
      <c r="AJ135" s="148"/>
      <c r="AK135" s="889" t="s">
        <v>273</v>
      </c>
      <c r="AL135" s="890"/>
      <c r="AM135" s="890"/>
      <c r="AN135" s="890"/>
      <c r="AO135" s="891"/>
      <c r="AP135" s="889" t="s">
        <v>274</v>
      </c>
      <c r="AQ135" s="890"/>
      <c r="AR135" s="890"/>
      <c r="AS135" s="890"/>
      <c r="AT135" s="891"/>
      <c r="AX135" s="203"/>
      <c r="AZ135" s="158"/>
      <c r="BA135" s="755"/>
      <c r="BB135" s="755"/>
      <c r="BC135" s="755"/>
      <c r="BD135" s="148"/>
      <c r="BE135" s="148"/>
      <c r="BF135" s="755"/>
      <c r="BG135" s="148"/>
      <c r="BH135" s="148"/>
      <c r="BI135" s="889" t="s">
        <v>273</v>
      </c>
      <c r="BJ135" s="890"/>
      <c r="BK135" s="890"/>
      <c r="BL135" s="890"/>
      <c r="BM135" s="891"/>
      <c r="BN135" s="889" t="s">
        <v>274</v>
      </c>
      <c r="BO135" s="890"/>
      <c r="BP135" s="890"/>
      <c r="BQ135" s="890"/>
      <c r="BR135" s="891"/>
      <c r="BV135" s="203"/>
      <c r="BX135" s="158"/>
      <c r="BY135" s="755"/>
      <c r="BZ135" s="755"/>
      <c r="CA135" s="755"/>
      <c r="CB135" s="148"/>
      <c r="CC135" s="148"/>
      <c r="CD135" s="755"/>
      <c r="CE135" s="148"/>
      <c r="CF135" s="148"/>
      <c r="CG135" s="889" t="s">
        <v>273</v>
      </c>
      <c r="CH135" s="890"/>
      <c r="CI135" s="890"/>
      <c r="CJ135" s="890"/>
      <c r="CK135" s="891"/>
      <c r="CL135" s="889" t="s">
        <v>274</v>
      </c>
      <c r="CM135" s="890"/>
      <c r="CN135" s="890"/>
      <c r="CO135" s="890"/>
      <c r="CP135" s="891"/>
      <c r="CT135" s="203"/>
      <c r="CV135" s="158"/>
      <c r="CW135" s="755"/>
      <c r="CX135" s="755"/>
      <c r="CY135" s="755"/>
      <c r="CZ135" s="148"/>
      <c r="DA135" s="148"/>
      <c r="DB135" s="755"/>
      <c r="DC135" s="148"/>
      <c r="DD135" s="148"/>
      <c r="DE135" s="889" t="s">
        <v>273</v>
      </c>
      <c r="DF135" s="890"/>
      <c r="DG135" s="890"/>
      <c r="DH135" s="890"/>
      <c r="DI135" s="891"/>
      <c r="DJ135" s="889" t="s">
        <v>274</v>
      </c>
      <c r="DK135" s="890"/>
      <c r="DL135" s="890"/>
      <c r="DM135" s="890"/>
      <c r="DN135" s="891"/>
    </row>
    <row r="136" spans="2:118" ht="51" x14ac:dyDescent="0.3">
      <c r="B136" s="204" t="s">
        <v>275</v>
      </c>
      <c r="C136" s="205" t="s">
        <v>293</v>
      </c>
      <c r="D136" s="205" t="s">
        <v>294</v>
      </c>
      <c r="E136" s="171" t="s">
        <v>622</v>
      </c>
      <c r="F136" s="171" t="s">
        <v>591</v>
      </c>
      <c r="G136" s="171" t="s">
        <v>623</v>
      </c>
      <c r="H136" s="205" t="str">
        <f>'Arable NPV'!$G$141</f>
        <v>Total Variable Costs</v>
      </c>
      <c r="I136" s="205" t="str">
        <f>'Arable NPV'!$H$141</f>
        <v>Total Fixed Costs</v>
      </c>
      <c r="J136" s="171" t="s">
        <v>279</v>
      </c>
      <c r="K136" s="171" t="s">
        <v>624</v>
      </c>
      <c r="L136" s="171" t="s">
        <v>625</v>
      </c>
      <c r="M136" s="195" t="s">
        <v>280</v>
      </c>
      <c r="N136" s="171" t="s">
        <v>626</v>
      </c>
      <c r="O136" s="171" t="s">
        <v>281</v>
      </c>
      <c r="P136" s="171" t="s">
        <v>627</v>
      </c>
      <c r="Q136" s="198" t="s">
        <v>282</v>
      </c>
      <c r="R136" s="195" t="s">
        <v>283</v>
      </c>
      <c r="S136" s="171" t="s">
        <v>628</v>
      </c>
      <c r="T136" s="171" t="s">
        <v>284</v>
      </c>
      <c r="U136" s="171" t="s">
        <v>629</v>
      </c>
      <c r="V136" s="198" t="s">
        <v>285</v>
      </c>
      <c r="Z136" s="204" t="s">
        <v>275</v>
      </c>
      <c r="AA136" s="205" t="s">
        <v>293</v>
      </c>
      <c r="AB136" s="205" t="s">
        <v>294</v>
      </c>
      <c r="AC136" s="171" t="s">
        <v>622</v>
      </c>
      <c r="AD136" s="171" t="s">
        <v>591</v>
      </c>
      <c r="AE136" s="171" t="s">
        <v>623</v>
      </c>
      <c r="AF136" s="205" t="str">
        <f>'Arable NPV'!$G$141</f>
        <v>Total Variable Costs</v>
      </c>
      <c r="AG136" s="205" t="str">
        <f>'Arable NPV'!$H$141</f>
        <v>Total Fixed Costs</v>
      </c>
      <c r="AH136" s="171" t="s">
        <v>279</v>
      </c>
      <c r="AI136" s="171" t="s">
        <v>624</v>
      </c>
      <c r="AJ136" s="171" t="s">
        <v>625</v>
      </c>
      <c r="AK136" s="195" t="s">
        <v>280</v>
      </c>
      <c r="AL136" s="171" t="s">
        <v>626</v>
      </c>
      <c r="AM136" s="171" t="s">
        <v>281</v>
      </c>
      <c r="AN136" s="171" t="s">
        <v>627</v>
      </c>
      <c r="AO136" s="198" t="s">
        <v>282</v>
      </c>
      <c r="AP136" s="195" t="s">
        <v>283</v>
      </c>
      <c r="AQ136" s="171" t="s">
        <v>628</v>
      </c>
      <c r="AR136" s="171" t="s">
        <v>284</v>
      </c>
      <c r="AS136" s="171" t="s">
        <v>629</v>
      </c>
      <c r="AT136" s="198" t="s">
        <v>285</v>
      </c>
      <c r="AX136" s="204" t="s">
        <v>275</v>
      </c>
      <c r="AY136" s="205" t="s">
        <v>293</v>
      </c>
      <c r="AZ136" s="205" t="s">
        <v>294</v>
      </c>
      <c r="BA136" s="171" t="s">
        <v>622</v>
      </c>
      <c r="BB136" s="171" t="s">
        <v>591</v>
      </c>
      <c r="BC136" s="171" t="s">
        <v>623</v>
      </c>
      <c r="BD136" s="205" t="str">
        <f>'Arable NPV'!$G$141</f>
        <v>Total Variable Costs</v>
      </c>
      <c r="BE136" s="205" t="str">
        <f>'Arable NPV'!$H$141</f>
        <v>Total Fixed Costs</v>
      </c>
      <c r="BF136" s="171" t="s">
        <v>279</v>
      </c>
      <c r="BG136" s="171" t="s">
        <v>624</v>
      </c>
      <c r="BH136" s="171" t="s">
        <v>625</v>
      </c>
      <c r="BI136" s="195" t="s">
        <v>280</v>
      </c>
      <c r="BJ136" s="171" t="s">
        <v>626</v>
      </c>
      <c r="BK136" s="171" t="s">
        <v>281</v>
      </c>
      <c r="BL136" s="171" t="s">
        <v>627</v>
      </c>
      <c r="BM136" s="198" t="s">
        <v>282</v>
      </c>
      <c r="BN136" s="195" t="s">
        <v>283</v>
      </c>
      <c r="BO136" s="171" t="s">
        <v>628</v>
      </c>
      <c r="BP136" s="171" t="s">
        <v>284</v>
      </c>
      <c r="BQ136" s="171" t="s">
        <v>629</v>
      </c>
      <c r="BR136" s="198" t="s">
        <v>285</v>
      </c>
      <c r="BV136" s="204" t="s">
        <v>275</v>
      </c>
      <c r="BW136" s="205" t="s">
        <v>293</v>
      </c>
      <c r="BX136" s="205" t="s">
        <v>294</v>
      </c>
      <c r="BY136" s="171" t="s">
        <v>622</v>
      </c>
      <c r="BZ136" s="171" t="s">
        <v>591</v>
      </c>
      <c r="CA136" s="171" t="s">
        <v>623</v>
      </c>
      <c r="CB136" s="205" t="str">
        <f>'Arable NPV'!$G$141</f>
        <v>Total Variable Costs</v>
      </c>
      <c r="CC136" s="205" t="str">
        <f>'Arable NPV'!$H$141</f>
        <v>Total Fixed Costs</v>
      </c>
      <c r="CD136" s="171" t="s">
        <v>279</v>
      </c>
      <c r="CE136" s="171" t="s">
        <v>624</v>
      </c>
      <c r="CF136" s="171" t="s">
        <v>625</v>
      </c>
      <c r="CG136" s="195" t="s">
        <v>280</v>
      </c>
      <c r="CH136" s="171" t="s">
        <v>626</v>
      </c>
      <c r="CI136" s="171" t="s">
        <v>281</v>
      </c>
      <c r="CJ136" s="171" t="s">
        <v>627</v>
      </c>
      <c r="CK136" s="198" t="s">
        <v>282</v>
      </c>
      <c r="CL136" s="195" t="s">
        <v>283</v>
      </c>
      <c r="CM136" s="171" t="s">
        <v>628</v>
      </c>
      <c r="CN136" s="171" t="s">
        <v>284</v>
      </c>
      <c r="CO136" s="171" t="s">
        <v>629</v>
      </c>
      <c r="CP136" s="198" t="s">
        <v>285</v>
      </c>
      <c r="CT136" s="204" t="s">
        <v>275</v>
      </c>
      <c r="CU136" s="205" t="s">
        <v>293</v>
      </c>
      <c r="CV136" s="205" t="s">
        <v>294</v>
      </c>
      <c r="CW136" s="171" t="s">
        <v>622</v>
      </c>
      <c r="CX136" s="171" t="s">
        <v>591</v>
      </c>
      <c r="CY136" s="171" t="s">
        <v>623</v>
      </c>
      <c r="CZ136" s="205" t="str">
        <f>'Arable NPV'!$G$141</f>
        <v>Total Variable Costs</v>
      </c>
      <c r="DA136" s="205" t="str">
        <f>'Arable NPV'!$H$141</f>
        <v>Total Fixed Costs</v>
      </c>
      <c r="DB136" s="171" t="s">
        <v>279</v>
      </c>
      <c r="DC136" s="171" t="s">
        <v>624</v>
      </c>
      <c r="DD136" s="171" t="s">
        <v>625</v>
      </c>
      <c r="DE136" s="195" t="s">
        <v>280</v>
      </c>
      <c r="DF136" s="171" t="s">
        <v>626</v>
      </c>
      <c r="DG136" s="171" t="s">
        <v>281</v>
      </c>
      <c r="DH136" s="171" t="s">
        <v>627</v>
      </c>
      <c r="DI136" s="198" t="s">
        <v>282</v>
      </c>
      <c r="DJ136" s="195" t="s">
        <v>283</v>
      </c>
      <c r="DK136" s="171" t="s">
        <v>628</v>
      </c>
      <c r="DL136" s="171" t="s">
        <v>284</v>
      </c>
      <c r="DM136" s="171" t="s">
        <v>629</v>
      </c>
      <c r="DN136" s="198" t="s">
        <v>285</v>
      </c>
    </row>
    <row r="137" spans="2:118" x14ac:dyDescent="0.3">
      <c r="B137" s="173"/>
      <c r="C137" s="226" t="s">
        <v>336</v>
      </c>
      <c r="D137" s="226" t="s">
        <v>573</v>
      </c>
      <c r="E137" s="201" t="s">
        <v>571</v>
      </c>
      <c r="F137" s="201" t="s">
        <v>571</v>
      </c>
      <c r="G137" s="201" t="s">
        <v>571</v>
      </c>
      <c r="H137" s="201" t="s">
        <v>571</v>
      </c>
      <c r="I137" s="201" t="s">
        <v>571</v>
      </c>
      <c r="J137" s="201" t="s">
        <v>571</v>
      </c>
      <c r="K137" s="201" t="s">
        <v>571</v>
      </c>
      <c r="L137" s="202" t="s">
        <v>571</v>
      </c>
      <c r="M137" s="201" t="s">
        <v>571</v>
      </c>
      <c r="N137" s="201" t="s">
        <v>571</v>
      </c>
      <c r="O137" s="201" t="s">
        <v>571</v>
      </c>
      <c r="P137" s="201" t="s">
        <v>571</v>
      </c>
      <c r="Q137" s="202" t="s">
        <v>571</v>
      </c>
      <c r="R137" s="201" t="s">
        <v>571</v>
      </c>
      <c r="S137" s="201" t="s">
        <v>571</v>
      </c>
      <c r="T137" s="201" t="s">
        <v>571</v>
      </c>
      <c r="U137" s="201" t="s">
        <v>571</v>
      </c>
      <c r="V137" s="202" t="s">
        <v>571</v>
      </c>
      <c r="Z137" s="173"/>
      <c r="AA137" s="226" t="s">
        <v>336</v>
      </c>
      <c r="AB137" s="226" t="s">
        <v>573</v>
      </c>
      <c r="AC137" s="201" t="s">
        <v>571</v>
      </c>
      <c r="AD137" s="201" t="s">
        <v>571</v>
      </c>
      <c r="AE137" s="201" t="s">
        <v>571</v>
      </c>
      <c r="AF137" s="201" t="s">
        <v>571</v>
      </c>
      <c r="AG137" s="201" t="s">
        <v>571</v>
      </c>
      <c r="AH137" s="201" t="s">
        <v>571</v>
      </c>
      <c r="AI137" s="201" t="s">
        <v>571</v>
      </c>
      <c r="AJ137" s="202" t="s">
        <v>571</v>
      </c>
      <c r="AK137" s="201" t="s">
        <v>571</v>
      </c>
      <c r="AL137" s="201" t="s">
        <v>571</v>
      </c>
      <c r="AM137" s="201" t="s">
        <v>571</v>
      </c>
      <c r="AN137" s="201" t="s">
        <v>571</v>
      </c>
      <c r="AO137" s="202" t="s">
        <v>571</v>
      </c>
      <c r="AP137" s="201" t="s">
        <v>571</v>
      </c>
      <c r="AQ137" s="201" t="s">
        <v>571</v>
      </c>
      <c r="AR137" s="201" t="s">
        <v>571</v>
      </c>
      <c r="AS137" s="201" t="s">
        <v>571</v>
      </c>
      <c r="AT137" s="202" t="s">
        <v>571</v>
      </c>
      <c r="AX137" s="173"/>
      <c r="AY137" s="226" t="s">
        <v>336</v>
      </c>
      <c r="AZ137" s="226" t="s">
        <v>573</v>
      </c>
      <c r="BA137" s="201" t="s">
        <v>571</v>
      </c>
      <c r="BB137" s="201" t="s">
        <v>571</v>
      </c>
      <c r="BC137" s="201" t="s">
        <v>571</v>
      </c>
      <c r="BD137" s="201" t="s">
        <v>571</v>
      </c>
      <c r="BE137" s="201" t="s">
        <v>571</v>
      </c>
      <c r="BF137" s="201" t="s">
        <v>571</v>
      </c>
      <c r="BG137" s="201" t="s">
        <v>571</v>
      </c>
      <c r="BH137" s="202" t="s">
        <v>571</v>
      </c>
      <c r="BI137" s="201" t="s">
        <v>571</v>
      </c>
      <c r="BJ137" s="201" t="s">
        <v>571</v>
      </c>
      <c r="BK137" s="201" t="s">
        <v>571</v>
      </c>
      <c r="BL137" s="201" t="s">
        <v>571</v>
      </c>
      <c r="BM137" s="202" t="s">
        <v>571</v>
      </c>
      <c r="BN137" s="201" t="s">
        <v>571</v>
      </c>
      <c r="BO137" s="201" t="s">
        <v>571</v>
      </c>
      <c r="BP137" s="201" t="s">
        <v>571</v>
      </c>
      <c r="BQ137" s="201" t="s">
        <v>571</v>
      </c>
      <c r="BR137" s="202" t="s">
        <v>571</v>
      </c>
      <c r="BV137" s="173"/>
      <c r="BW137" s="226" t="s">
        <v>336</v>
      </c>
      <c r="BX137" s="226" t="s">
        <v>573</v>
      </c>
      <c r="BY137" s="201" t="s">
        <v>571</v>
      </c>
      <c r="BZ137" s="201" t="s">
        <v>571</v>
      </c>
      <c r="CA137" s="201" t="s">
        <v>571</v>
      </c>
      <c r="CB137" s="201" t="s">
        <v>571</v>
      </c>
      <c r="CC137" s="201" t="s">
        <v>571</v>
      </c>
      <c r="CD137" s="201" t="s">
        <v>571</v>
      </c>
      <c r="CE137" s="201" t="s">
        <v>571</v>
      </c>
      <c r="CF137" s="202" t="s">
        <v>571</v>
      </c>
      <c r="CG137" s="201" t="s">
        <v>571</v>
      </c>
      <c r="CH137" s="201" t="s">
        <v>571</v>
      </c>
      <c r="CI137" s="201" t="s">
        <v>571</v>
      </c>
      <c r="CJ137" s="201" t="s">
        <v>571</v>
      </c>
      <c r="CK137" s="202" t="s">
        <v>571</v>
      </c>
      <c r="CL137" s="201" t="s">
        <v>571</v>
      </c>
      <c r="CM137" s="201" t="s">
        <v>571</v>
      </c>
      <c r="CN137" s="201" t="s">
        <v>571</v>
      </c>
      <c r="CO137" s="201" t="s">
        <v>571</v>
      </c>
      <c r="CP137" s="202" t="s">
        <v>571</v>
      </c>
      <c r="CT137" s="173"/>
      <c r="CU137" s="226" t="s">
        <v>336</v>
      </c>
      <c r="CV137" s="226" t="s">
        <v>573</v>
      </c>
      <c r="CW137" s="201" t="s">
        <v>571</v>
      </c>
      <c r="CX137" s="201" t="s">
        <v>571</v>
      </c>
      <c r="CY137" s="201" t="s">
        <v>571</v>
      </c>
      <c r="CZ137" s="201" t="s">
        <v>571</v>
      </c>
      <c r="DA137" s="201" t="s">
        <v>571</v>
      </c>
      <c r="DB137" s="201" t="s">
        <v>571</v>
      </c>
      <c r="DC137" s="201" t="s">
        <v>571</v>
      </c>
      <c r="DD137" s="202" t="s">
        <v>571</v>
      </c>
      <c r="DE137" s="201" t="s">
        <v>571</v>
      </c>
      <c r="DF137" s="201" t="s">
        <v>571</v>
      </c>
      <c r="DG137" s="201" t="s">
        <v>571</v>
      </c>
      <c r="DH137" s="201" t="s">
        <v>571</v>
      </c>
      <c r="DI137" s="202" t="s">
        <v>571</v>
      </c>
      <c r="DJ137" s="201" t="s">
        <v>571</v>
      </c>
      <c r="DK137" s="201" t="s">
        <v>571</v>
      </c>
      <c r="DL137" s="201" t="s">
        <v>571</v>
      </c>
      <c r="DM137" s="201" t="s">
        <v>571</v>
      </c>
      <c r="DN137" s="202" t="s">
        <v>571</v>
      </c>
    </row>
    <row r="138" spans="2:118" x14ac:dyDescent="0.3">
      <c r="B138" s="894">
        <v>1</v>
      </c>
      <c r="C138" s="906">
        <f>'Arable Inputs'!$H$18</f>
        <v>12</v>
      </c>
      <c r="D138" s="757">
        <f>'Arable Inputs'!$H$25</f>
        <v>724</v>
      </c>
      <c r="E138" s="759">
        <f>C138*D138</f>
        <v>8688</v>
      </c>
      <c r="F138" s="197">
        <f>'Arable NPV'!$D117</f>
        <v>471.64</v>
      </c>
      <c r="G138" s="197">
        <f>E138+F138</f>
        <v>9159.64</v>
      </c>
      <c r="H138" s="197">
        <f>'Arable NPV'!$F117</f>
        <v>2474.37212</v>
      </c>
      <c r="I138" s="197">
        <f>'Arable NPV'!$G117</f>
        <v>3226.3624</v>
      </c>
      <c r="J138" s="197">
        <f>(H138+I138)*$E$134</f>
        <v>5700.73452</v>
      </c>
      <c r="K138" s="197">
        <f>E138-J138</f>
        <v>2987.26548</v>
      </c>
      <c r="L138" s="197">
        <f>G138-J138</f>
        <v>3458.9054799999994</v>
      </c>
      <c r="M138" s="196">
        <f>E138/(1+$B$4)^(B138-1)</f>
        <v>8688</v>
      </c>
      <c r="N138" s="197">
        <f>F138/(1+$B$4)^(B138-1)</f>
        <v>471.64</v>
      </c>
      <c r="O138" s="197">
        <f>J138/(1+$B$4)^(B138-1)</f>
        <v>5700.73452</v>
      </c>
      <c r="P138" s="197">
        <f>K138/(1+$B$4)^(B138-1)</f>
        <v>2987.26548</v>
      </c>
      <c r="Q138" s="197">
        <f>L138/(1+$B$4)^(B138-1)</f>
        <v>3458.9054799999994</v>
      </c>
      <c r="R138" s="196">
        <f>M138</f>
        <v>8688</v>
      </c>
      <c r="S138" s="197">
        <f>N138</f>
        <v>471.64</v>
      </c>
      <c r="T138" s="197">
        <f>O138</f>
        <v>5700.73452</v>
      </c>
      <c r="U138" s="197">
        <f>P138</f>
        <v>2987.26548</v>
      </c>
      <c r="V138" s="199">
        <f>Q138</f>
        <v>3458.9054799999994</v>
      </c>
      <c r="Z138" s="894">
        <v>1</v>
      </c>
      <c r="AA138" s="906">
        <f>'Arable Inputs'!$H$18</f>
        <v>12</v>
      </c>
      <c r="AB138" s="757">
        <f>'Arable Inputs'!$H$25</f>
        <v>724</v>
      </c>
      <c r="AC138" s="759">
        <f>AA138*AB138</f>
        <v>8688</v>
      </c>
      <c r="AD138" s="197">
        <f>'Arable NPV'!$D117</f>
        <v>471.64</v>
      </c>
      <c r="AE138" s="197">
        <f>AC138+AD138</f>
        <v>9159.64</v>
      </c>
      <c r="AF138" s="197">
        <f>'Arable NPV'!$F117</f>
        <v>2474.37212</v>
      </c>
      <c r="AG138" s="197">
        <f>'Arable NPV'!$G117</f>
        <v>3226.3624</v>
      </c>
      <c r="AH138" s="197">
        <f t="shared" ref="AH138:AH153" si="361">(AF138+AG138)*$AC$134</f>
        <v>8551.1017800000009</v>
      </c>
      <c r="AI138" s="197">
        <f>AC138-AH138</f>
        <v>136.89821999999913</v>
      </c>
      <c r="AJ138" s="197">
        <f>AE138-AH138</f>
        <v>608.53821999999855</v>
      </c>
      <c r="AK138" s="196">
        <f>AC138/(1+$B$4)^(Z138-1)</f>
        <v>8688</v>
      </c>
      <c r="AL138" s="197">
        <f>AD138/(1+$B$4)^(Z138-1)</f>
        <v>471.64</v>
      </c>
      <c r="AM138" s="197">
        <f>AH138/(1+$B$4)^(Z138-1)</f>
        <v>8551.1017800000009</v>
      </c>
      <c r="AN138" s="197">
        <f>AI138/(1+$B$4)^(Z138-1)</f>
        <v>136.89821999999913</v>
      </c>
      <c r="AO138" s="197">
        <f>AJ138/(1+$B$4)^(Z138-1)</f>
        <v>608.53821999999855</v>
      </c>
      <c r="AP138" s="196">
        <f>AK138</f>
        <v>8688</v>
      </c>
      <c r="AQ138" s="197">
        <f>AL138</f>
        <v>471.64</v>
      </c>
      <c r="AR138" s="197">
        <f>AM138</f>
        <v>8551.1017800000009</v>
      </c>
      <c r="AS138" s="197">
        <f>AN138</f>
        <v>136.89821999999913</v>
      </c>
      <c r="AT138" s="199">
        <f>AO138</f>
        <v>608.53821999999855</v>
      </c>
      <c r="AX138" s="894">
        <v>1</v>
      </c>
      <c r="AY138" s="906">
        <f>'Arable Inputs'!$H$18</f>
        <v>12</v>
      </c>
      <c r="AZ138" s="757">
        <f>'Arable Inputs'!$H$25</f>
        <v>724</v>
      </c>
      <c r="BA138" s="759">
        <f>AY138*AZ138</f>
        <v>8688</v>
      </c>
      <c r="BB138" s="197">
        <f>'Arable NPV'!$D117</f>
        <v>471.64</v>
      </c>
      <c r="BC138" s="197">
        <f>BA138+BB138</f>
        <v>9159.64</v>
      </c>
      <c r="BD138" s="197">
        <f>'Arable NPV'!$F117</f>
        <v>2474.37212</v>
      </c>
      <c r="BE138" s="197">
        <f>'Arable NPV'!$G117</f>
        <v>3226.3624</v>
      </c>
      <c r="BF138" s="197">
        <f t="shared" ref="BF138:BF153" si="362">(BD138+BE138)*$BA$134</f>
        <v>2850.36726</v>
      </c>
      <c r="BG138" s="197">
        <f>BA138-BF138</f>
        <v>5837.63274</v>
      </c>
      <c r="BH138" s="197">
        <f>BC138-BF138</f>
        <v>6309.2727399999994</v>
      </c>
      <c r="BI138" s="196">
        <f>BA138/(1+$B$4)^(AX138-1)</f>
        <v>8688</v>
      </c>
      <c r="BJ138" s="197">
        <f>BB138/(1+$B$4)^(AX138-1)</f>
        <v>471.64</v>
      </c>
      <c r="BK138" s="197">
        <f>BF138/(1+$B$4)^(AX138-1)</f>
        <v>2850.36726</v>
      </c>
      <c r="BL138" s="197">
        <f>BG138/(1+$B$4)^(AX138-1)</f>
        <v>5837.63274</v>
      </c>
      <c r="BM138" s="197">
        <f>BH138/(1+$B$4)^(AX138-1)</f>
        <v>6309.2727399999994</v>
      </c>
      <c r="BN138" s="196">
        <f>BI138</f>
        <v>8688</v>
      </c>
      <c r="BO138" s="197">
        <f>BJ138</f>
        <v>471.64</v>
      </c>
      <c r="BP138" s="197">
        <f>BK138</f>
        <v>2850.36726</v>
      </c>
      <c r="BQ138" s="197">
        <f>BL138</f>
        <v>5837.63274</v>
      </c>
      <c r="BR138" s="199">
        <f>BM138</f>
        <v>6309.2727399999994</v>
      </c>
      <c r="BV138" s="894">
        <v>1</v>
      </c>
      <c r="BW138" s="906">
        <f>'Arable Inputs'!$H$18</f>
        <v>12</v>
      </c>
      <c r="BX138" s="757">
        <f>'Arable Inputs'!$H$25</f>
        <v>724</v>
      </c>
      <c r="BY138" s="759">
        <f>BW138*BX138</f>
        <v>8688</v>
      </c>
      <c r="BZ138" s="197">
        <f>'Arable NPV'!$D117</f>
        <v>471.64</v>
      </c>
      <c r="CA138" s="197">
        <f>BY138+BZ138</f>
        <v>9159.64</v>
      </c>
      <c r="CB138" s="197">
        <f>'Arable NPV'!$F117</f>
        <v>2474.37212</v>
      </c>
      <c r="CC138" s="197">
        <f>'Arable NPV'!$G117</f>
        <v>3226.3624</v>
      </c>
      <c r="CD138" s="197">
        <f t="shared" ref="CD138:CD153" si="363">(CB138+CC138)*$BY$134</f>
        <v>11401.46904</v>
      </c>
      <c r="CE138" s="197">
        <f>BY138-CD138</f>
        <v>-2713.4690399999999</v>
      </c>
      <c r="CF138" s="197">
        <f>CA138-CD138</f>
        <v>-2241.8290400000005</v>
      </c>
      <c r="CG138" s="196">
        <f>BY138/(1+$B$4)^(BV138-1)</f>
        <v>8688</v>
      </c>
      <c r="CH138" s="197">
        <f>BZ138/(1+$B$4)^(BV138-1)</f>
        <v>471.64</v>
      </c>
      <c r="CI138" s="197">
        <f>CD138/(1+$B$4)^(BV138-1)</f>
        <v>11401.46904</v>
      </c>
      <c r="CJ138" s="197">
        <f>CE138/(1+$B$4)^(BV138-1)</f>
        <v>-2713.4690399999999</v>
      </c>
      <c r="CK138" s="197">
        <f>CF138/(1+$B$4)^(BV138-1)</f>
        <v>-2241.8290400000005</v>
      </c>
      <c r="CL138" s="196">
        <f>CG138</f>
        <v>8688</v>
      </c>
      <c r="CM138" s="197">
        <f>CH138</f>
        <v>471.64</v>
      </c>
      <c r="CN138" s="197">
        <f>CI138</f>
        <v>11401.46904</v>
      </c>
      <c r="CO138" s="197">
        <f>CJ138</f>
        <v>-2713.4690399999999</v>
      </c>
      <c r="CP138" s="199">
        <f>CK138</f>
        <v>-2241.8290400000005</v>
      </c>
      <c r="CT138" s="894">
        <v>1</v>
      </c>
      <c r="CU138" s="906">
        <f>'Arable Inputs'!$H$18</f>
        <v>12</v>
      </c>
      <c r="CV138" s="757">
        <f>'Arable Inputs'!$H$25</f>
        <v>724</v>
      </c>
      <c r="CW138" s="759">
        <f>CU138*CV138</f>
        <v>8688</v>
      </c>
      <c r="CX138" s="197">
        <f>'Arable NPV'!$D117</f>
        <v>471.64</v>
      </c>
      <c r="CY138" s="197">
        <f>CW138+CX138</f>
        <v>9159.64</v>
      </c>
      <c r="CZ138" s="197">
        <f>'Arable NPV'!$F117</f>
        <v>2474.37212</v>
      </c>
      <c r="DA138" s="197">
        <f>'Arable NPV'!$G117</f>
        <v>3226.3624</v>
      </c>
      <c r="DB138" s="197">
        <f t="shared" ref="DB138:DB153" si="364">(CZ138+DA138)*$CW$134</f>
        <v>0</v>
      </c>
      <c r="DC138" s="197">
        <f>CW138-DB138</f>
        <v>8688</v>
      </c>
      <c r="DD138" s="197">
        <f>CY138-DB138</f>
        <v>9159.64</v>
      </c>
      <c r="DE138" s="196">
        <f>CW138/(1+$B$4)^(CT138-1)</f>
        <v>8688</v>
      </c>
      <c r="DF138" s="197">
        <f>CX138/(1+$B$4)^(CT138-1)</f>
        <v>471.64</v>
      </c>
      <c r="DG138" s="197">
        <f>DB138/(1+$B$4)^(CT138-1)</f>
        <v>0</v>
      </c>
      <c r="DH138" s="197">
        <f>DC138/(1+$B$4)^(CT138-1)</f>
        <v>8688</v>
      </c>
      <c r="DI138" s="197">
        <f>DD138/(1+$B$4)^(CT138-1)</f>
        <v>9159.64</v>
      </c>
      <c r="DJ138" s="196">
        <f>DE138</f>
        <v>8688</v>
      </c>
      <c r="DK138" s="197">
        <f>DF138</f>
        <v>471.64</v>
      </c>
      <c r="DL138" s="197">
        <f>DG138</f>
        <v>0</v>
      </c>
      <c r="DM138" s="197">
        <f>DH138</f>
        <v>8688</v>
      </c>
      <c r="DN138" s="199">
        <f>DI138</f>
        <v>9159.64</v>
      </c>
    </row>
    <row r="139" spans="2:118" x14ac:dyDescent="0.3">
      <c r="B139" s="895">
        <v>2</v>
      </c>
      <c r="C139" s="906">
        <f>'Arable Inputs'!$H$18</f>
        <v>12</v>
      </c>
      <c r="D139" s="757">
        <f>'Arable Inputs'!$H$25</f>
        <v>724</v>
      </c>
      <c r="E139" s="759">
        <f t="shared" ref="E139:E153" si="365">C139*D139</f>
        <v>8688</v>
      </c>
      <c r="F139" s="197">
        <f>'Arable NPV'!$D118</f>
        <v>471.64</v>
      </c>
      <c r="G139" s="197">
        <f>E139+F139</f>
        <v>9159.64</v>
      </c>
      <c r="H139" s="197">
        <f>'Arable NPV'!$F118</f>
        <v>2474.37212</v>
      </c>
      <c r="I139" s="197">
        <f>'Arable NPV'!$G118</f>
        <v>3226.3624</v>
      </c>
      <c r="J139" s="197">
        <f t="shared" ref="J139:J153" si="366">(H139+I139)*$E$134</f>
        <v>5700.73452</v>
      </c>
      <c r="K139" s="197">
        <f t="shared" ref="K139:K153" si="367">E139-J139</f>
        <v>2987.26548</v>
      </c>
      <c r="L139" s="197">
        <f t="shared" ref="L139:L153" si="368">G139-J139</f>
        <v>3458.9054799999994</v>
      </c>
      <c r="M139" s="196">
        <f t="shared" ref="M139:M153" si="369">E139/(1+$B$4)^(B139-1)</f>
        <v>8353.8461538461543</v>
      </c>
      <c r="N139" s="197">
        <f t="shared" ref="N139:N153" si="370">F139/(1+$B$4)^(B139-1)</f>
        <v>453.49999999999994</v>
      </c>
      <c r="O139" s="197">
        <f t="shared" ref="O139:O153" si="371">J139/(1+$B$4)^(B139-1)</f>
        <v>5481.4754999999996</v>
      </c>
      <c r="P139" s="197">
        <f t="shared" ref="P139:P153" si="372">K139/(1+$B$4)^(B139-1)</f>
        <v>2872.3706538461538</v>
      </c>
      <c r="Q139" s="197">
        <f t="shared" ref="Q139:Q152" si="373">L139/(1+$B$4)^(B139-1)</f>
        <v>3325.8706538461533</v>
      </c>
      <c r="R139" s="196">
        <f t="shared" ref="R139:V153" si="374">R138+M139</f>
        <v>17041.846153846156</v>
      </c>
      <c r="S139" s="197">
        <f t="shared" si="374"/>
        <v>925.13999999999987</v>
      </c>
      <c r="T139" s="197">
        <f t="shared" si="374"/>
        <v>11182.210019999999</v>
      </c>
      <c r="U139" s="197">
        <f t="shared" si="374"/>
        <v>5859.6361338461538</v>
      </c>
      <c r="V139" s="199">
        <f t="shared" si="374"/>
        <v>6784.7761338461532</v>
      </c>
      <c r="Z139" s="895">
        <v>2</v>
      </c>
      <c r="AA139" s="906">
        <f>'Arable Inputs'!$H$18</f>
        <v>12</v>
      </c>
      <c r="AB139" s="757">
        <f>'Arable Inputs'!$H$25</f>
        <v>724</v>
      </c>
      <c r="AC139" s="759">
        <f t="shared" ref="AC139:AC153" si="375">AA139*AB139</f>
        <v>8688</v>
      </c>
      <c r="AD139" s="197">
        <f>'Arable NPV'!$D118</f>
        <v>471.64</v>
      </c>
      <c r="AE139" s="197">
        <f>AC139+AD139</f>
        <v>9159.64</v>
      </c>
      <c r="AF139" s="197">
        <f>'Arable NPV'!$F118</f>
        <v>2474.37212</v>
      </c>
      <c r="AG139" s="197">
        <f>'Arable NPV'!$G118</f>
        <v>3226.3624</v>
      </c>
      <c r="AH139" s="197">
        <f t="shared" si="361"/>
        <v>8551.1017800000009</v>
      </c>
      <c r="AI139" s="197">
        <f t="shared" ref="AI139:AI153" si="376">AC139-AH139</f>
        <v>136.89821999999913</v>
      </c>
      <c r="AJ139" s="197">
        <f t="shared" ref="AJ139:AJ153" si="377">AE139-AH139</f>
        <v>608.53821999999855</v>
      </c>
      <c r="AK139" s="196">
        <f t="shared" ref="AK139:AK153" si="378">AC139/(1+$B$4)^(Z139-1)</f>
        <v>8353.8461538461543</v>
      </c>
      <c r="AL139" s="197">
        <f t="shared" ref="AL139:AL153" si="379">AD139/(1+$B$4)^(Z139-1)</f>
        <v>453.49999999999994</v>
      </c>
      <c r="AM139" s="197">
        <f t="shared" ref="AM139:AM153" si="380">AH139/(1+$B$4)^(Z139-1)</f>
        <v>8222.2132500000007</v>
      </c>
      <c r="AN139" s="197">
        <f t="shared" ref="AN139:AN153" si="381">AI139/(1+$B$4)^(Z139-1)</f>
        <v>131.632903846153</v>
      </c>
      <c r="AO139" s="197">
        <f t="shared" ref="AO139:AO152" si="382">AJ139/(1+$B$4)^(Z139-1)</f>
        <v>585.13290384615243</v>
      </c>
      <c r="AP139" s="196">
        <f t="shared" ref="AP139:AP153" si="383">AP138+AK139</f>
        <v>17041.846153846156</v>
      </c>
      <c r="AQ139" s="197">
        <f t="shared" ref="AQ139:AQ153" si="384">AQ138+AL139</f>
        <v>925.13999999999987</v>
      </c>
      <c r="AR139" s="197">
        <f t="shared" ref="AR139:AR153" si="385">AR138+AM139</f>
        <v>16773.315030000002</v>
      </c>
      <c r="AS139" s="197">
        <f t="shared" ref="AS139:AS153" si="386">AS138+AN139</f>
        <v>268.53112384615213</v>
      </c>
      <c r="AT139" s="199">
        <f t="shared" ref="AT139:AT153" si="387">AT138+AO139</f>
        <v>1193.671123846151</v>
      </c>
      <c r="AX139" s="895">
        <v>2</v>
      </c>
      <c r="AY139" s="906">
        <f>'Arable Inputs'!$H$18</f>
        <v>12</v>
      </c>
      <c r="AZ139" s="757">
        <f>'Arable Inputs'!$H$25</f>
        <v>724</v>
      </c>
      <c r="BA139" s="759">
        <f t="shared" ref="BA139:BA153" si="388">AY139*AZ139</f>
        <v>8688</v>
      </c>
      <c r="BB139" s="197">
        <f>'Arable NPV'!$D118</f>
        <v>471.64</v>
      </c>
      <c r="BC139" s="197">
        <f>BA139+BB139</f>
        <v>9159.64</v>
      </c>
      <c r="BD139" s="197">
        <f>'Arable NPV'!$F118</f>
        <v>2474.37212</v>
      </c>
      <c r="BE139" s="197">
        <f>'Arable NPV'!$G118</f>
        <v>3226.3624</v>
      </c>
      <c r="BF139" s="197">
        <f t="shared" si="362"/>
        <v>2850.36726</v>
      </c>
      <c r="BG139" s="197">
        <f t="shared" ref="BG139:BG153" si="389">BA139-BF139</f>
        <v>5837.63274</v>
      </c>
      <c r="BH139" s="197">
        <f t="shared" ref="BH139:BH153" si="390">BC139-BF139</f>
        <v>6309.2727399999994</v>
      </c>
      <c r="BI139" s="196">
        <f t="shared" ref="BI139:BI153" si="391">BA139/(1+$B$4)^(AX139-1)</f>
        <v>8353.8461538461543</v>
      </c>
      <c r="BJ139" s="197">
        <f t="shared" ref="BJ139:BJ153" si="392">BB139/(1+$B$4)^(AX139-1)</f>
        <v>453.49999999999994</v>
      </c>
      <c r="BK139" s="197">
        <f t="shared" ref="BK139:BK153" si="393">BF139/(1+$B$4)^(AX139-1)</f>
        <v>2740.7377499999998</v>
      </c>
      <c r="BL139" s="197">
        <f t="shared" ref="BL139:BL153" si="394">BG139/(1+$B$4)^(AX139-1)</f>
        <v>5613.108403846154</v>
      </c>
      <c r="BM139" s="197">
        <f t="shared" ref="BM139:BM152" si="395">BH139/(1+$B$4)^(AX139-1)</f>
        <v>6066.6084038461531</v>
      </c>
      <c r="BN139" s="196">
        <f t="shared" ref="BN139:BN153" si="396">BN138+BI139</f>
        <v>17041.846153846156</v>
      </c>
      <c r="BO139" s="197">
        <f t="shared" ref="BO139:BO153" si="397">BO138+BJ139</f>
        <v>925.13999999999987</v>
      </c>
      <c r="BP139" s="197">
        <f t="shared" ref="BP139:BP153" si="398">BP138+BK139</f>
        <v>5591.1050099999993</v>
      </c>
      <c r="BQ139" s="197">
        <f t="shared" ref="BQ139:BQ153" si="399">BQ138+BL139</f>
        <v>11450.741143846153</v>
      </c>
      <c r="BR139" s="199">
        <f t="shared" ref="BR139:BR153" si="400">BR138+BM139</f>
        <v>12375.881143846153</v>
      </c>
      <c r="BV139" s="895">
        <v>2</v>
      </c>
      <c r="BW139" s="906">
        <f>'Arable Inputs'!$H$18</f>
        <v>12</v>
      </c>
      <c r="BX139" s="757">
        <f>'Arable Inputs'!$H$25</f>
        <v>724</v>
      </c>
      <c r="BY139" s="759">
        <f t="shared" ref="BY139:BY153" si="401">BW139*BX139</f>
        <v>8688</v>
      </c>
      <c r="BZ139" s="197">
        <f>'Arable NPV'!$D118</f>
        <v>471.64</v>
      </c>
      <c r="CA139" s="197">
        <f>BY139+BZ139</f>
        <v>9159.64</v>
      </c>
      <c r="CB139" s="197">
        <f>'Arable NPV'!$F118</f>
        <v>2474.37212</v>
      </c>
      <c r="CC139" s="197">
        <f>'Arable NPV'!$G118</f>
        <v>3226.3624</v>
      </c>
      <c r="CD139" s="197">
        <f t="shared" si="363"/>
        <v>11401.46904</v>
      </c>
      <c r="CE139" s="197">
        <f t="shared" ref="CE139:CE153" si="402">BY139-CD139</f>
        <v>-2713.4690399999999</v>
      </c>
      <c r="CF139" s="197">
        <f t="shared" ref="CF139:CF153" si="403">CA139-CD139</f>
        <v>-2241.8290400000005</v>
      </c>
      <c r="CG139" s="196">
        <f t="shared" ref="CG139:CG153" si="404">BY139/(1+$B$4)^(BV139-1)</f>
        <v>8353.8461538461543</v>
      </c>
      <c r="CH139" s="197">
        <f t="shared" ref="CH139:CH153" si="405">BZ139/(1+$B$4)^(BV139-1)</f>
        <v>453.49999999999994</v>
      </c>
      <c r="CI139" s="197">
        <f t="shared" ref="CI139:CI153" si="406">CD139/(1+$B$4)^(BV139-1)</f>
        <v>10962.950999999999</v>
      </c>
      <c r="CJ139" s="197">
        <f t="shared" ref="CJ139:CJ153" si="407">CE139/(1+$B$4)^(BV139-1)</f>
        <v>-2609.1048461538462</v>
      </c>
      <c r="CK139" s="197">
        <f t="shared" ref="CK139:CK152" si="408">CF139/(1+$B$4)^(BV139-1)</f>
        <v>-2155.6048461538467</v>
      </c>
      <c r="CL139" s="196">
        <f t="shared" ref="CL139:CL153" si="409">CL138+CG139</f>
        <v>17041.846153846156</v>
      </c>
      <c r="CM139" s="197">
        <f t="shared" ref="CM139:CM153" si="410">CM138+CH139</f>
        <v>925.13999999999987</v>
      </c>
      <c r="CN139" s="197">
        <f t="shared" ref="CN139:CN153" si="411">CN138+CI139</f>
        <v>22364.420039999997</v>
      </c>
      <c r="CO139" s="197">
        <f t="shared" ref="CO139:CO153" si="412">CO138+CJ139</f>
        <v>-5322.5738861538466</v>
      </c>
      <c r="CP139" s="199">
        <f t="shared" ref="CP139:CP153" si="413">CP138+CK139</f>
        <v>-4397.4338861538472</v>
      </c>
      <c r="CT139" s="895">
        <v>2</v>
      </c>
      <c r="CU139" s="906">
        <f>'Arable Inputs'!$H$18</f>
        <v>12</v>
      </c>
      <c r="CV139" s="757">
        <f>'Arable Inputs'!$H$25</f>
        <v>724</v>
      </c>
      <c r="CW139" s="759">
        <f t="shared" ref="CW139:CW153" si="414">CU139*CV139</f>
        <v>8688</v>
      </c>
      <c r="CX139" s="197">
        <f>'Arable NPV'!$D118</f>
        <v>471.64</v>
      </c>
      <c r="CY139" s="197">
        <f>CW139+CX139</f>
        <v>9159.64</v>
      </c>
      <c r="CZ139" s="197">
        <f>'Arable NPV'!$F118</f>
        <v>2474.37212</v>
      </c>
      <c r="DA139" s="197">
        <f>'Arable NPV'!$G118</f>
        <v>3226.3624</v>
      </c>
      <c r="DB139" s="197">
        <f t="shared" si="364"/>
        <v>0</v>
      </c>
      <c r="DC139" s="197">
        <f t="shared" ref="DC139:DC153" si="415">CW139-DB139</f>
        <v>8688</v>
      </c>
      <c r="DD139" s="197">
        <f t="shared" ref="DD139:DD153" si="416">CY139-DB139</f>
        <v>9159.64</v>
      </c>
      <c r="DE139" s="196">
        <f t="shared" ref="DE139:DE153" si="417">CW139/(1+$B$4)^(CT139-1)</f>
        <v>8353.8461538461543</v>
      </c>
      <c r="DF139" s="197">
        <f t="shared" ref="DF139:DF153" si="418">CX139/(1+$B$4)^(CT139-1)</f>
        <v>453.49999999999994</v>
      </c>
      <c r="DG139" s="197">
        <f t="shared" ref="DG139:DG153" si="419">DB139/(1+$B$4)^(CT139-1)</f>
        <v>0</v>
      </c>
      <c r="DH139" s="197">
        <f t="shared" ref="DH139:DH153" si="420">DC139/(1+$B$4)^(CT139-1)</f>
        <v>8353.8461538461543</v>
      </c>
      <c r="DI139" s="197">
        <f t="shared" ref="DI139:DI152" si="421">DD139/(1+$B$4)^(CT139-1)</f>
        <v>8807.3461538461524</v>
      </c>
      <c r="DJ139" s="196">
        <f t="shared" ref="DJ139:DJ153" si="422">DJ138+DE139</f>
        <v>17041.846153846156</v>
      </c>
      <c r="DK139" s="197">
        <f t="shared" ref="DK139:DK153" si="423">DK138+DF139</f>
        <v>925.13999999999987</v>
      </c>
      <c r="DL139" s="197">
        <f t="shared" ref="DL139:DL153" si="424">DL138+DG139</f>
        <v>0</v>
      </c>
      <c r="DM139" s="197">
        <f t="shared" ref="DM139:DM153" si="425">DM138+DH139</f>
        <v>17041.846153846156</v>
      </c>
      <c r="DN139" s="199">
        <f t="shared" ref="DN139:DN153" si="426">DN138+DI139</f>
        <v>17966.986153846152</v>
      </c>
    </row>
    <row r="140" spans="2:118" x14ac:dyDescent="0.3">
      <c r="B140" s="895">
        <v>3</v>
      </c>
      <c r="C140" s="906">
        <f>'Arable Inputs'!$H$18</f>
        <v>12</v>
      </c>
      <c r="D140" s="757">
        <f>'Arable Inputs'!$H$25</f>
        <v>724</v>
      </c>
      <c r="E140" s="759">
        <f t="shared" si="365"/>
        <v>8688</v>
      </c>
      <c r="F140" s="197">
        <f>'Arable NPV'!$D119</f>
        <v>471.64</v>
      </c>
      <c r="G140" s="197">
        <f t="shared" ref="G140:G152" si="427">E140+F140</f>
        <v>9159.64</v>
      </c>
      <c r="H140" s="197">
        <f>'Arable NPV'!$F119</f>
        <v>2474.37212</v>
      </c>
      <c r="I140" s="197">
        <f>'Arable NPV'!$G119</f>
        <v>3226.3624</v>
      </c>
      <c r="J140" s="197">
        <f t="shared" si="366"/>
        <v>5700.73452</v>
      </c>
      <c r="K140" s="197">
        <f t="shared" si="367"/>
        <v>2987.26548</v>
      </c>
      <c r="L140" s="197">
        <f t="shared" si="368"/>
        <v>3458.9054799999994</v>
      </c>
      <c r="M140" s="196">
        <f t="shared" si="369"/>
        <v>8032.5443786982241</v>
      </c>
      <c r="N140" s="197">
        <f t="shared" si="370"/>
        <v>436.05769230769226</v>
      </c>
      <c r="O140" s="197">
        <f t="shared" si="371"/>
        <v>5270.6495192307684</v>
      </c>
      <c r="P140" s="197">
        <f t="shared" si="372"/>
        <v>2761.8948594674553</v>
      </c>
      <c r="Q140" s="197">
        <f t="shared" si="373"/>
        <v>3197.9525517751472</v>
      </c>
      <c r="R140" s="196">
        <f t="shared" si="374"/>
        <v>25074.390532544381</v>
      </c>
      <c r="S140" s="197">
        <f t="shared" si="374"/>
        <v>1361.1976923076923</v>
      </c>
      <c r="T140" s="197">
        <f t="shared" si="374"/>
        <v>16452.859539230769</v>
      </c>
      <c r="U140" s="197">
        <f t="shared" si="374"/>
        <v>8621.5309933136086</v>
      </c>
      <c r="V140" s="199">
        <f t="shared" si="374"/>
        <v>9982.7286856212995</v>
      </c>
      <c r="Z140" s="895">
        <v>3</v>
      </c>
      <c r="AA140" s="906">
        <f>'Arable Inputs'!$H$18</f>
        <v>12</v>
      </c>
      <c r="AB140" s="757">
        <f>'Arable Inputs'!$H$25</f>
        <v>724</v>
      </c>
      <c r="AC140" s="759">
        <f t="shared" si="375"/>
        <v>8688</v>
      </c>
      <c r="AD140" s="197">
        <f>'Arable NPV'!$D119</f>
        <v>471.64</v>
      </c>
      <c r="AE140" s="197">
        <f t="shared" ref="AE140:AE152" si="428">AC140+AD140</f>
        <v>9159.64</v>
      </c>
      <c r="AF140" s="197">
        <f>'Arable NPV'!$F119</f>
        <v>2474.37212</v>
      </c>
      <c r="AG140" s="197">
        <f>'Arable NPV'!$G119</f>
        <v>3226.3624</v>
      </c>
      <c r="AH140" s="197">
        <f t="shared" si="361"/>
        <v>8551.1017800000009</v>
      </c>
      <c r="AI140" s="197">
        <f t="shared" si="376"/>
        <v>136.89821999999913</v>
      </c>
      <c r="AJ140" s="197">
        <f t="shared" si="377"/>
        <v>608.53821999999855</v>
      </c>
      <c r="AK140" s="196">
        <f t="shared" si="378"/>
        <v>8032.5443786982241</v>
      </c>
      <c r="AL140" s="197">
        <f t="shared" si="379"/>
        <v>436.05769230769226</v>
      </c>
      <c r="AM140" s="197">
        <f t="shared" si="380"/>
        <v>7905.9742788461535</v>
      </c>
      <c r="AN140" s="197">
        <f t="shared" si="381"/>
        <v>126.57009985207019</v>
      </c>
      <c r="AO140" s="197">
        <f t="shared" si="382"/>
        <v>562.62779215976195</v>
      </c>
      <c r="AP140" s="196">
        <f t="shared" si="383"/>
        <v>25074.390532544381</v>
      </c>
      <c r="AQ140" s="197">
        <f t="shared" si="384"/>
        <v>1361.1976923076923</v>
      </c>
      <c r="AR140" s="197">
        <f t="shared" si="385"/>
        <v>24679.289308846157</v>
      </c>
      <c r="AS140" s="197">
        <f t="shared" si="386"/>
        <v>395.10122369822233</v>
      </c>
      <c r="AT140" s="199">
        <f t="shared" si="387"/>
        <v>1756.2989160059128</v>
      </c>
      <c r="AX140" s="895">
        <v>3</v>
      </c>
      <c r="AY140" s="906">
        <f>'Arable Inputs'!$H$18</f>
        <v>12</v>
      </c>
      <c r="AZ140" s="757">
        <f>'Arable Inputs'!$H$25</f>
        <v>724</v>
      </c>
      <c r="BA140" s="759">
        <f t="shared" si="388"/>
        <v>8688</v>
      </c>
      <c r="BB140" s="197">
        <f>'Arable NPV'!$D119</f>
        <v>471.64</v>
      </c>
      <c r="BC140" s="197">
        <f t="shared" ref="BC140:BC152" si="429">BA140+BB140</f>
        <v>9159.64</v>
      </c>
      <c r="BD140" s="197">
        <f>'Arable NPV'!$F119</f>
        <v>2474.37212</v>
      </c>
      <c r="BE140" s="197">
        <f>'Arable NPV'!$G119</f>
        <v>3226.3624</v>
      </c>
      <c r="BF140" s="197">
        <f t="shared" si="362"/>
        <v>2850.36726</v>
      </c>
      <c r="BG140" s="197">
        <f t="shared" si="389"/>
        <v>5837.63274</v>
      </c>
      <c r="BH140" s="197">
        <f t="shared" si="390"/>
        <v>6309.2727399999994</v>
      </c>
      <c r="BI140" s="196">
        <f t="shared" si="391"/>
        <v>8032.5443786982241</v>
      </c>
      <c r="BJ140" s="197">
        <f t="shared" si="392"/>
        <v>436.05769230769226</v>
      </c>
      <c r="BK140" s="197">
        <f t="shared" si="393"/>
        <v>2635.3247596153842</v>
      </c>
      <c r="BL140" s="197">
        <f t="shared" si="394"/>
        <v>5397.2196190828399</v>
      </c>
      <c r="BM140" s="197">
        <f t="shared" si="395"/>
        <v>5833.2773113905314</v>
      </c>
      <c r="BN140" s="196">
        <f t="shared" si="396"/>
        <v>25074.390532544381</v>
      </c>
      <c r="BO140" s="197">
        <f t="shared" si="397"/>
        <v>1361.1976923076923</v>
      </c>
      <c r="BP140" s="197">
        <f t="shared" si="398"/>
        <v>8226.4297696153844</v>
      </c>
      <c r="BQ140" s="197">
        <f t="shared" si="399"/>
        <v>16847.960762928993</v>
      </c>
      <c r="BR140" s="199">
        <f t="shared" si="400"/>
        <v>18209.158455236684</v>
      </c>
      <c r="BV140" s="895">
        <v>3</v>
      </c>
      <c r="BW140" s="906">
        <f>'Arable Inputs'!$H$18</f>
        <v>12</v>
      </c>
      <c r="BX140" s="757">
        <f>'Arable Inputs'!$H$25</f>
        <v>724</v>
      </c>
      <c r="BY140" s="759">
        <f t="shared" si="401"/>
        <v>8688</v>
      </c>
      <c r="BZ140" s="197">
        <f>'Arable NPV'!$D119</f>
        <v>471.64</v>
      </c>
      <c r="CA140" s="197">
        <f t="shared" ref="CA140:CA152" si="430">BY140+BZ140</f>
        <v>9159.64</v>
      </c>
      <c r="CB140" s="197">
        <f>'Arable NPV'!$F119</f>
        <v>2474.37212</v>
      </c>
      <c r="CC140" s="197">
        <f>'Arable NPV'!$G119</f>
        <v>3226.3624</v>
      </c>
      <c r="CD140" s="197">
        <f t="shared" si="363"/>
        <v>11401.46904</v>
      </c>
      <c r="CE140" s="197">
        <f t="shared" si="402"/>
        <v>-2713.4690399999999</v>
      </c>
      <c r="CF140" s="197">
        <f t="shared" si="403"/>
        <v>-2241.8290400000005</v>
      </c>
      <c r="CG140" s="196">
        <f t="shared" si="404"/>
        <v>8032.5443786982241</v>
      </c>
      <c r="CH140" s="197">
        <f t="shared" si="405"/>
        <v>436.05769230769226</v>
      </c>
      <c r="CI140" s="197">
        <f t="shared" si="406"/>
        <v>10541.299038461537</v>
      </c>
      <c r="CJ140" s="197">
        <f t="shared" si="407"/>
        <v>-2508.7546597633132</v>
      </c>
      <c r="CK140" s="197">
        <f t="shared" si="408"/>
        <v>-2072.6969674556217</v>
      </c>
      <c r="CL140" s="196">
        <f t="shared" si="409"/>
        <v>25074.390532544381</v>
      </c>
      <c r="CM140" s="197">
        <f t="shared" si="410"/>
        <v>1361.1976923076923</v>
      </c>
      <c r="CN140" s="197">
        <f t="shared" si="411"/>
        <v>32905.719078461538</v>
      </c>
      <c r="CO140" s="197">
        <f t="shared" si="412"/>
        <v>-7831.3285459171602</v>
      </c>
      <c r="CP140" s="199">
        <f t="shared" si="413"/>
        <v>-6470.1308536094693</v>
      </c>
      <c r="CT140" s="895">
        <v>3</v>
      </c>
      <c r="CU140" s="906">
        <f>'Arable Inputs'!$H$18</f>
        <v>12</v>
      </c>
      <c r="CV140" s="757">
        <f>'Arable Inputs'!$H$25</f>
        <v>724</v>
      </c>
      <c r="CW140" s="759">
        <f t="shared" si="414"/>
        <v>8688</v>
      </c>
      <c r="CX140" s="197">
        <f>'Arable NPV'!$D119</f>
        <v>471.64</v>
      </c>
      <c r="CY140" s="197">
        <f t="shared" ref="CY140:CY152" si="431">CW140+CX140</f>
        <v>9159.64</v>
      </c>
      <c r="CZ140" s="197">
        <f>'Arable NPV'!$F119</f>
        <v>2474.37212</v>
      </c>
      <c r="DA140" s="197">
        <f>'Arable NPV'!$G119</f>
        <v>3226.3624</v>
      </c>
      <c r="DB140" s="197">
        <f t="shared" si="364"/>
        <v>0</v>
      </c>
      <c r="DC140" s="197">
        <f t="shared" si="415"/>
        <v>8688</v>
      </c>
      <c r="DD140" s="197">
        <f t="shared" si="416"/>
        <v>9159.64</v>
      </c>
      <c r="DE140" s="196">
        <f t="shared" si="417"/>
        <v>8032.5443786982241</v>
      </c>
      <c r="DF140" s="197">
        <f t="shared" si="418"/>
        <v>436.05769230769226</v>
      </c>
      <c r="DG140" s="197">
        <f t="shared" si="419"/>
        <v>0</v>
      </c>
      <c r="DH140" s="197">
        <f t="shared" si="420"/>
        <v>8032.5443786982241</v>
      </c>
      <c r="DI140" s="197">
        <f t="shared" si="421"/>
        <v>8468.6020710059165</v>
      </c>
      <c r="DJ140" s="196">
        <f t="shared" si="422"/>
        <v>25074.390532544381</v>
      </c>
      <c r="DK140" s="197">
        <f t="shared" si="423"/>
        <v>1361.1976923076923</v>
      </c>
      <c r="DL140" s="197">
        <f t="shared" si="424"/>
        <v>0</v>
      </c>
      <c r="DM140" s="197">
        <f t="shared" si="425"/>
        <v>25074.390532544381</v>
      </c>
      <c r="DN140" s="199">
        <f t="shared" si="426"/>
        <v>26435.588224852068</v>
      </c>
    </row>
    <row r="141" spans="2:118" x14ac:dyDescent="0.3">
      <c r="B141" s="895">
        <v>4</v>
      </c>
      <c r="C141" s="906">
        <f>'Arable Inputs'!$H$18</f>
        <v>12</v>
      </c>
      <c r="D141" s="757">
        <f>'Arable Inputs'!$H$25</f>
        <v>724</v>
      </c>
      <c r="E141" s="759">
        <f t="shared" si="365"/>
        <v>8688</v>
      </c>
      <c r="F141" s="197">
        <f>'Arable NPV'!$D120</f>
        <v>471.64</v>
      </c>
      <c r="G141" s="197">
        <f t="shared" si="427"/>
        <v>9159.64</v>
      </c>
      <c r="H141" s="197">
        <f>'Arable NPV'!$F120</f>
        <v>2474.37212</v>
      </c>
      <c r="I141" s="197">
        <f>'Arable NPV'!$G120</f>
        <v>3226.3624</v>
      </c>
      <c r="J141" s="197">
        <f t="shared" si="366"/>
        <v>5700.73452</v>
      </c>
      <c r="K141" s="197">
        <f t="shared" si="367"/>
        <v>2987.26548</v>
      </c>
      <c r="L141" s="197">
        <f t="shared" si="368"/>
        <v>3458.9054799999994</v>
      </c>
      <c r="M141" s="196">
        <f t="shared" si="369"/>
        <v>7723.600364132908</v>
      </c>
      <c r="N141" s="197">
        <f t="shared" si="370"/>
        <v>419.28624260355025</v>
      </c>
      <c r="O141" s="197">
        <f t="shared" si="371"/>
        <v>5067.9322300295853</v>
      </c>
      <c r="P141" s="197">
        <f t="shared" si="372"/>
        <v>2655.6681341033227</v>
      </c>
      <c r="Q141" s="197">
        <f t="shared" si="373"/>
        <v>3074.9543767068722</v>
      </c>
      <c r="R141" s="196">
        <f t="shared" si="374"/>
        <v>32797.990896677293</v>
      </c>
      <c r="S141" s="197">
        <f t="shared" si="374"/>
        <v>1780.4839349112426</v>
      </c>
      <c r="T141" s="197">
        <f t="shared" si="374"/>
        <v>21520.791769260355</v>
      </c>
      <c r="U141" s="197">
        <f t="shared" si="374"/>
        <v>11277.19912741693</v>
      </c>
      <c r="V141" s="199">
        <f t="shared" si="374"/>
        <v>13057.683062328171</v>
      </c>
      <c r="Z141" s="895">
        <v>4</v>
      </c>
      <c r="AA141" s="906">
        <f>'Arable Inputs'!$H$18</f>
        <v>12</v>
      </c>
      <c r="AB141" s="757">
        <f>'Arable Inputs'!$H$25</f>
        <v>724</v>
      </c>
      <c r="AC141" s="759">
        <f t="shared" si="375"/>
        <v>8688</v>
      </c>
      <c r="AD141" s="197">
        <f>'Arable NPV'!$D120</f>
        <v>471.64</v>
      </c>
      <c r="AE141" s="197">
        <f t="shared" si="428"/>
        <v>9159.64</v>
      </c>
      <c r="AF141" s="197">
        <f>'Arable NPV'!$F120</f>
        <v>2474.37212</v>
      </c>
      <c r="AG141" s="197">
        <f>'Arable NPV'!$G120</f>
        <v>3226.3624</v>
      </c>
      <c r="AH141" s="197">
        <f t="shared" si="361"/>
        <v>8551.1017800000009</v>
      </c>
      <c r="AI141" s="197">
        <f t="shared" si="376"/>
        <v>136.89821999999913</v>
      </c>
      <c r="AJ141" s="197">
        <f t="shared" si="377"/>
        <v>608.53821999999855</v>
      </c>
      <c r="AK141" s="196">
        <f t="shared" si="378"/>
        <v>7723.600364132908</v>
      </c>
      <c r="AL141" s="197">
        <f t="shared" si="379"/>
        <v>419.28624260355025</v>
      </c>
      <c r="AM141" s="197">
        <f t="shared" si="380"/>
        <v>7601.8983450443793</v>
      </c>
      <c r="AN141" s="197">
        <f t="shared" si="381"/>
        <v>121.70201908852903</v>
      </c>
      <c r="AO141" s="197">
        <f t="shared" si="382"/>
        <v>540.98826169207882</v>
      </c>
      <c r="AP141" s="196">
        <f t="shared" si="383"/>
        <v>32797.990896677293</v>
      </c>
      <c r="AQ141" s="197">
        <f t="shared" si="384"/>
        <v>1780.4839349112426</v>
      </c>
      <c r="AR141" s="197">
        <f t="shared" si="385"/>
        <v>32281.187653890534</v>
      </c>
      <c r="AS141" s="197">
        <f t="shared" si="386"/>
        <v>516.8032427867513</v>
      </c>
      <c r="AT141" s="199">
        <f t="shared" si="387"/>
        <v>2297.2871776979919</v>
      </c>
      <c r="AX141" s="895">
        <v>4</v>
      </c>
      <c r="AY141" s="906">
        <f>'Arable Inputs'!$H$18</f>
        <v>12</v>
      </c>
      <c r="AZ141" s="757">
        <f>'Arable Inputs'!$H$25</f>
        <v>724</v>
      </c>
      <c r="BA141" s="759">
        <f t="shared" si="388"/>
        <v>8688</v>
      </c>
      <c r="BB141" s="197">
        <f>'Arable NPV'!$D120</f>
        <v>471.64</v>
      </c>
      <c r="BC141" s="197">
        <f t="shared" si="429"/>
        <v>9159.64</v>
      </c>
      <c r="BD141" s="197">
        <f>'Arable NPV'!$F120</f>
        <v>2474.37212</v>
      </c>
      <c r="BE141" s="197">
        <f>'Arable NPV'!$G120</f>
        <v>3226.3624</v>
      </c>
      <c r="BF141" s="197">
        <f t="shared" si="362"/>
        <v>2850.36726</v>
      </c>
      <c r="BG141" s="197">
        <f t="shared" si="389"/>
        <v>5837.63274</v>
      </c>
      <c r="BH141" s="197">
        <f t="shared" si="390"/>
        <v>6309.2727399999994</v>
      </c>
      <c r="BI141" s="196">
        <f t="shared" si="391"/>
        <v>7723.600364132908</v>
      </c>
      <c r="BJ141" s="197">
        <f t="shared" si="392"/>
        <v>419.28624260355025</v>
      </c>
      <c r="BK141" s="197">
        <f t="shared" si="393"/>
        <v>2533.9661150147926</v>
      </c>
      <c r="BL141" s="197">
        <f t="shared" si="394"/>
        <v>5189.6342491181149</v>
      </c>
      <c r="BM141" s="197">
        <f t="shared" si="395"/>
        <v>5608.9204917216648</v>
      </c>
      <c r="BN141" s="196">
        <f t="shared" si="396"/>
        <v>32797.990896677293</v>
      </c>
      <c r="BO141" s="197">
        <f t="shared" si="397"/>
        <v>1780.4839349112426</v>
      </c>
      <c r="BP141" s="197">
        <f t="shared" si="398"/>
        <v>10760.395884630178</v>
      </c>
      <c r="BQ141" s="197">
        <f t="shared" si="399"/>
        <v>22037.59501204711</v>
      </c>
      <c r="BR141" s="199">
        <f t="shared" si="400"/>
        <v>23818.078946958347</v>
      </c>
      <c r="BV141" s="895">
        <v>4</v>
      </c>
      <c r="BW141" s="906">
        <f>'Arable Inputs'!$H$18</f>
        <v>12</v>
      </c>
      <c r="BX141" s="757">
        <f>'Arable Inputs'!$H$25</f>
        <v>724</v>
      </c>
      <c r="BY141" s="759">
        <f t="shared" si="401"/>
        <v>8688</v>
      </c>
      <c r="BZ141" s="197">
        <f>'Arable NPV'!$D120</f>
        <v>471.64</v>
      </c>
      <c r="CA141" s="197">
        <f t="shared" si="430"/>
        <v>9159.64</v>
      </c>
      <c r="CB141" s="197">
        <f>'Arable NPV'!$F120</f>
        <v>2474.37212</v>
      </c>
      <c r="CC141" s="197">
        <f>'Arable NPV'!$G120</f>
        <v>3226.3624</v>
      </c>
      <c r="CD141" s="197">
        <f t="shared" si="363"/>
        <v>11401.46904</v>
      </c>
      <c r="CE141" s="197">
        <f t="shared" si="402"/>
        <v>-2713.4690399999999</v>
      </c>
      <c r="CF141" s="197">
        <f t="shared" si="403"/>
        <v>-2241.8290400000005</v>
      </c>
      <c r="CG141" s="196">
        <f t="shared" si="404"/>
        <v>7723.600364132908</v>
      </c>
      <c r="CH141" s="197">
        <f t="shared" si="405"/>
        <v>419.28624260355025</v>
      </c>
      <c r="CI141" s="197">
        <f t="shared" si="406"/>
        <v>10135.864460059171</v>
      </c>
      <c r="CJ141" s="197">
        <f t="shared" si="407"/>
        <v>-2412.2640959262631</v>
      </c>
      <c r="CK141" s="197">
        <f t="shared" si="408"/>
        <v>-1992.9778533227131</v>
      </c>
      <c r="CL141" s="196">
        <f t="shared" si="409"/>
        <v>32797.990896677293</v>
      </c>
      <c r="CM141" s="197">
        <f t="shared" si="410"/>
        <v>1780.4839349112426</v>
      </c>
      <c r="CN141" s="197">
        <f t="shared" si="411"/>
        <v>43041.58353852071</v>
      </c>
      <c r="CO141" s="197">
        <f t="shared" si="412"/>
        <v>-10243.592641843423</v>
      </c>
      <c r="CP141" s="199">
        <f t="shared" si="413"/>
        <v>-8463.108706932182</v>
      </c>
      <c r="CT141" s="895">
        <v>4</v>
      </c>
      <c r="CU141" s="906">
        <f>'Arable Inputs'!$H$18</f>
        <v>12</v>
      </c>
      <c r="CV141" s="757">
        <f>'Arable Inputs'!$H$25</f>
        <v>724</v>
      </c>
      <c r="CW141" s="759">
        <f t="shared" si="414"/>
        <v>8688</v>
      </c>
      <c r="CX141" s="197">
        <f>'Arable NPV'!$D120</f>
        <v>471.64</v>
      </c>
      <c r="CY141" s="197">
        <f t="shared" si="431"/>
        <v>9159.64</v>
      </c>
      <c r="CZ141" s="197">
        <f>'Arable NPV'!$F120</f>
        <v>2474.37212</v>
      </c>
      <c r="DA141" s="197">
        <f>'Arable NPV'!$G120</f>
        <v>3226.3624</v>
      </c>
      <c r="DB141" s="197">
        <f t="shared" si="364"/>
        <v>0</v>
      </c>
      <c r="DC141" s="197">
        <f t="shared" si="415"/>
        <v>8688</v>
      </c>
      <c r="DD141" s="197">
        <f t="shared" si="416"/>
        <v>9159.64</v>
      </c>
      <c r="DE141" s="196">
        <f t="shared" si="417"/>
        <v>7723.600364132908</v>
      </c>
      <c r="DF141" s="197">
        <f t="shared" si="418"/>
        <v>419.28624260355025</v>
      </c>
      <c r="DG141" s="197">
        <f t="shared" si="419"/>
        <v>0</v>
      </c>
      <c r="DH141" s="197">
        <f t="shared" si="420"/>
        <v>7723.600364132908</v>
      </c>
      <c r="DI141" s="197">
        <f t="shared" si="421"/>
        <v>8142.8866067364579</v>
      </c>
      <c r="DJ141" s="196">
        <f t="shared" si="422"/>
        <v>32797.990896677293</v>
      </c>
      <c r="DK141" s="197">
        <f t="shared" si="423"/>
        <v>1780.4839349112426</v>
      </c>
      <c r="DL141" s="197">
        <f t="shared" si="424"/>
        <v>0</v>
      </c>
      <c r="DM141" s="197">
        <f t="shared" si="425"/>
        <v>32797.990896677293</v>
      </c>
      <c r="DN141" s="199">
        <f t="shared" si="426"/>
        <v>34578.474831588523</v>
      </c>
    </row>
    <row r="142" spans="2:118" x14ac:dyDescent="0.3">
      <c r="B142" s="895">
        <v>5</v>
      </c>
      <c r="C142" s="906">
        <f>'Arable Inputs'!$H$18</f>
        <v>12</v>
      </c>
      <c r="D142" s="757">
        <f>'Arable Inputs'!$H$25</f>
        <v>724</v>
      </c>
      <c r="E142" s="759">
        <f t="shared" si="365"/>
        <v>8688</v>
      </c>
      <c r="F142" s="197">
        <f>'Arable NPV'!$D121</f>
        <v>471.64</v>
      </c>
      <c r="G142" s="197">
        <f t="shared" si="427"/>
        <v>9159.64</v>
      </c>
      <c r="H142" s="197">
        <f>'Arable NPV'!$F121</f>
        <v>2474.37212</v>
      </c>
      <c r="I142" s="197">
        <f>'Arable NPV'!$G121</f>
        <v>3226.3624</v>
      </c>
      <c r="J142" s="197">
        <f t="shared" si="366"/>
        <v>5700.73452</v>
      </c>
      <c r="K142" s="197">
        <f t="shared" si="367"/>
        <v>2987.26548</v>
      </c>
      <c r="L142" s="197">
        <f t="shared" si="368"/>
        <v>3458.9054799999994</v>
      </c>
      <c r="M142" s="196">
        <f t="shared" si="369"/>
        <v>7426.5388116662571</v>
      </c>
      <c r="N142" s="197">
        <f t="shared" si="370"/>
        <v>403.15984865725983</v>
      </c>
      <c r="O142" s="197">
        <f t="shared" si="371"/>
        <v>4873.0117596438313</v>
      </c>
      <c r="P142" s="197">
        <f t="shared" si="372"/>
        <v>2553.5270520224253</v>
      </c>
      <c r="Q142" s="197">
        <f t="shared" si="373"/>
        <v>2956.6869006796846</v>
      </c>
      <c r="R142" s="196">
        <f t="shared" si="374"/>
        <v>40224.529708343551</v>
      </c>
      <c r="S142" s="197">
        <f t="shared" si="374"/>
        <v>2183.6437835685024</v>
      </c>
      <c r="T142" s="197">
        <f t="shared" si="374"/>
        <v>26393.803528904187</v>
      </c>
      <c r="U142" s="197">
        <f t="shared" si="374"/>
        <v>13830.726179439356</v>
      </c>
      <c r="V142" s="199">
        <f t="shared" si="374"/>
        <v>16014.369963007855</v>
      </c>
      <c r="Z142" s="895">
        <v>5</v>
      </c>
      <c r="AA142" s="906">
        <f>'Arable Inputs'!$H$18</f>
        <v>12</v>
      </c>
      <c r="AB142" s="757">
        <f>'Arable Inputs'!$H$25</f>
        <v>724</v>
      </c>
      <c r="AC142" s="759">
        <f t="shared" si="375"/>
        <v>8688</v>
      </c>
      <c r="AD142" s="197">
        <f>'Arable NPV'!$D121</f>
        <v>471.64</v>
      </c>
      <c r="AE142" s="197">
        <f t="shared" si="428"/>
        <v>9159.64</v>
      </c>
      <c r="AF142" s="197">
        <f>'Arable NPV'!$F121</f>
        <v>2474.37212</v>
      </c>
      <c r="AG142" s="197">
        <f>'Arable NPV'!$G121</f>
        <v>3226.3624</v>
      </c>
      <c r="AH142" s="197">
        <f t="shared" si="361"/>
        <v>8551.1017800000009</v>
      </c>
      <c r="AI142" s="197">
        <f t="shared" si="376"/>
        <v>136.89821999999913</v>
      </c>
      <c r="AJ142" s="197">
        <f t="shared" si="377"/>
        <v>608.53821999999855</v>
      </c>
      <c r="AK142" s="196">
        <f t="shared" si="378"/>
        <v>7426.5388116662571</v>
      </c>
      <c r="AL142" s="197">
        <f t="shared" si="379"/>
        <v>403.15984865725983</v>
      </c>
      <c r="AM142" s="197">
        <f t="shared" si="380"/>
        <v>7309.5176394657483</v>
      </c>
      <c r="AN142" s="197">
        <f t="shared" si="381"/>
        <v>117.02117220050867</v>
      </c>
      <c r="AO142" s="197">
        <f t="shared" si="382"/>
        <v>520.18102085776798</v>
      </c>
      <c r="AP142" s="196">
        <f t="shared" si="383"/>
        <v>40224.529708343551</v>
      </c>
      <c r="AQ142" s="197">
        <f t="shared" si="384"/>
        <v>2183.6437835685024</v>
      </c>
      <c r="AR142" s="197">
        <f t="shared" si="385"/>
        <v>39590.705293356281</v>
      </c>
      <c r="AS142" s="197">
        <f t="shared" si="386"/>
        <v>633.82441498725996</v>
      </c>
      <c r="AT142" s="199">
        <f t="shared" si="387"/>
        <v>2817.46819855576</v>
      </c>
      <c r="AX142" s="895">
        <v>5</v>
      </c>
      <c r="AY142" s="906">
        <f>'Arable Inputs'!$H$18</f>
        <v>12</v>
      </c>
      <c r="AZ142" s="757">
        <f>'Arable Inputs'!$H$25</f>
        <v>724</v>
      </c>
      <c r="BA142" s="759">
        <f t="shared" si="388"/>
        <v>8688</v>
      </c>
      <c r="BB142" s="197">
        <f>'Arable NPV'!$D121</f>
        <v>471.64</v>
      </c>
      <c r="BC142" s="197">
        <f t="shared" si="429"/>
        <v>9159.64</v>
      </c>
      <c r="BD142" s="197">
        <f>'Arable NPV'!$F121</f>
        <v>2474.37212</v>
      </c>
      <c r="BE142" s="197">
        <f>'Arable NPV'!$G121</f>
        <v>3226.3624</v>
      </c>
      <c r="BF142" s="197">
        <f t="shared" si="362"/>
        <v>2850.36726</v>
      </c>
      <c r="BG142" s="197">
        <f t="shared" si="389"/>
        <v>5837.63274</v>
      </c>
      <c r="BH142" s="197">
        <f t="shared" si="390"/>
        <v>6309.2727399999994</v>
      </c>
      <c r="BI142" s="196">
        <f t="shared" si="391"/>
        <v>7426.5388116662571</v>
      </c>
      <c r="BJ142" s="197">
        <f t="shared" si="392"/>
        <v>403.15984865725983</v>
      </c>
      <c r="BK142" s="197">
        <f t="shared" si="393"/>
        <v>2436.5058798219156</v>
      </c>
      <c r="BL142" s="197">
        <f t="shared" si="394"/>
        <v>4990.032931844341</v>
      </c>
      <c r="BM142" s="197">
        <f t="shared" si="395"/>
        <v>5393.1927805016003</v>
      </c>
      <c r="BN142" s="196">
        <f t="shared" si="396"/>
        <v>40224.529708343551</v>
      </c>
      <c r="BO142" s="197">
        <f t="shared" si="397"/>
        <v>2183.6437835685024</v>
      </c>
      <c r="BP142" s="197">
        <f t="shared" si="398"/>
        <v>13196.901764452094</v>
      </c>
      <c r="BQ142" s="197">
        <f t="shared" si="399"/>
        <v>27027.62794389145</v>
      </c>
      <c r="BR142" s="199">
        <f t="shared" si="400"/>
        <v>29211.271727459949</v>
      </c>
      <c r="BV142" s="895">
        <v>5</v>
      </c>
      <c r="BW142" s="906">
        <f>'Arable Inputs'!$H$18</f>
        <v>12</v>
      </c>
      <c r="BX142" s="757">
        <f>'Arable Inputs'!$H$25</f>
        <v>724</v>
      </c>
      <c r="BY142" s="759">
        <f t="shared" si="401"/>
        <v>8688</v>
      </c>
      <c r="BZ142" s="197">
        <f>'Arable NPV'!$D121</f>
        <v>471.64</v>
      </c>
      <c r="CA142" s="197">
        <f t="shared" si="430"/>
        <v>9159.64</v>
      </c>
      <c r="CB142" s="197">
        <f>'Arable NPV'!$F121</f>
        <v>2474.37212</v>
      </c>
      <c r="CC142" s="197">
        <f>'Arable NPV'!$G121</f>
        <v>3226.3624</v>
      </c>
      <c r="CD142" s="197">
        <f t="shared" si="363"/>
        <v>11401.46904</v>
      </c>
      <c r="CE142" s="197">
        <f t="shared" si="402"/>
        <v>-2713.4690399999999</v>
      </c>
      <c r="CF142" s="197">
        <f t="shared" si="403"/>
        <v>-2241.8290400000005</v>
      </c>
      <c r="CG142" s="196">
        <f t="shared" si="404"/>
        <v>7426.5388116662571</v>
      </c>
      <c r="CH142" s="197">
        <f t="shared" si="405"/>
        <v>403.15984865725983</v>
      </c>
      <c r="CI142" s="197">
        <f t="shared" si="406"/>
        <v>9746.0235192876626</v>
      </c>
      <c r="CJ142" s="197">
        <f t="shared" si="407"/>
        <v>-2319.4847076214064</v>
      </c>
      <c r="CK142" s="197">
        <f t="shared" si="408"/>
        <v>-1916.3248589641471</v>
      </c>
      <c r="CL142" s="196">
        <f t="shared" si="409"/>
        <v>40224.529708343551</v>
      </c>
      <c r="CM142" s="197">
        <f t="shared" si="410"/>
        <v>2183.6437835685024</v>
      </c>
      <c r="CN142" s="197">
        <f t="shared" si="411"/>
        <v>52787.607057808375</v>
      </c>
      <c r="CO142" s="197">
        <f t="shared" si="412"/>
        <v>-12563.077349464829</v>
      </c>
      <c r="CP142" s="199">
        <f t="shared" si="413"/>
        <v>-10379.433565896328</v>
      </c>
      <c r="CT142" s="895">
        <v>5</v>
      </c>
      <c r="CU142" s="906">
        <f>'Arable Inputs'!$H$18</f>
        <v>12</v>
      </c>
      <c r="CV142" s="757">
        <f>'Arable Inputs'!$H$25</f>
        <v>724</v>
      </c>
      <c r="CW142" s="759">
        <f t="shared" si="414"/>
        <v>8688</v>
      </c>
      <c r="CX142" s="197">
        <f>'Arable NPV'!$D121</f>
        <v>471.64</v>
      </c>
      <c r="CY142" s="197">
        <f t="shared" si="431"/>
        <v>9159.64</v>
      </c>
      <c r="CZ142" s="197">
        <f>'Arable NPV'!$F121</f>
        <v>2474.37212</v>
      </c>
      <c r="DA142" s="197">
        <f>'Arable NPV'!$G121</f>
        <v>3226.3624</v>
      </c>
      <c r="DB142" s="197">
        <f t="shared" si="364"/>
        <v>0</v>
      </c>
      <c r="DC142" s="197">
        <f t="shared" si="415"/>
        <v>8688</v>
      </c>
      <c r="DD142" s="197">
        <f t="shared" si="416"/>
        <v>9159.64</v>
      </c>
      <c r="DE142" s="196">
        <f t="shared" si="417"/>
        <v>7426.5388116662571</v>
      </c>
      <c r="DF142" s="197">
        <f t="shared" si="418"/>
        <v>403.15984865725983</v>
      </c>
      <c r="DG142" s="197">
        <f t="shared" si="419"/>
        <v>0</v>
      </c>
      <c r="DH142" s="197">
        <f t="shared" si="420"/>
        <v>7426.5388116662571</v>
      </c>
      <c r="DI142" s="197">
        <f t="shared" si="421"/>
        <v>7829.6986603235164</v>
      </c>
      <c r="DJ142" s="196">
        <f t="shared" si="422"/>
        <v>40224.529708343551</v>
      </c>
      <c r="DK142" s="197">
        <f t="shared" si="423"/>
        <v>2183.6437835685024</v>
      </c>
      <c r="DL142" s="197">
        <f t="shared" si="424"/>
        <v>0</v>
      </c>
      <c r="DM142" s="197">
        <f t="shared" si="425"/>
        <v>40224.529708343551</v>
      </c>
      <c r="DN142" s="199">
        <f t="shared" si="426"/>
        <v>42408.173491912035</v>
      </c>
    </row>
    <row r="143" spans="2:118" x14ac:dyDescent="0.3">
      <c r="B143" s="895">
        <v>6</v>
      </c>
      <c r="C143" s="906">
        <f>'Arable Inputs'!$H$18</f>
        <v>12</v>
      </c>
      <c r="D143" s="757">
        <f>'Arable Inputs'!$H$25</f>
        <v>724</v>
      </c>
      <c r="E143" s="759">
        <f t="shared" si="365"/>
        <v>8688</v>
      </c>
      <c r="F143" s="197">
        <f>'Arable NPV'!$D122</f>
        <v>471.64</v>
      </c>
      <c r="G143" s="197">
        <f t="shared" si="427"/>
        <v>9159.64</v>
      </c>
      <c r="H143" s="197">
        <f>'Arable NPV'!$F122</f>
        <v>2474.37212</v>
      </c>
      <c r="I143" s="197">
        <f>'Arable NPV'!$G122</f>
        <v>3226.3624</v>
      </c>
      <c r="J143" s="197">
        <f t="shared" si="366"/>
        <v>5700.73452</v>
      </c>
      <c r="K143" s="197">
        <f t="shared" si="367"/>
        <v>2987.26548</v>
      </c>
      <c r="L143" s="197">
        <f t="shared" si="368"/>
        <v>3458.9054799999994</v>
      </c>
      <c r="M143" s="196">
        <f t="shared" si="369"/>
        <v>7140.9027035252466</v>
      </c>
      <c r="N143" s="197">
        <f t="shared" si="370"/>
        <v>387.65370063198054</v>
      </c>
      <c r="O143" s="197">
        <f t="shared" si="371"/>
        <v>4685.5882304267607</v>
      </c>
      <c r="P143" s="197">
        <f t="shared" si="372"/>
        <v>2455.3144730984855</v>
      </c>
      <c r="Q143" s="197">
        <f t="shared" si="373"/>
        <v>2842.9681737304654</v>
      </c>
      <c r="R143" s="196">
        <f t="shared" si="374"/>
        <v>47365.432411868795</v>
      </c>
      <c r="S143" s="197">
        <f t="shared" si="374"/>
        <v>2571.2974842004828</v>
      </c>
      <c r="T143" s="197">
        <f t="shared" si="374"/>
        <v>31079.391759330949</v>
      </c>
      <c r="U143" s="197">
        <f t="shared" si="374"/>
        <v>16286.040652537842</v>
      </c>
      <c r="V143" s="199">
        <f t="shared" si="374"/>
        <v>18857.338136738319</v>
      </c>
      <c r="Z143" s="895">
        <v>6</v>
      </c>
      <c r="AA143" s="906">
        <f>'Arable Inputs'!$H$18</f>
        <v>12</v>
      </c>
      <c r="AB143" s="757">
        <f>'Arable Inputs'!$H$25</f>
        <v>724</v>
      </c>
      <c r="AC143" s="759">
        <f t="shared" si="375"/>
        <v>8688</v>
      </c>
      <c r="AD143" s="197">
        <f>'Arable NPV'!$D122</f>
        <v>471.64</v>
      </c>
      <c r="AE143" s="197">
        <f t="shared" si="428"/>
        <v>9159.64</v>
      </c>
      <c r="AF143" s="197">
        <f>'Arable NPV'!$F122</f>
        <v>2474.37212</v>
      </c>
      <c r="AG143" s="197">
        <f>'Arable NPV'!$G122</f>
        <v>3226.3624</v>
      </c>
      <c r="AH143" s="197">
        <f t="shared" si="361"/>
        <v>8551.1017800000009</v>
      </c>
      <c r="AI143" s="197">
        <f t="shared" si="376"/>
        <v>136.89821999999913</v>
      </c>
      <c r="AJ143" s="197">
        <f t="shared" si="377"/>
        <v>608.53821999999855</v>
      </c>
      <c r="AK143" s="196">
        <f t="shared" si="378"/>
        <v>7140.9027035252466</v>
      </c>
      <c r="AL143" s="197">
        <f t="shared" si="379"/>
        <v>387.65370063198054</v>
      </c>
      <c r="AM143" s="197">
        <f t="shared" si="380"/>
        <v>7028.3823456401415</v>
      </c>
      <c r="AN143" s="197">
        <f t="shared" si="381"/>
        <v>112.52035788510447</v>
      </c>
      <c r="AO143" s="197">
        <f t="shared" si="382"/>
        <v>500.17405851708457</v>
      </c>
      <c r="AP143" s="196">
        <f t="shared" si="383"/>
        <v>47365.432411868795</v>
      </c>
      <c r="AQ143" s="197">
        <f t="shared" si="384"/>
        <v>2571.2974842004828</v>
      </c>
      <c r="AR143" s="197">
        <f t="shared" si="385"/>
        <v>46619.087638996425</v>
      </c>
      <c r="AS143" s="197">
        <f t="shared" si="386"/>
        <v>746.34477287236439</v>
      </c>
      <c r="AT143" s="199">
        <f t="shared" si="387"/>
        <v>3317.6422570728446</v>
      </c>
      <c r="AX143" s="895">
        <v>6</v>
      </c>
      <c r="AY143" s="906">
        <f>'Arable Inputs'!$H$18</f>
        <v>12</v>
      </c>
      <c r="AZ143" s="757">
        <f>'Arable Inputs'!$H$25</f>
        <v>724</v>
      </c>
      <c r="BA143" s="759">
        <f t="shared" si="388"/>
        <v>8688</v>
      </c>
      <c r="BB143" s="197">
        <f>'Arable NPV'!$D122</f>
        <v>471.64</v>
      </c>
      <c r="BC143" s="197">
        <f t="shared" si="429"/>
        <v>9159.64</v>
      </c>
      <c r="BD143" s="197">
        <f>'Arable NPV'!$F122</f>
        <v>2474.37212</v>
      </c>
      <c r="BE143" s="197">
        <f>'Arable NPV'!$G122</f>
        <v>3226.3624</v>
      </c>
      <c r="BF143" s="197">
        <f t="shared" si="362"/>
        <v>2850.36726</v>
      </c>
      <c r="BG143" s="197">
        <f t="shared" si="389"/>
        <v>5837.63274</v>
      </c>
      <c r="BH143" s="197">
        <f t="shared" si="390"/>
        <v>6309.2727399999994</v>
      </c>
      <c r="BI143" s="196">
        <f t="shared" si="391"/>
        <v>7140.9027035252466</v>
      </c>
      <c r="BJ143" s="197">
        <f t="shared" si="392"/>
        <v>387.65370063198054</v>
      </c>
      <c r="BK143" s="197">
        <f t="shared" si="393"/>
        <v>2342.7941152133803</v>
      </c>
      <c r="BL143" s="197">
        <f t="shared" si="394"/>
        <v>4798.1085883118658</v>
      </c>
      <c r="BM143" s="197">
        <f t="shared" si="395"/>
        <v>5185.7622889438462</v>
      </c>
      <c r="BN143" s="196">
        <f t="shared" si="396"/>
        <v>47365.432411868795</v>
      </c>
      <c r="BO143" s="197">
        <f t="shared" si="397"/>
        <v>2571.2974842004828</v>
      </c>
      <c r="BP143" s="197">
        <f t="shared" si="398"/>
        <v>15539.695879665474</v>
      </c>
      <c r="BQ143" s="197">
        <f t="shared" si="399"/>
        <v>31825.736532203315</v>
      </c>
      <c r="BR143" s="199">
        <f t="shared" si="400"/>
        <v>34397.034016403792</v>
      </c>
      <c r="BV143" s="895">
        <v>6</v>
      </c>
      <c r="BW143" s="906">
        <f>'Arable Inputs'!$H$18</f>
        <v>12</v>
      </c>
      <c r="BX143" s="757">
        <f>'Arable Inputs'!$H$25</f>
        <v>724</v>
      </c>
      <c r="BY143" s="759">
        <f t="shared" si="401"/>
        <v>8688</v>
      </c>
      <c r="BZ143" s="197">
        <f>'Arable NPV'!$D122</f>
        <v>471.64</v>
      </c>
      <c r="CA143" s="197">
        <f t="shared" si="430"/>
        <v>9159.64</v>
      </c>
      <c r="CB143" s="197">
        <f>'Arable NPV'!$F122</f>
        <v>2474.37212</v>
      </c>
      <c r="CC143" s="197">
        <f>'Arable NPV'!$G122</f>
        <v>3226.3624</v>
      </c>
      <c r="CD143" s="197">
        <f t="shared" si="363"/>
        <v>11401.46904</v>
      </c>
      <c r="CE143" s="197">
        <f t="shared" si="402"/>
        <v>-2713.4690399999999</v>
      </c>
      <c r="CF143" s="197">
        <f t="shared" si="403"/>
        <v>-2241.8290400000005</v>
      </c>
      <c r="CG143" s="196">
        <f t="shared" si="404"/>
        <v>7140.9027035252466</v>
      </c>
      <c r="CH143" s="197">
        <f t="shared" si="405"/>
        <v>387.65370063198054</v>
      </c>
      <c r="CI143" s="197">
        <f t="shared" si="406"/>
        <v>9371.1764608535213</v>
      </c>
      <c r="CJ143" s="197">
        <f t="shared" si="407"/>
        <v>-2230.2737573282752</v>
      </c>
      <c r="CK143" s="197">
        <f t="shared" si="408"/>
        <v>-1842.620056696295</v>
      </c>
      <c r="CL143" s="196">
        <f t="shared" si="409"/>
        <v>47365.432411868795</v>
      </c>
      <c r="CM143" s="197">
        <f t="shared" si="410"/>
        <v>2571.2974842004828</v>
      </c>
      <c r="CN143" s="197">
        <f t="shared" si="411"/>
        <v>62158.783518661898</v>
      </c>
      <c r="CO143" s="197">
        <f t="shared" si="412"/>
        <v>-14793.351106793105</v>
      </c>
      <c r="CP143" s="199">
        <f t="shared" si="413"/>
        <v>-12222.053622592623</v>
      </c>
      <c r="CT143" s="895">
        <v>6</v>
      </c>
      <c r="CU143" s="906">
        <f>'Arable Inputs'!$H$18</f>
        <v>12</v>
      </c>
      <c r="CV143" s="757">
        <f>'Arable Inputs'!$H$25</f>
        <v>724</v>
      </c>
      <c r="CW143" s="759">
        <f t="shared" si="414"/>
        <v>8688</v>
      </c>
      <c r="CX143" s="197">
        <f>'Arable NPV'!$D122</f>
        <v>471.64</v>
      </c>
      <c r="CY143" s="197">
        <f t="shared" si="431"/>
        <v>9159.64</v>
      </c>
      <c r="CZ143" s="197">
        <f>'Arable NPV'!$F122</f>
        <v>2474.37212</v>
      </c>
      <c r="DA143" s="197">
        <f>'Arable NPV'!$G122</f>
        <v>3226.3624</v>
      </c>
      <c r="DB143" s="197">
        <f t="shared" si="364"/>
        <v>0</v>
      </c>
      <c r="DC143" s="197">
        <f t="shared" si="415"/>
        <v>8688</v>
      </c>
      <c r="DD143" s="197">
        <f t="shared" si="416"/>
        <v>9159.64</v>
      </c>
      <c r="DE143" s="196">
        <f t="shared" si="417"/>
        <v>7140.9027035252466</v>
      </c>
      <c r="DF143" s="197">
        <f t="shared" si="418"/>
        <v>387.65370063198054</v>
      </c>
      <c r="DG143" s="197">
        <f t="shared" si="419"/>
        <v>0</v>
      </c>
      <c r="DH143" s="197">
        <f t="shared" si="420"/>
        <v>7140.9027035252466</v>
      </c>
      <c r="DI143" s="197">
        <f t="shared" si="421"/>
        <v>7528.5564041572261</v>
      </c>
      <c r="DJ143" s="196">
        <f t="shared" si="422"/>
        <v>47365.432411868795</v>
      </c>
      <c r="DK143" s="197">
        <f t="shared" si="423"/>
        <v>2571.2974842004828</v>
      </c>
      <c r="DL143" s="197">
        <f t="shared" si="424"/>
        <v>0</v>
      </c>
      <c r="DM143" s="197">
        <f t="shared" si="425"/>
        <v>47365.432411868795</v>
      </c>
      <c r="DN143" s="199">
        <f t="shared" si="426"/>
        <v>49936.729896069264</v>
      </c>
    </row>
    <row r="144" spans="2:118" x14ac:dyDescent="0.3">
      <c r="B144" s="895">
        <v>7</v>
      </c>
      <c r="C144" s="906">
        <f>'Arable Inputs'!$H$18</f>
        <v>12</v>
      </c>
      <c r="D144" s="757">
        <f>'Arable Inputs'!$H$25</f>
        <v>724</v>
      </c>
      <c r="E144" s="759">
        <f t="shared" si="365"/>
        <v>8688</v>
      </c>
      <c r="F144" s="197">
        <f>'Arable NPV'!$D123</f>
        <v>471.64</v>
      </c>
      <c r="G144" s="197">
        <f t="shared" si="427"/>
        <v>9159.64</v>
      </c>
      <c r="H144" s="197">
        <f>'Arable NPV'!$F123</f>
        <v>2474.37212</v>
      </c>
      <c r="I144" s="197">
        <f>'Arable NPV'!$G123</f>
        <v>3226.3624</v>
      </c>
      <c r="J144" s="197">
        <f t="shared" si="366"/>
        <v>5700.73452</v>
      </c>
      <c r="K144" s="197">
        <f t="shared" si="367"/>
        <v>2987.26548</v>
      </c>
      <c r="L144" s="197">
        <f t="shared" si="368"/>
        <v>3458.9054799999994</v>
      </c>
      <c r="M144" s="196">
        <f t="shared" si="369"/>
        <v>6866.2525995435062</v>
      </c>
      <c r="N144" s="197">
        <f t="shared" si="370"/>
        <v>372.74394291536589</v>
      </c>
      <c r="O144" s="197">
        <f t="shared" si="371"/>
        <v>4505.3732984872695</v>
      </c>
      <c r="P144" s="197">
        <f t="shared" si="372"/>
        <v>2360.8793010562363</v>
      </c>
      <c r="Q144" s="197">
        <f t="shared" si="373"/>
        <v>2733.6232439716014</v>
      </c>
      <c r="R144" s="196">
        <f t="shared" si="374"/>
        <v>54231.685011412301</v>
      </c>
      <c r="S144" s="197">
        <f t="shared" si="374"/>
        <v>2944.0414271158488</v>
      </c>
      <c r="T144" s="197">
        <f t="shared" si="374"/>
        <v>35584.765057818222</v>
      </c>
      <c r="U144" s="197">
        <f t="shared" si="374"/>
        <v>18646.919953594079</v>
      </c>
      <c r="V144" s="199">
        <f t="shared" si="374"/>
        <v>21590.961380709919</v>
      </c>
      <c r="Z144" s="895">
        <v>7</v>
      </c>
      <c r="AA144" s="906">
        <f>'Arable Inputs'!$H$18</f>
        <v>12</v>
      </c>
      <c r="AB144" s="757">
        <f>'Arable Inputs'!$H$25</f>
        <v>724</v>
      </c>
      <c r="AC144" s="759">
        <f t="shared" si="375"/>
        <v>8688</v>
      </c>
      <c r="AD144" s="197">
        <f>'Arable NPV'!$D123</f>
        <v>471.64</v>
      </c>
      <c r="AE144" s="197">
        <f t="shared" si="428"/>
        <v>9159.64</v>
      </c>
      <c r="AF144" s="197">
        <f>'Arable NPV'!$F123</f>
        <v>2474.37212</v>
      </c>
      <c r="AG144" s="197">
        <f>'Arable NPV'!$G123</f>
        <v>3226.3624</v>
      </c>
      <c r="AH144" s="197">
        <f t="shared" si="361"/>
        <v>8551.1017800000009</v>
      </c>
      <c r="AI144" s="197">
        <f t="shared" si="376"/>
        <v>136.89821999999913</v>
      </c>
      <c r="AJ144" s="197">
        <f t="shared" si="377"/>
        <v>608.53821999999855</v>
      </c>
      <c r="AK144" s="196">
        <f t="shared" si="378"/>
        <v>6866.2525995435062</v>
      </c>
      <c r="AL144" s="197">
        <f t="shared" si="379"/>
        <v>372.74394291536589</v>
      </c>
      <c r="AM144" s="197">
        <f t="shared" si="380"/>
        <v>6758.0599477309052</v>
      </c>
      <c r="AN144" s="197">
        <f t="shared" si="381"/>
        <v>108.19265181260046</v>
      </c>
      <c r="AO144" s="197">
        <f t="shared" si="382"/>
        <v>480.93659472796594</v>
      </c>
      <c r="AP144" s="196">
        <f t="shared" si="383"/>
        <v>54231.685011412301</v>
      </c>
      <c r="AQ144" s="197">
        <f t="shared" si="384"/>
        <v>2944.0414271158488</v>
      </c>
      <c r="AR144" s="197">
        <f t="shared" si="385"/>
        <v>53377.147586727333</v>
      </c>
      <c r="AS144" s="197">
        <f t="shared" si="386"/>
        <v>854.53742468496489</v>
      </c>
      <c r="AT144" s="199">
        <f t="shared" si="387"/>
        <v>3798.5788518008103</v>
      </c>
      <c r="AX144" s="895">
        <v>7</v>
      </c>
      <c r="AY144" s="906">
        <f>'Arable Inputs'!$H$18</f>
        <v>12</v>
      </c>
      <c r="AZ144" s="757">
        <f>'Arable Inputs'!$H$25</f>
        <v>724</v>
      </c>
      <c r="BA144" s="759">
        <f t="shared" si="388"/>
        <v>8688</v>
      </c>
      <c r="BB144" s="197">
        <f>'Arable NPV'!$D123</f>
        <v>471.64</v>
      </c>
      <c r="BC144" s="197">
        <f t="shared" si="429"/>
        <v>9159.64</v>
      </c>
      <c r="BD144" s="197">
        <f>'Arable NPV'!$F123</f>
        <v>2474.37212</v>
      </c>
      <c r="BE144" s="197">
        <f>'Arable NPV'!$G123</f>
        <v>3226.3624</v>
      </c>
      <c r="BF144" s="197">
        <f t="shared" si="362"/>
        <v>2850.36726</v>
      </c>
      <c r="BG144" s="197">
        <f t="shared" si="389"/>
        <v>5837.63274</v>
      </c>
      <c r="BH144" s="197">
        <f t="shared" si="390"/>
        <v>6309.2727399999994</v>
      </c>
      <c r="BI144" s="196">
        <f t="shared" si="391"/>
        <v>6866.2525995435062</v>
      </c>
      <c r="BJ144" s="197">
        <f t="shared" si="392"/>
        <v>372.74394291536589</v>
      </c>
      <c r="BK144" s="197">
        <f t="shared" si="393"/>
        <v>2252.6866492436347</v>
      </c>
      <c r="BL144" s="197">
        <f t="shared" si="394"/>
        <v>4613.5659502998706</v>
      </c>
      <c r="BM144" s="197">
        <f t="shared" si="395"/>
        <v>4986.3098932152361</v>
      </c>
      <c r="BN144" s="196">
        <f t="shared" si="396"/>
        <v>54231.685011412301</v>
      </c>
      <c r="BO144" s="197">
        <f t="shared" si="397"/>
        <v>2944.0414271158488</v>
      </c>
      <c r="BP144" s="197">
        <f t="shared" si="398"/>
        <v>17792.382528909111</v>
      </c>
      <c r="BQ144" s="197">
        <f t="shared" si="399"/>
        <v>36439.302482503183</v>
      </c>
      <c r="BR144" s="199">
        <f t="shared" si="400"/>
        <v>39383.343909619027</v>
      </c>
      <c r="BV144" s="895">
        <v>7</v>
      </c>
      <c r="BW144" s="906">
        <f>'Arable Inputs'!$H$18</f>
        <v>12</v>
      </c>
      <c r="BX144" s="757">
        <f>'Arable Inputs'!$H$25</f>
        <v>724</v>
      </c>
      <c r="BY144" s="759">
        <f t="shared" si="401"/>
        <v>8688</v>
      </c>
      <c r="BZ144" s="197">
        <f>'Arable NPV'!$D123</f>
        <v>471.64</v>
      </c>
      <c r="CA144" s="197">
        <f t="shared" si="430"/>
        <v>9159.64</v>
      </c>
      <c r="CB144" s="197">
        <f>'Arable NPV'!$F123</f>
        <v>2474.37212</v>
      </c>
      <c r="CC144" s="197">
        <f>'Arable NPV'!$G123</f>
        <v>3226.3624</v>
      </c>
      <c r="CD144" s="197">
        <f t="shared" si="363"/>
        <v>11401.46904</v>
      </c>
      <c r="CE144" s="197">
        <f t="shared" si="402"/>
        <v>-2713.4690399999999</v>
      </c>
      <c r="CF144" s="197">
        <f t="shared" si="403"/>
        <v>-2241.8290400000005</v>
      </c>
      <c r="CG144" s="196">
        <f t="shared" si="404"/>
        <v>6866.2525995435062</v>
      </c>
      <c r="CH144" s="197">
        <f t="shared" si="405"/>
        <v>372.74394291536589</v>
      </c>
      <c r="CI144" s="197">
        <f t="shared" si="406"/>
        <v>9010.746596974539</v>
      </c>
      <c r="CJ144" s="197">
        <f t="shared" si="407"/>
        <v>-2144.4939974310337</v>
      </c>
      <c r="CK144" s="197">
        <f t="shared" si="408"/>
        <v>-1771.7500545156684</v>
      </c>
      <c r="CL144" s="196">
        <f t="shared" si="409"/>
        <v>54231.685011412301</v>
      </c>
      <c r="CM144" s="197">
        <f t="shared" si="410"/>
        <v>2944.0414271158488</v>
      </c>
      <c r="CN144" s="197">
        <f t="shared" si="411"/>
        <v>71169.530115636444</v>
      </c>
      <c r="CO144" s="197">
        <f t="shared" si="412"/>
        <v>-16937.84510422414</v>
      </c>
      <c r="CP144" s="199">
        <f t="shared" si="413"/>
        <v>-13993.803677108292</v>
      </c>
      <c r="CT144" s="895">
        <v>7</v>
      </c>
      <c r="CU144" s="906">
        <f>'Arable Inputs'!$H$18</f>
        <v>12</v>
      </c>
      <c r="CV144" s="757">
        <f>'Arable Inputs'!$H$25</f>
        <v>724</v>
      </c>
      <c r="CW144" s="759">
        <f t="shared" si="414"/>
        <v>8688</v>
      </c>
      <c r="CX144" s="197">
        <f>'Arable NPV'!$D123</f>
        <v>471.64</v>
      </c>
      <c r="CY144" s="197">
        <f t="shared" si="431"/>
        <v>9159.64</v>
      </c>
      <c r="CZ144" s="197">
        <f>'Arable NPV'!$F123</f>
        <v>2474.37212</v>
      </c>
      <c r="DA144" s="197">
        <f>'Arable NPV'!$G123</f>
        <v>3226.3624</v>
      </c>
      <c r="DB144" s="197">
        <f t="shared" si="364"/>
        <v>0</v>
      </c>
      <c r="DC144" s="197">
        <f t="shared" si="415"/>
        <v>8688</v>
      </c>
      <c r="DD144" s="197">
        <f t="shared" si="416"/>
        <v>9159.64</v>
      </c>
      <c r="DE144" s="196">
        <f t="shared" si="417"/>
        <v>6866.2525995435062</v>
      </c>
      <c r="DF144" s="197">
        <f t="shared" si="418"/>
        <v>372.74394291536589</v>
      </c>
      <c r="DG144" s="197">
        <f t="shared" si="419"/>
        <v>0</v>
      </c>
      <c r="DH144" s="197">
        <f t="shared" si="420"/>
        <v>6866.2525995435062</v>
      </c>
      <c r="DI144" s="197">
        <f t="shared" si="421"/>
        <v>7238.9965424588718</v>
      </c>
      <c r="DJ144" s="196">
        <f t="shared" si="422"/>
        <v>54231.685011412301</v>
      </c>
      <c r="DK144" s="197">
        <f t="shared" si="423"/>
        <v>2944.0414271158488</v>
      </c>
      <c r="DL144" s="197">
        <f t="shared" si="424"/>
        <v>0</v>
      </c>
      <c r="DM144" s="197">
        <f t="shared" si="425"/>
        <v>54231.685011412301</v>
      </c>
      <c r="DN144" s="199">
        <f t="shared" si="426"/>
        <v>57175.726438528138</v>
      </c>
    </row>
    <row r="145" spans="2:118" x14ac:dyDescent="0.3">
      <c r="B145" s="895">
        <v>8</v>
      </c>
      <c r="C145" s="906">
        <f>'Arable Inputs'!$H$18</f>
        <v>12</v>
      </c>
      <c r="D145" s="757">
        <f>'Arable Inputs'!$H$25</f>
        <v>724</v>
      </c>
      <c r="E145" s="759">
        <f t="shared" si="365"/>
        <v>8688</v>
      </c>
      <c r="F145" s="197">
        <f>'Arable NPV'!$D124</f>
        <v>471.64</v>
      </c>
      <c r="G145" s="197">
        <f t="shared" si="427"/>
        <v>9159.64</v>
      </c>
      <c r="H145" s="197">
        <f>'Arable NPV'!$F124</f>
        <v>2474.37212</v>
      </c>
      <c r="I145" s="197">
        <f>'Arable NPV'!$G124</f>
        <v>3226.3624</v>
      </c>
      <c r="J145" s="197">
        <f t="shared" si="366"/>
        <v>5700.73452</v>
      </c>
      <c r="K145" s="197">
        <f t="shared" si="367"/>
        <v>2987.26548</v>
      </c>
      <c r="L145" s="197">
        <f t="shared" si="368"/>
        <v>3458.9054799999994</v>
      </c>
      <c r="M145" s="196">
        <f t="shared" si="369"/>
        <v>6602.1659610995257</v>
      </c>
      <c r="N145" s="197">
        <f t="shared" si="370"/>
        <v>358.40763741862111</v>
      </c>
      <c r="O145" s="197">
        <f t="shared" si="371"/>
        <v>4332.0897100839138</v>
      </c>
      <c r="P145" s="197">
        <f t="shared" si="372"/>
        <v>2270.0762510156119</v>
      </c>
      <c r="Q145" s="197">
        <f t="shared" si="373"/>
        <v>2628.4838884342325</v>
      </c>
      <c r="R145" s="196">
        <f t="shared" si="374"/>
        <v>60833.850972511827</v>
      </c>
      <c r="S145" s="197">
        <f t="shared" si="374"/>
        <v>3302.4490645344699</v>
      </c>
      <c r="T145" s="197">
        <f t="shared" si="374"/>
        <v>39916.854767902136</v>
      </c>
      <c r="U145" s="197">
        <f t="shared" si="374"/>
        <v>20916.996204609692</v>
      </c>
      <c r="V145" s="199">
        <f t="shared" si="374"/>
        <v>24219.445269144151</v>
      </c>
      <c r="Z145" s="895">
        <v>8</v>
      </c>
      <c r="AA145" s="906">
        <f>'Arable Inputs'!$H$18</f>
        <v>12</v>
      </c>
      <c r="AB145" s="757">
        <f>'Arable Inputs'!$H$25</f>
        <v>724</v>
      </c>
      <c r="AC145" s="759">
        <f t="shared" si="375"/>
        <v>8688</v>
      </c>
      <c r="AD145" s="197">
        <f>'Arable NPV'!$D124</f>
        <v>471.64</v>
      </c>
      <c r="AE145" s="197">
        <f t="shared" si="428"/>
        <v>9159.64</v>
      </c>
      <c r="AF145" s="197">
        <f>'Arable NPV'!$F124</f>
        <v>2474.37212</v>
      </c>
      <c r="AG145" s="197">
        <f>'Arable NPV'!$G124</f>
        <v>3226.3624</v>
      </c>
      <c r="AH145" s="197">
        <f t="shared" si="361"/>
        <v>8551.1017800000009</v>
      </c>
      <c r="AI145" s="197">
        <f t="shared" si="376"/>
        <v>136.89821999999913</v>
      </c>
      <c r="AJ145" s="197">
        <f t="shared" si="377"/>
        <v>608.53821999999855</v>
      </c>
      <c r="AK145" s="196">
        <f t="shared" si="378"/>
        <v>6602.1659610995257</v>
      </c>
      <c r="AL145" s="197">
        <f t="shared" si="379"/>
        <v>358.40763741862111</v>
      </c>
      <c r="AM145" s="197">
        <f t="shared" si="380"/>
        <v>6498.1345651258716</v>
      </c>
      <c r="AN145" s="197">
        <f t="shared" si="381"/>
        <v>104.0313959736543</v>
      </c>
      <c r="AO145" s="197">
        <f t="shared" si="382"/>
        <v>462.43903339227495</v>
      </c>
      <c r="AP145" s="196">
        <f t="shared" si="383"/>
        <v>60833.850972511827</v>
      </c>
      <c r="AQ145" s="197">
        <f t="shared" si="384"/>
        <v>3302.4490645344699</v>
      </c>
      <c r="AR145" s="197">
        <f t="shared" si="385"/>
        <v>59875.282151853207</v>
      </c>
      <c r="AS145" s="197">
        <f t="shared" si="386"/>
        <v>958.56882065861919</v>
      </c>
      <c r="AT145" s="199">
        <f t="shared" si="387"/>
        <v>4261.017885193085</v>
      </c>
      <c r="AX145" s="895">
        <v>8</v>
      </c>
      <c r="AY145" s="906">
        <f>'Arable Inputs'!$H$18</f>
        <v>12</v>
      </c>
      <c r="AZ145" s="757">
        <f>'Arable Inputs'!$H$25</f>
        <v>724</v>
      </c>
      <c r="BA145" s="759">
        <f t="shared" si="388"/>
        <v>8688</v>
      </c>
      <c r="BB145" s="197">
        <f>'Arable NPV'!$D124</f>
        <v>471.64</v>
      </c>
      <c r="BC145" s="197">
        <f t="shared" si="429"/>
        <v>9159.64</v>
      </c>
      <c r="BD145" s="197">
        <f>'Arable NPV'!$F124</f>
        <v>2474.37212</v>
      </c>
      <c r="BE145" s="197">
        <f>'Arable NPV'!$G124</f>
        <v>3226.3624</v>
      </c>
      <c r="BF145" s="197">
        <f t="shared" si="362"/>
        <v>2850.36726</v>
      </c>
      <c r="BG145" s="197">
        <f t="shared" si="389"/>
        <v>5837.63274</v>
      </c>
      <c r="BH145" s="197">
        <f t="shared" si="390"/>
        <v>6309.2727399999994</v>
      </c>
      <c r="BI145" s="196">
        <f t="shared" si="391"/>
        <v>6602.1659610995257</v>
      </c>
      <c r="BJ145" s="197">
        <f t="shared" si="392"/>
        <v>358.40763741862111</v>
      </c>
      <c r="BK145" s="197">
        <f t="shared" si="393"/>
        <v>2166.0448550419569</v>
      </c>
      <c r="BL145" s="197">
        <f t="shared" si="394"/>
        <v>4436.1211060575688</v>
      </c>
      <c r="BM145" s="197">
        <f t="shared" si="395"/>
        <v>4794.5287434761894</v>
      </c>
      <c r="BN145" s="196">
        <f t="shared" si="396"/>
        <v>60833.850972511827</v>
      </c>
      <c r="BO145" s="197">
        <f t="shared" si="397"/>
        <v>3302.4490645344699</v>
      </c>
      <c r="BP145" s="197">
        <f t="shared" si="398"/>
        <v>19958.427383951068</v>
      </c>
      <c r="BQ145" s="197">
        <f t="shared" si="399"/>
        <v>40875.423588560749</v>
      </c>
      <c r="BR145" s="199">
        <f t="shared" si="400"/>
        <v>44177.872653095219</v>
      </c>
      <c r="BV145" s="895">
        <v>8</v>
      </c>
      <c r="BW145" s="906">
        <f>'Arable Inputs'!$H$18</f>
        <v>12</v>
      </c>
      <c r="BX145" s="757">
        <f>'Arable Inputs'!$H$25</f>
        <v>724</v>
      </c>
      <c r="BY145" s="759">
        <f t="shared" si="401"/>
        <v>8688</v>
      </c>
      <c r="BZ145" s="197">
        <f>'Arable NPV'!$D124</f>
        <v>471.64</v>
      </c>
      <c r="CA145" s="197">
        <f t="shared" si="430"/>
        <v>9159.64</v>
      </c>
      <c r="CB145" s="197">
        <f>'Arable NPV'!$F124</f>
        <v>2474.37212</v>
      </c>
      <c r="CC145" s="197">
        <f>'Arable NPV'!$G124</f>
        <v>3226.3624</v>
      </c>
      <c r="CD145" s="197">
        <f t="shared" si="363"/>
        <v>11401.46904</v>
      </c>
      <c r="CE145" s="197">
        <f t="shared" si="402"/>
        <v>-2713.4690399999999</v>
      </c>
      <c r="CF145" s="197">
        <f t="shared" si="403"/>
        <v>-2241.8290400000005</v>
      </c>
      <c r="CG145" s="196">
        <f t="shared" si="404"/>
        <v>6602.1659610995257</v>
      </c>
      <c r="CH145" s="197">
        <f t="shared" si="405"/>
        <v>358.40763741862111</v>
      </c>
      <c r="CI145" s="197">
        <f t="shared" si="406"/>
        <v>8664.1794201678276</v>
      </c>
      <c r="CJ145" s="197">
        <f t="shared" si="407"/>
        <v>-2062.0134590683019</v>
      </c>
      <c r="CK145" s="197">
        <f t="shared" si="408"/>
        <v>-1703.6058216496813</v>
      </c>
      <c r="CL145" s="196">
        <f t="shared" si="409"/>
        <v>60833.850972511827</v>
      </c>
      <c r="CM145" s="197">
        <f t="shared" si="410"/>
        <v>3302.4490645344699</v>
      </c>
      <c r="CN145" s="197">
        <f t="shared" si="411"/>
        <v>79833.709535804272</v>
      </c>
      <c r="CO145" s="197">
        <f t="shared" si="412"/>
        <v>-18999.858563292441</v>
      </c>
      <c r="CP145" s="199">
        <f t="shared" si="413"/>
        <v>-15697.409498757974</v>
      </c>
      <c r="CT145" s="895">
        <v>8</v>
      </c>
      <c r="CU145" s="906">
        <f>'Arable Inputs'!$H$18</f>
        <v>12</v>
      </c>
      <c r="CV145" s="757">
        <f>'Arable Inputs'!$H$25</f>
        <v>724</v>
      </c>
      <c r="CW145" s="759">
        <f t="shared" si="414"/>
        <v>8688</v>
      </c>
      <c r="CX145" s="197">
        <f>'Arable NPV'!$D124</f>
        <v>471.64</v>
      </c>
      <c r="CY145" s="197">
        <f t="shared" si="431"/>
        <v>9159.64</v>
      </c>
      <c r="CZ145" s="197">
        <f>'Arable NPV'!$F124</f>
        <v>2474.37212</v>
      </c>
      <c r="DA145" s="197">
        <f>'Arable NPV'!$G124</f>
        <v>3226.3624</v>
      </c>
      <c r="DB145" s="197">
        <f t="shared" si="364"/>
        <v>0</v>
      </c>
      <c r="DC145" s="197">
        <f t="shared" si="415"/>
        <v>8688</v>
      </c>
      <c r="DD145" s="197">
        <f t="shared" si="416"/>
        <v>9159.64</v>
      </c>
      <c r="DE145" s="196">
        <f t="shared" si="417"/>
        <v>6602.1659610995257</v>
      </c>
      <c r="DF145" s="197">
        <f t="shared" si="418"/>
        <v>358.40763741862111</v>
      </c>
      <c r="DG145" s="197">
        <f t="shared" si="419"/>
        <v>0</v>
      </c>
      <c r="DH145" s="197">
        <f t="shared" si="420"/>
        <v>6602.1659610995257</v>
      </c>
      <c r="DI145" s="197">
        <f t="shared" si="421"/>
        <v>6960.5735985181464</v>
      </c>
      <c r="DJ145" s="196">
        <f t="shared" si="422"/>
        <v>60833.850972511827</v>
      </c>
      <c r="DK145" s="197">
        <f t="shared" si="423"/>
        <v>3302.4490645344699</v>
      </c>
      <c r="DL145" s="197">
        <f t="shared" si="424"/>
        <v>0</v>
      </c>
      <c r="DM145" s="197">
        <f t="shared" si="425"/>
        <v>60833.850972511827</v>
      </c>
      <c r="DN145" s="199">
        <f t="shared" si="426"/>
        <v>64136.300037046283</v>
      </c>
    </row>
    <row r="146" spans="2:118" x14ac:dyDescent="0.3">
      <c r="B146" s="895">
        <v>9</v>
      </c>
      <c r="C146" s="906">
        <f>'Arable Inputs'!$H$18</f>
        <v>12</v>
      </c>
      <c r="D146" s="757">
        <f>'Arable Inputs'!$H$25</f>
        <v>724</v>
      </c>
      <c r="E146" s="759">
        <f t="shared" si="365"/>
        <v>8688</v>
      </c>
      <c r="F146" s="197">
        <f>'Arable NPV'!$D125</f>
        <v>471.64</v>
      </c>
      <c r="G146" s="197">
        <f t="shared" si="427"/>
        <v>9159.64</v>
      </c>
      <c r="H146" s="197">
        <f>'Arable NPV'!$F125</f>
        <v>2474.37212</v>
      </c>
      <c r="I146" s="197">
        <f>'Arable NPV'!$G125</f>
        <v>3226.3624</v>
      </c>
      <c r="J146" s="197">
        <f t="shared" si="366"/>
        <v>5700.73452</v>
      </c>
      <c r="K146" s="197">
        <f t="shared" si="367"/>
        <v>2987.26548</v>
      </c>
      <c r="L146" s="197">
        <f t="shared" si="368"/>
        <v>3458.9054799999994</v>
      </c>
      <c r="M146" s="196">
        <f t="shared" si="369"/>
        <v>6348.2365010572348</v>
      </c>
      <c r="N146" s="197">
        <f t="shared" si="370"/>
        <v>344.6227282871356</v>
      </c>
      <c r="O146" s="197">
        <f t="shared" si="371"/>
        <v>4165.4708750806858</v>
      </c>
      <c r="P146" s="197">
        <f t="shared" si="372"/>
        <v>2182.7656259765495</v>
      </c>
      <c r="Q146" s="197">
        <f t="shared" si="373"/>
        <v>2527.3883542636845</v>
      </c>
      <c r="R146" s="196">
        <f t="shared" si="374"/>
        <v>67182.08747356906</v>
      </c>
      <c r="S146" s="197">
        <f t="shared" si="374"/>
        <v>3647.0717928216054</v>
      </c>
      <c r="T146" s="197">
        <f t="shared" si="374"/>
        <v>44082.325642982818</v>
      </c>
      <c r="U146" s="197">
        <f t="shared" si="374"/>
        <v>23099.761830586242</v>
      </c>
      <c r="V146" s="199">
        <f t="shared" si="374"/>
        <v>26746.833623407834</v>
      </c>
      <c r="Z146" s="895">
        <v>9</v>
      </c>
      <c r="AA146" s="906">
        <f>'Arable Inputs'!$H$18</f>
        <v>12</v>
      </c>
      <c r="AB146" s="757">
        <f>'Arable Inputs'!$H$25</f>
        <v>724</v>
      </c>
      <c r="AC146" s="759">
        <f t="shared" si="375"/>
        <v>8688</v>
      </c>
      <c r="AD146" s="197">
        <f>'Arable NPV'!$D125</f>
        <v>471.64</v>
      </c>
      <c r="AE146" s="197">
        <f t="shared" si="428"/>
        <v>9159.64</v>
      </c>
      <c r="AF146" s="197">
        <f>'Arable NPV'!$F125</f>
        <v>2474.37212</v>
      </c>
      <c r="AG146" s="197">
        <f>'Arable NPV'!$G125</f>
        <v>3226.3624</v>
      </c>
      <c r="AH146" s="197">
        <f t="shared" si="361"/>
        <v>8551.1017800000009</v>
      </c>
      <c r="AI146" s="197">
        <f t="shared" si="376"/>
        <v>136.89821999999913</v>
      </c>
      <c r="AJ146" s="197">
        <f t="shared" si="377"/>
        <v>608.53821999999855</v>
      </c>
      <c r="AK146" s="196">
        <f t="shared" si="378"/>
        <v>6348.2365010572348</v>
      </c>
      <c r="AL146" s="197">
        <f t="shared" si="379"/>
        <v>344.6227282871356</v>
      </c>
      <c r="AM146" s="197">
        <f t="shared" si="380"/>
        <v>6248.2063126210287</v>
      </c>
      <c r="AN146" s="197">
        <f t="shared" si="381"/>
        <v>100.03018843620603</v>
      </c>
      <c r="AO146" s="197">
        <f t="shared" si="382"/>
        <v>444.65291672334126</v>
      </c>
      <c r="AP146" s="196">
        <f t="shared" si="383"/>
        <v>67182.08747356906</v>
      </c>
      <c r="AQ146" s="197">
        <f t="shared" si="384"/>
        <v>3647.0717928216054</v>
      </c>
      <c r="AR146" s="197">
        <f t="shared" si="385"/>
        <v>66123.488464474241</v>
      </c>
      <c r="AS146" s="197">
        <f t="shared" si="386"/>
        <v>1058.5990090948253</v>
      </c>
      <c r="AT146" s="199">
        <f t="shared" si="387"/>
        <v>4705.6708019164262</v>
      </c>
      <c r="AX146" s="895">
        <v>9</v>
      </c>
      <c r="AY146" s="906">
        <f>'Arable Inputs'!$H$18</f>
        <v>12</v>
      </c>
      <c r="AZ146" s="757">
        <f>'Arable Inputs'!$H$25</f>
        <v>724</v>
      </c>
      <c r="BA146" s="759">
        <f t="shared" si="388"/>
        <v>8688</v>
      </c>
      <c r="BB146" s="197">
        <f>'Arable NPV'!$D125</f>
        <v>471.64</v>
      </c>
      <c r="BC146" s="197">
        <f t="shared" si="429"/>
        <v>9159.64</v>
      </c>
      <c r="BD146" s="197">
        <f>'Arable NPV'!$F125</f>
        <v>2474.37212</v>
      </c>
      <c r="BE146" s="197">
        <f>'Arable NPV'!$G125</f>
        <v>3226.3624</v>
      </c>
      <c r="BF146" s="197">
        <f t="shared" si="362"/>
        <v>2850.36726</v>
      </c>
      <c r="BG146" s="197">
        <f t="shared" si="389"/>
        <v>5837.63274</v>
      </c>
      <c r="BH146" s="197">
        <f t="shared" si="390"/>
        <v>6309.2727399999994</v>
      </c>
      <c r="BI146" s="196">
        <f t="shared" si="391"/>
        <v>6348.2365010572348</v>
      </c>
      <c r="BJ146" s="197">
        <f t="shared" si="392"/>
        <v>344.6227282871356</v>
      </c>
      <c r="BK146" s="197">
        <f t="shared" si="393"/>
        <v>2082.7354375403429</v>
      </c>
      <c r="BL146" s="197">
        <f t="shared" si="394"/>
        <v>4265.5010635168919</v>
      </c>
      <c r="BM146" s="197">
        <f t="shared" si="395"/>
        <v>4610.1237918040279</v>
      </c>
      <c r="BN146" s="196">
        <f t="shared" si="396"/>
        <v>67182.08747356906</v>
      </c>
      <c r="BO146" s="197">
        <f t="shared" si="397"/>
        <v>3647.0717928216054</v>
      </c>
      <c r="BP146" s="197">
        <f t="shared" si="398"/>
        <v>22041.162821491409</v>
      </c>
      <c r="BQ146" s="197">
        <f t="shared" si="399"/>
        <v>45140.924652077643</v>
      </c>
      <c r="BR146" s="199">
        <f t="shared" si="400"/>
        <v>48787.996444899247</v>
      </c>
      <c r="BV146" s="895">
        <v>9</v>
      </c>
      <c r="BW146" s="906">
        <f>'Arable Inputs'!$H$18</f>
        <v>12</v>
      </c>
      <c r="BX146" s="757">
        <f>'Arable Inputs'!$H$25</f>
        <v>724</v>
      </c>
      <c r="BY146" s="759">
        <f t="shared" si="401"/>
        <v>8688</v>
      </c>
      <c r="BZ146" s="197">
        <f>'Arable NPV'!$D125</f>
        <v>471.64</v>
      </c>
      <c r="CA146" s="197">
        <f t="shared" si="430"/>
        <v>9159.64</v>
      </c>
      <c r="CB146" s="197">
        <f>'Arable NPV'!$F125</f>
        <v>2474.37212</v>
      </c>
      <c r="CC146" s="197">
        <f>'Arable NPV'!$G125</f>
        <v>3226.3624</v>
      </c>
      <c r="CD146" s="197">
        <f t="shared" si="363"/>
        <v>11401.46904</v>
      </c>
      <c r="CE146" s="197">
        <f t="shared" si="402"/>
        <v>-2713.4690399999999</v>
      </c>
      <c r="CF146" s="197">
        <f t="shared" si="403"/>
        <v>-2241.8290400000005</v>
      </c>
      <c r="CG146" s="196">
        <f t="shared" si="404"/>
        <v>6348.2365010572348</v>
      </c>
      <c r="CH146" s="197">
        <f t="shared" si="405"/>
        <v>344.6227282871356</v>
      </c>
      <c r="CI146" s="197">
        <f t="shared" si="406"/>
        <v>8330.9417501613716</v>
      </c>
      <c r="CJ146" s="197">
        <f t="shared" si="407"/>
        <v>-1982.7052491041361</v>
      </c>
      <c r="CK146" s="197">
        <f t="shared" si="408"/>
        <v>-1638.0825208170008</v>
      </c>
      <c r="CL146" s="196">
        <f t="shared" si="409"/>
        <v>67182.08747356906</v>
      </c>
      <c r="CM146" s="197">
        <f t="shared" si="410"/>
        <v>3647.0717928216054</v>
      </c>
      <c r="CN146" s="197">
        <f t="shared" si="411"/>
        <v>88164.651285965636</v>
      </c>
      <c r="CO146" s="197">
        <f t="shared" si="412"/>
        <v>-20982.563812396576</v>
      </c>
      <c r="CP146" s="199">
        <f t="shared" si="413"/>
        <v>-17335.492019574973</v>
      </c>
      <c r="CT146" s="895">
        <v>9</v>
      </c>
      <c r="CU146" s="906">
        <f>'Arable Inputs'!$H$18</f>
        <v>12</v>
      </c>
      <c r="CV146" s="757">
        <f>'Arable Inputs'!$H$25</f>
        <v>724</v>
      </c>
      <c r="CW146" s="759">
        <f t="shared" si="414"/>
        <v>8688</v>
      </c>
      <c r="CX146" s="197">
        <f>'Arable NPV'!$D125</f>
        <v>471.64</v>
      </c>
      <c r="CY146" s="197">
        <f t="shared" si="431"/>
        <v>9159.64</v>
      </c>
      <c r="CZ146" s="197">
        <f>'Arable NPV'!$F125</f>
        <v>2474.37212</v>
      </c>
      <c r="DA146" s="197">
        <f>'Arable NPV'!$G125</f>
        <v>3226.3624</v>
      </c>
      <c r="DB146" s="197">
        <f t="shared" si="364"/>
        <v>0</v>
      </c>
      <c r="DC146" s="197">
        <f t="shared" si="415"/>
        <v>8688</v>
      </c>
      <c r="DD146" s="197">
        <f t="shared" si="416"/>
        <v>9159.64</v>
      </c>
      <c r="DE146" s="196">
        <f t="shared" si="417"/>
        <v>6348.2365010572348</v>
      </c>
      <c r="DF146" s="197">
        <f t="shared" si="418"/>
        <v>344.6227282871356</v>
      </c>
      <c r="DG146" s="197">
        <f t="shared" si="419"/>
        <v>0</v>
      </c>
      <c r="DH146" s="197">
        <f t="shared" si="420"/>
        <v>6348.2365010572348</v>
      </c>
      <c r="DI146" s="197">
        <f t="shared" si="421"/>
        <v>6692.8592293443699</v>
      </c>
      <c r="DJ146" s="196">
        <f t="shared" si="422"/>
        <v>67182.08747356906</v>
      </c>
      <c r="DK146" s="197">
        <f t="shared" si="423"/>
        <v>3647.0717928216054</v>
      </c>
      <c r="DL146" s="197">
        <f t="shared" si="424"/>
        <v>0</v>
      </c>
      <c r="DM146" s="197">
        <f t="shared" si="425"/>
        <v>67182.08747356906</v>
      </c>
      <c r="DN146" s="199">
        <f t="shared" si="426"/>
        <v>70829.159266390649</v>
      </c>
    </row>
    <row r="147" spans="2:118" x14ac:dyDescent="0.3">
      <c r="B147" s="895">
        <v>10</v>
      </c>
      <c r="C147" s="906">
        <f>'Arable Inputs'!$H$18</f>
        <v>12</v>
      </c>
      <c r="D147" s="757">
        <f>'Arable Inputs'!$H$25</f>
        <v>724</v>
      </c>
      <c r="E147" s="759">
        <f t="shared" si="365"/>
        <v>8688</v>
      </c>
      <c r="F147" s="197">
        <f>'Arable NPV'!$D126</f>
        <v>471.64</v>
      </c>
      <c r="G147" s="197">
        <f t="shared" si="427"/>
        <v>9159.64</v>
      </c>
      <c r="H147" s="197">
        <f>'Arable NPV'!$F126</f>
        <v>2474.37212</v>
      </c>
      <c r="I147" s="197">
        <f>'Arable NPV'!$G126</f>
        <v>3226.3624</v>
      </c>
      <c r="J147" s="197">
        <f t="shared" si="366"/>
        <v>5700.73452</v>
      </c>
      <c r="K147" s="197">
        <f t="shared" si="367"/>
        <v>2987.26548</v>
      </c>
      <c r="L147" s="197">
        <f t="shared" si="368"/>
        <v>3458.9054799999994</v>
      </c>
      <c r="M147" s="196">
        <f t="shared" si="369"/>
        <v>6104.0735587088793</v>
      </c>
      <c r="N147" s="197">
        <f t="shared" si="370"/>
        <v>331.36800796839958</v>
      </c>
      <c r="O147" s="197">
        <f t="shared" si="371"/>
        <v>4005.2604568083511</v>
      </c>
      <c r="P147" s="197">
        <f t="shared" si="372"/>
        <v>2098.8131019005282</v>
      </c>
      <c r="Q147" s="197">
        <f t="shared" si="373"/>
        <v>2430.1811098689273</v>
      </c>
      <c r="R147" s="196">
        <f t="shared" si="374"/>
        <v>73286.161032277945</v>
      </c>
      <c r="S147" s="197">
        <f t="shared" si="374"/>
        <v>3978.4398007900049</v>
      </c>
      <c r="T147" s="197">
        <f t="shared" si="374"/>
        <v>48087.586099791166</v>
      </c>
      <c r="U147" s="197">
        <f t="shared" si="374"/>
        <v>25198.574932486768</v>
      </c>
      <c r="V147" s="199">
        <f t="shared" si="374"/>
        <v>29177.014733276763</v>
      </c>
      <c r="Z147" s="895">
        <v>10</v>
      </c>
      <c r="AA147" s="906">
        <f>'Arable Inputs'!$H$18</f>
        <v>12</v>
      </c>
      <c r="AB147" s="757">
        <f>'Arable Inputs'!$H$25</f>
        <v>724</v>
      </c>
      <c r="AC147" s="759">
        <f t="shared" si="375"/>
        <v>8688</v>
      </c>
      <c r="AD147" s="197">
        <f>'Arable NPV'!$D126</f>
        <v>471.64</v>
      </c>
      <c r="AE147" s="197">
        <f t="shared" si="428"/>
        <v>9159.64</v>
      </c>
      <c r="AF147" s="197">
        <f>'Arable NPV'!$F126</f>
        <v>2474.37212</v>
      </c>
      <c r="AG147" s="197">
        <f>'Arable NPV'!$G126</f>
        <v>3226.3624</v>
      </c>
      <c r="AH147" s="197">
        <f t="shared" si="361"/>
        <v>8551.1017800000009</v>
      </c>
      <c r="AI147" s="197">
        <f t="shared" si="376"/>
        <v>136.89821999999913</v>
      </c>
      <c r="AJ147" s="197">
        <f t="shared" si="377"/>
        <v>608.53821999999855</v>
      </c>
      <c r="AK147" s="196">
        <f t="shared" si="378"/>
        <v>6104.0735587088793</v>
      </c>
      <c r="AL147" s="197">
        <f t="shared" si="379"/>
        <v>331.36800796839958</v>
      </c>
      <c r="AM147" s="197">
        <f t="shared" si="380"/>
        <v>6007.8906852125274</v>
      </c>
      <c r="AN147" s="197">
        <f t="shared" si="381"/>
        <v>96.182873496351945</v>
      </c>
      <c r="AO147" s="197">
        <f t="shared" si="382"/>
        <v>427.55088146475117</v>
      </c>
      <c r="AP147" s="196">
        <f t="shared" si="383"/>
        <v>73286.161032277945</v>
      </c>
      <c r="AQ147" s="197">
        <f t="shared" si="384"/>
        <v>3978.4398007900049</v>
      </c>
      <c r="AR147" s="197">
        <f t="shared" si="385"/>
        <v>72131.379149686763</v>
      </c>
      <c r="AS147" s="197">
        <f t="shared" si="386"/>
        <v>1154.7818825911772</v>
      </c>
      <c r="AT147" s="199">
        <f t="shared" si="387"/>
        <v>5133.2216833811772</v>
      </c>
      <c r="AX147" s="895">
        <v>10</v>
      </c>
      <c r="AY147" s="906">
        <f>'Arable Inputs'!$H$18</f>
        <v>12</v>
      </c>
      <c r="AZ147" s="757">
        <f>'Arable Inputs'!$H$25</f>
        <v>724</v>
      </c>
      <c r="BA147" s="759">
        <f t="shared" si="388"/>
        <v>8688</v>
      </c>
      <c r="BB147" s="197">
        <f>'Arable NPV'!$D126</f>
        <v>471.64</v>
      </c>
      <c r="BC147" s="197">
        <f t="shared" si="429"/>
        <v>9159.64</v>
      </c>
      <c r="BD147" s="197">
        <f>'Arable NPV'!$F126</f>
        <v>2474.37212</v>
      </c>
      <c r="BE147" s="197">
        <f>'Arable NPV'!$G126</f>
        <v>3226.3624</v>
      </c>
      <c r="BF147" s="197">
        <f t="shared" si="362"/>
        <v>2850.36726</v>
      </c>
      <c r="BG147" s="197">
        <f t="shared" si="389"/>
        <v>5837.63274</v>
      </c>
      <c r="BH147" s="197">
        <f t="shared" si="390"/>
        <v>6309.2727399999994</v>
      </c>
      <c r="BI147" s="196">
        <f t="shared" si="391"/>
        <v>6104.0735587088793</v>
      </c>
      <c r="BJ147" s="197">
        <f t="shared" si="392"/>
        <v>331.36800796839958</v>
      </c>
      <c r="BK147" s="197">
        <f t="shared" si="393"/>
        <v>2002.6302284041756</v>
      </c>
      <c r="BL147" s="197">
        <f t="shared" si="394"/>
        <v>4101.4433303047035</v>
      </c>
      <c r="BM147" s="197">
        <f t="shared" si="395"/>
        <v>4432.8113382731026</v>
      </c>
      <c r="BN147" s="196">
        <f t="shared" si="396"/>
        <v>73286.161032277945</v>
      </c>
      <c r="BO147" s="197">
        <f t="shared" si="397"/>
        <v>3978.4398007900049</v>
      </c>
      <c r="BP147" s="197">
        <f t="shared" si="398"/>
        <v>24043.793049895583</v>
      </c>
      <c r="BQ147" s="197">
        <f t="shared" si="399"/>
        <v>49242.367982382348</v>
      </c>
      <c r="BR147" s="199">
        <f t="shared" si="400"/>
        <v>53220.807783172349</v>
      </c>
      <c r="BV147" s="895">
        <v>10</v>
      </c>
      <c r="BW147" s="906">
        <f>'Arable Inputs'!$H$18</f>
        <v>12</v>
      </c>
      <c r="BX147" s="757">
        <f>'Arable Inputs'!$H$25</f>
        <v>724</v>
      </c>
      <c r="BY147" s="759">
        <f t="shared" si="401"/>
        <v>8688</v>
      </c>
      <c r="BZ147" s="197">
        <f>'Arable NPV'!$D126</f>
        <v>471.64</v>
      </c>
      <c r="CA147" s="197">
        <f t="shared" si="430"/>
        <v>9159.64</v>
      </c>
      <c r="CB147" s="197">
        <f>'Arable NPV'!$F126</f>
        <v>2474.37212</v>
      </c>
      <c r="CC147" s="197">
        <f>'Arable NPV'!$G126</f>
        <v>3226.3624</v>
      </c>
      <c r="CD147" s="197">
        <f t="shared" si="363"/>
        <v>11401.46904</v>
      </c>
      <c r="CE147" s="197">
        <f t="shared" si="402"/>
        <v>-2713.4690399999999</v>
      </c>
      <c r="CF147" s="197">
        <f t="shared" si="403"/>
        <v>-2241.8290400000005</v>
      </c>
      <c r="CG147" s="196">
        <f t="shared" si="404"/>
        <v>6104.0735587088793</v>
      </c>
      <c r="CH147" s="197">
        <f t="shared" si="405"/>
        <v>331.36800796839958</v>
      </c>
      <c r="CI147" s="197">
        <f t="shared" si="406"/>
        <v>8010.5209136167023</v>
      </c>
      <c r="CJ147" s="197">
        <f t="shared" si="407"/>
        <v>-1906.447354907823</v>
      </c>
      <c r="CK147" s="197">
        <f t="shared" si="408"/>
        <v>-1575.0793469394239</v>
      </c>
      <c r="CL147" s="196">
        <f t="shared" si="409"/>
        <v>73286.161032277945</v>
      </c>
      <c r="CM147" s="197">
        <f t="shared" si="410"/>
        <v>3978.4398007900049</v>
      </c>
      <c r="CN147" s="197">
        <f t="shared" si="411"/>
        <v>96175.172199582332</v>
      </c>
      <c r="CO147" s="197">
        <f t="shared" si="412"/>
        <v>-22889.011167304401</v>
      </c>
      <c r="CP147" s="199">
        <f t="shared" si="413"/>
        <v>-18910.571366514396</v>
      </c>
      <c r="CT147" s="895">
        <v>10</v>
      </c>
      <c r="CU147" s="906">
        <f>'Arable Inputs'!$H$18</f>
        <v>12</v>
      </c>
      <c r="CV147" s="757">
        <f>'Arable Inputs'!$H$25</f>
        <v>724</v>
      </c>
      <c r="CW147" s="759">
        <f t="shared" si="414"/>
        <v>8688</v>
      </c>
      <c r="CX147" s="197">
        <f>'Arable NPV'!$D126</f>
        <v>471.64</v>
      </c>
      <c r="CY147" s="197">
        <f t="shared" si="431"/>
        <v>9159.64</v>
      </c>
      <c r="CZ147" s="197">
        <f>'Arable NPV'!$F126</f>
        <v>2474.37212</v>
      </c>
      <c r="DA147" s="197">
        <f>'Arable NPV'!$G126</f>
        <v>3226.3624</v>
      </c>
      <c r="DB147" s="197">
        <f t="shared" si="364"/>
        <v>0</v>
      </c>
      <c r="DC147" s="197">
        <f t="shared" si="415"/>
        <v>8688</v>
      </c>
      <c r="DD147" s="197">
        <f t="shared" si="416"/>
        <v>9159.64</v>
      </c>
      <c r="DE147" s="196">
        <f t="shared" si="417"/>
        <v>6104.0735587088793</v>
      </c>
      <c r="DF147" s="197">
        <f t="shared" si="418"/>
        <v>331.36800796839958</v>
      </c>
      <c r="DG147" s="197">
        <f t="shared" si="419"/>
        <v>0</v>
      </c>
      <c r="DH147" s="197">
        <f t="shared" si="420"/>
        <v>6104.0735587088793</v>
      </c>
      <c r="DI147" s="197">
        <f t="shared" si="421"/>
        <v>6435.4415666772784</v>
      </c>
      <c r="DJ147" s="196">
        <f t="shared" si="422"/>
        <v>73286.161032277945</v>
      </c>
      <c r="DK147" s="197">
        <f t="shared" si="423"/>
        <v>3978.4398007900049</v>
      </c>
      <c r="DL147" s="197">
        <f t="shared" si="424"/>
        <v>0</v>
      </c>
      <c r="DM147" s="197">
        <f t="shared" si="425"/>
        <v>73286.161032277945</v>
      </c>
      <c r="DN147" s="199">
        <f t="shared" si="426"/>
        <v>77264.600833067932</v>
      </c>
    </row>
    <row r="148" spans="2:118" x14ac:dyDescent="0.3">
      <c r="B148" s="895">
        <v>11</v>
      </c>
      <c r="C148" s="906">
        <f>'Arable Inputs'!$H$18</f>
        <v>12</v>
      </c>
      <c r="D148" s="757">
        <f>'Arable Inputs'!$H$25</f>
        <v>724</v>
      </c>
      <c r="E148" s="759">
        <f t="shared" si="365"/>
        <v>8688</v>
      </c>
      <c r="F148" s="197">
        <f>'Arable NPV'!$D127</f>
        <v>471.64</v>
      </c>
      <c r="G148" s="197">
        <f t="shared" si="427"/>
        <v>9159.64</v>
      </c>
      <c r="H148" s="197">
        <f>'Arable NPV'!$F127</f>
        <v>2474.37212</v>
      </c>
      <c r="I148" s="197">
        <f>'Arable NPV'!$G127</f>
        <v>3226.3624</v>
      </c>
      <c r="J148" s="197">
        <f t="shared" si="366"/>
        <v>5700.73452</v>
      </c>
      <c r="K148" s="197">
        <f t="shared" si="367"/>
        <v>2987.26548</v>
      </c>
      <c r="L148" s="197">
        <f t="shared" si="368"/>
        <v>3458.9054799999994</v>
      </c>
      <c r="M148" s="196">
        <f t="shared" si="369"/>
        <v>5869.3014987585375</v>
      </c>
      <c r="N148" s="197">
        <f t="shared" si="370"/>
        <v>318.62308458499962</v>
      </c>
      <c r="O148" s="197">
        <f t="shared" si="371"/>
        <v>3851.2119777003377</v>
      </c>
      <c r="P148" s="197">
        <f t="shared" si="372"/>
        <v>2018.0895210582003</v>
      </c>
      <c r="Q148" s="197">
        <f t="shared" si="373"/>
        <v>2336.7126056431994</v>
      </c>
      <c r="R148" s="196">
        <f t="shared" si="374"/>
        <v>79155.462531036479</v>
      </c>
      <c r="S148" s="197">
        <f t="shared" si="374"/>
        <v>4297.062885375005</v>
      </c>
      <c r="T148" s="197">
        <f t="shared" si="374"/>
        <v>51938.798077491505</v>
      </c>
      <c r="U148" s="197">
        <f t="shared" si="374"/>
        <v>27216.664453544967</v>
      </c>
      <c r="V148" s="199">
        <f t="shared" si="374"/>
        <v>31513.727338919962</v>
      </c>
      <c r="Z148" s="895">
        <v>11</v>
      </c>
      <c r="AA148" s="906">
        <f>'Arable Inputs'!$H$18</f>
        <v>12</v>
      </c>
      <c r="AB148" s="757">
        <f>'Arable Inputs'!$H$25</f>
        <v>724</v>
      </c>
      <c r="AC148" s="759">
        <f t="shared" si="375"/>
        <v>8688</v>
      </c>
      <c r="AD148" s="197">
        <f>'Arable NPV'!$D127</f>
        <v>471.64</v>
      </c>
      <c r="AE148" s="197">
        <f t="shared" si="428"/>
        <v>9159.64</v>
      </c>
      <c r="AF148" s="197">
        <f>'Arable NPV'!$F127</f>
        <v>2474.37212</v>
      </c>
      <c r="AG148" s="197">
        <f>'Arable NPV'!$G127</f>
        <v>3226.3624</v>
      </c>
      <c r="AH148" s="197">
        <f t="shared" si="361"/>
        <v>8551.1017800000009</v>
      </c>
      <c r="AI148" s="197">
        <f t="shared" si="376"/>
        <v>136.89821999999913</v>
      </c>
      <c r="AJ148" s="197">
        <f t="shared" si="377"/>
        <v>608.53821999999855</v>
      </c>
      <c r="AK148" s="196">
        <f t="shared" si="378"/>
        <v>5869.3014987585375</v>
      </c>
      <c r="AL148" s="197">
        <f t="shared" si="379"/>
        <v>318.62308458499962</v>
      </c>
      <c r="AM148" s="197">
        <f t="shared" si="380"/>
        <v>5776.8179665505068</v>
      </c>
      <c r="AN148" s="197">
        <f t="shared" si="381"/>
        <v>92.483532208030724</v>
      </c>
      <c r="AO148" s="197">
        <f t="shared" si="382"/>
        <v>411.10661679302996</v>
      </c>
      <c r="AP148" s="196">
        <f t="shared" si="383"/>
        <v>79155.462531036479</v>
      </c>
      <c r="AQ148" s="197">
        <f t="shared" si="384"/>
        <v>4297.062885375005</v>
      </c>
      <c r="AR148" s="197">
        <f t="shared" si="385"/>
        <v>77908.197116237265</v>
      </c>
      <c r="AS148" s="197">
        <f t="shared" si="386"/>
        <v>1247.265414799208</v>
      </c>
      <c r="AT148" s="199">
        <f t="shared" si="387"/>
        <v>5544.3283001742075</v>
      </c>
      <c r="AX148" s="895">
        <v>11</v>
      </c>
      <c r="AY148" s="906">
        <f>'Arable Inputs'!$H$18</f>
        <v>12</v>
      </c>
      <c r="AZ148" s="757">
        <f>'Arable Inputs'!$H$25</f>
        <v>724</v>
      </c>
      <c r="BA148" s="759">
        <f t="shared" si="388"/>
        <v>8688</v>
      </c>
      <c r="BB148" s="197">
        <f>'Arable NPV'!$D127</f>
        <v>471.64</v>
      </c>
      <c r="BC148" s="197">
        <f t="shared" si="429"/>
        <v>9159.64</v>
      </c>
      <c r="BD148" s="197">
        <f>'Arable NPV'!$F127</f>
        <v>2474.37212</v>
      </c>
      <c r="BE148" s="197">
        <f>'Arable NPV'!$G127</f>
        <v>3226.3624</v>
      </c>
      <c r="BF148" s="197">
        <f t="shared" si="362"/>
        <v>2850.36726</v>
      </c>
      <c r="BG148" s="197">
        <f t="shared" si="389"/>
        <v>5837.63274</v>
      </c>
      <c r="BH148" s="197">
        <f t="shared" si="390"/>
        <v>6309.2727399999994</v>
      </c>
      <c r="BI148" s="196">
        <f t="shared" si="391"/>
        <v>5869.3014987585375</v>
      </c>
      <c r="BJ148" s="197">
        <f t="shared" si="392"/>
        <v>318.62308458499962</v>
      </c>
      <c r="BK148" s="197">
        <f t="shared" si="393"/>
        <v>1925.6059888501688</v>
      </c>
      <c r="BL148" s="197">
        <f t="shared" si="394"/>
        <v>3943.6955099083689</v>
      </c>
      <c r="BM148" s="197">
        <f t="shared" si="395"/>
        <v>4262.3185944933684</v>
      </c>
      <c r="BN148" s="196">
        <f t="shared" si="396"/>
        <v>79155.462531036479</v>
      </c>
      <c r="BO148" s="197">
        <f t="shared" si="397"/>
        <v>4297.062885375005</v>
      </c>
      <c r="BP148" s="197">
        <f t="shared" si="398"/>
        <v>25969.399038745752</v>
      </c>
      <c r="BQ148" s="197">
        <f t="shared" si="399"/>
        <v>53186.063492290719</v>
      </c>
      <c r="BR148" s="199">
        <f t="shared" si="400"/>
        <v>57483.126377665714</v>
      </c>
      <c r="BV148" s="895">
        <v>11</v>
      </c>
      <c r="BW148" s="906">
        <f>'Arable Inputs'!$H$18</f>
        <v>12</v>
      </c>
      <c r="BX148" s="757">
        <f>'Arable Inputs'!$H$25</f>
        <v>724</v>
      </c>
      <c r="BY148" s="759">
        <f t="shared" si="401"/>
        <v>8688</v>
      </c>
      <c r="BZ148" s="197">
        <f>'Arable NPV'!$D127</f>
        <v>471.64</v>
      </c>
      <c r="CA148" s="197">
        <f t="shared" si="430"/>
        <v>9159.64</v>
      </c>
      <c r="CB148" s="197">
        <f>'Arable NPV'!$F127</f>
        <v>2474.37212</v>
      </c>
      <c r="CC148" s="197">
        <f>'Arable NPV'!$G127</f>
        <v>3226.3624</v>
      </c>
      <c r="CD148" s="197">
        <f t="shared" si="363"/>
        <v>11401.46904</v>
      </c>
      <c r="CE148" s="197">
        <f t="shared" si="402"/>
        <v>-2713.4690399999999</v>
      </c>
      <c r="CF148" s="197">
        <f t="shared" si="403"/>
        <v>-2241.8290400000005</v>
      </c>
      <c r="CG148" s="196">
        <f t="shared" si="404"/>
        <v>5869.3014987585375</v>
      </c>
      <c r="CH148" s="197">
        <f t="shared" si="405"/>
        <v>318.62308458499962</v>
      </c>
      <c r="CI148" s="197">
        <f t="shared" si="406"/>
        <v>7702.4239554006754</v>
      </c>
      <c r="CJ148" s="197">
        <f t="shared" si="407"/>
        <v>-1833.1224566421374</v>
      </c>
      <c r="CK148" s="197">
        <f t="shared" si="408"/>
        <v>-1514.4993720571383</v>
      </c>
      <c r="CL148" s="196">
        <f t="shared" si="409"/>
        <v>79155.462531036479</v>
      </c>
      <c r="CM148" s="197">
        <f t="shared" si="410"/>
        <v>4297.062885375005</v>
      </c>
      <c r="CN148" s="197">
        <f t="shared" si="411"/>
        <v>103877.59615498301</v>
      </c>
      <c r="CO148" s="197">
        <f t="shared" si="412"/>
        <v>-24722.133623946538</v>
      </c>
      <c r="CP148" s="199">
        <f t="shared" si="413"/>
        <v>-20425.070738571536</v>
      </c>
      <c r="CT148" s="895">
        <v>11</v>
      </c>
      <c r="CU148" s="906">
        <f>'Arable Inputs'!$H$18</f>
        <v>12</v>
      </c>
      <c r="CV148" s="757">
        <f>'Arable Inputs'!$H$25</f>
        <v>724</v>
      </c>
      <c r="CW148" s="759">
        <f t="shared" si="414"/>
        <v>8688</v>
      </c>
      <c r="CX148" s="197">
        <f>'Arable NPV'!$D127</f>
        <v>471.64</v>
      </c>
      <c r="CY148" s="197">
        <f t="shared" si="431"/>
        <v>9159.64</v>
      </c>
      <c r="CZ148" s="197">
        <f>'Arable NPV'!$F127</f>
        <v>2474.37212</v>
      </c>
      <c r="DA148" s="197">
        <f>'Arable NPV'!$G127</f>
        <v>3226.3624</v>
      </c>
      <c r="DB148" s="197">
        <f t="shared" si="364"/>
        <v>0</v>
      </c>
      <c r="DC148" s="197">
        <f t="shared" si="415"/>
        <v>8688</v>
      </c>
      <c r="DD148" s="197">
        <f t="shared" si="416"/>
        <v>9159.64</v>
      </c>
      <c r="DE148" s="196">
        <f t="shared" si="417"/>
        <v>5869.3014987585375</v>
      </c>
      <c r="DF148" s="197">
        <f t="shared" si="418"/>
        <v>318.62308458499962</v>
      </c>
      <c r="DG148" s="197">
        <f t="shared" si="419"/>
        <v>0</v>
      </c>
      <c r="DH148" s="197">
        <f t="shared" si="420"/>
        <v>5869.3014987585375</v>
      </c>
      <c r="DI148" s="197">
        <f t="shared" si="421"/>
        <v>6187.9245833435371</v>
      </c>
      <c r="DJ148" s="196">
        <f t="shared" si="422"/>
        <v>79155.462531036479</v>
      </c>
      <c r="DK148" s="197">
        <f t="shared" si="423"/>
        <v>4297.062885375005</v>
      </c>
      <c r="DL148" s="197">
        <f t="shared" si="424"/>
        <v>0</v>
      </c>
      <c r="DM148" s="197">
        <f t="shared" si="425"/>
        <v>79155.462531036479</v>
      </c>
      <c r="DN148" s="199">
        <f t="shared" si="426"/>
        <v>83452.525416411474</v>
      </c>
    </row>
    <row r="149" spans="2:118" x14ac:dyDescent="0.3">
      <c r="B149" s="895">
        <v>12</v>
      </c>
      <c r="C149" s="906">
        <f>'Arable Inputs'!$H$18</f>
        <v>12</v>
      </c>
      <c r="D149" s="757">
        <f>'Arable Inputs'!$H$25</f>
        <v>724</v>
      </c>
      <c r="E149" s="759">
        <f t="shared" si="365"/>
        <v>8688</v>
      </c>
      <c r="F149" s="197">
        <f>'Arable NPV'!$D128</f>
        <v>471.64</v>
      </c>
      <c r="G149" s="197">
        <f t="shared" si="427"/>
        <v>9159.64</v>
      </c>
      <c r="H149" s="197">
        <f>'Arable NPV'!$F128</f>
        <v>2474.37212</v>
      </c>
      <c r="I149" s="197">
        <f>'Arable NPV'!$G128</f>
        <v>3226.3624</v>
      </c>
      <c r="J149" s="197">
        <f t="shared" si="366"/>
        <v>5700.73452</v>
      </c>
      <c r="K149" s="197">
        <f t="shared" si="367"/>
        <v>2987.26548</v>
      </c>
      <c r="L149" s="197">
        <f t="shared" si="368"/>
        <v>3458.9054799999994</v>
      </c>
      <c r="M149" s="196">
        <f t="shared" si="369"/>
        <v>5643.5591334216715</v>
      </c>
      <c r="N149" s="197">
        <f t="shared" si="370"/>
        <v>306.36835056249964</v>
      </c>
      <c r="O149" s="197">
        <f t="shared" si="371"/>
        <v>3703.0884400964787</v>
      </c>
      <c r="P149" s="197">
        <f t="shared" si="372"/>
        <v>1940.4706933251925</v>
      </c>
      <c r="Q149" s="197">
        <f t="shared" si="373"/>
        <v>2246.8390438876918</v>
      </c>
      <c r="R149" s="196">
        <f t="shared" si="374"/>
        <v>84799.021664458152</v>
      </c>
      <c r="S149" s="197">
        <f t="shared" si="374"/>
        <v>4603.4312359375044</v>
      </c>
      <c r="T149" s="197">
        <f t="shared" si="374"/>
        <v>55641.886517587984</v>
      </c>
      <c r="U149" s="197">
        <f t="shared" si="374"/>
        <v>29157.135146870158</v>
      </c>
      <c r="V149" s="199">
        <f t="shared" si="374"/>
        <v>33760.56638280765</v>
      </c>
      <c r="Z149" s="895">
        <v>12</v>
      </c>
      <c r="AA149" s="906">
        <f>'Arable Inputs'!$H$18</f>
        <v>12</v>
      </c>
      <c r="AB149" s="757">
        <f>'Arable Inputs'!$H$25</f>
        <v>724</v>
      </c>
      <c r="AC149" s="759">
        <f t="shared" si="375"/>
        <v>8688</v>
      </c>
      <c r="AD149" s="197">
        <f>'Arable NPV'!$D128</f>
        <v>471.64</v>
      </c>
      <c r="AE149" s="197">
        <f t="shared" si="428"/>
        <v>9159.64</v>
      </c>
      <c r="AF149" s="197">
        <f>'Arable NPV'!$F128</f>
        <v>2474.37212</v>
      </c>
      <c r="AG149" s="197">
        <f>'Arable NPV'!$G128</f>
        <v>3226.3624</v>
      </c>
      <c r="AH149" s="197">
        <f t="shared" si="361"/>
        <v>8551.1017800000009</v>
      </c>
      <c r="AI149" s="197">
        <f t="shared" si="376"/>
        <v>136.89821999999913</v>
      </c>
      <c r="AJ149" s="197">
        <f t="shared" si="377"/>
        <v>608.53821999999855</v>
      </c>
      <c r="AK149" s="196">
        <f t="shared" si="378"/>
        <v>5643.5591334216715</v>
      </c>
      <c r="AL149" s="197">
        <f t="shared" si="379"/>
        <v>306.36835056249964</v>
      </c>
      <c r="AM149" s="197">
        <f t="shared" si="380"/>
        <v>5554.632660144719</v>
      </c>
      <c r="AN149" s="197">
        <f t="shared" si="381"/>
        <v>88.92647327695262</v>
      </c>
      <c r="AO149" s="197">
        <f t="shared" si="382"/>
        <v>395.29482383945191</v>
      </c>
      <c r="AP149" s="196">
        <f t="shared" si="383"/>
        <v>84799.021664458152</v>
      </c>
      <c r="AQ149" s="197">
        <f t="shared" si="384"/>
        <v>4603.4312359375044</v>
      </c>
      <c r="AR149" s="197">
        <f t="shared" si="385"/>
        <v>83462.829776381986</v>
      </c>
      <c r="AS149" s="197">
        <f t="shared" si="386"/>
        <v>1336.1918880761607</v>
      </c>
      <c r="AT149" s="199">
        <f t="shared" si="387"/>
        <v>5939.6231240136594</v>
      </c>
      <c r="AX149" s="895">
        <v>12</v>
      </c>
      <c r="AY149" s="906">
        <f>'Arable Inputs'!$H$18</f>
        <v>12</v>
      </c>
      <c r="AZ149" s="757">
        <f>'Arable Inputs'!$H$25</f>
        <v>724</v>
      </c>
      <c r="BA149" s="759">
        <f t="shared" si="388"/>
        <v>8688</v>
      </c>
      <c r="BB149" s="197">
        <f>'Arable NPV'!$D128</f>
        <v>471.64</v>
      </c>
      <c r="BC149" s="197">
        <f t="shared" si="429"/>
        <v>9159.64</v>
      </c>
      <c r="BD149" s="197">
        <f>'Arable NPV'!$F128</f>
        <v>2474.37212</v>
      </c>
      <c r="BE149" s="197">
        <f>'Arable NPV'!$G128</f>
        <v>3226.3624</v>
      </c>
      <c r="BF149" s="197">
        <f t="shared" si="362"/>
        <v>2850.36726</v>
      </c>
      <c r="BG149" s="197">
        <f t="shared" si="389"/>
        <v>5837.63274</v>
      </c>
      <c r="BH149" s="197">
        <f t="shared" si="390"/>
        <v>6309.2727399999994</v>
      </c>
      <c r="BI149" s="196">
        <f t="shared" si="391"/>
        <v>5643.5591334216715</v>
      </c>
      <c r="BJ149" s="197">
        <f t="shared" si="392"/>
        <v>306.36835056249964</v>
      </c>
      <c r="BK149" s="197">
        <f t="shared" si="393"/>
        <v>1851.5442200482394</v>
      </c>
      <c r="BL149" s="197">
        <f t="shared" si="394"/>
        <v>3792.0149133734321</v>
      </c>
      <c r="BM149" s="197">
        <f t="shared" si="395"/>
        <v>4098.3832639359316</v>
      </c>
      <c r="BN149" s="196">
        <f t="shared" si="396"/>
        <v>84799.021664458152</v>
      </c>
      <c r="BO149" s="197">
        <f t="shared" si="397"/>
        <v>4603.4312359375044</v>
      </c>
      <c r="BP149" s="197">
        <f t="shared" si="398"/>
        <v>27820.943258793992</v>
      </c>
      <c r="BQ149" s="197">
        <f t="shared" si="399"/>
        <v>56978.07840566415</v>
      </c>
      <c r="BR149" s="199">
        <f t="shared" si="400"/>
        <v>61581.509641601646</v>
      </c>
      <c r="BV149" s="895">
        <v>12</v>
      </c>
      <c r="BW149" s="906">
        <f>'Arable Inputs'!$H$18</f>
        <v>12</v>
      </c>
      <c r="BX149" s="757">
        <f>'Arable Inputs'!$H$25</f>
        <v>724</v>
      </c>
      <c r="BY149" s="759">
        <f t="shared" si="401"/>
        <v>8688</v>
      </c>
      <c r="BZ149" s="197">
        <f>'Arable NPV'!$D128</f>
        <v>471.64</v>
      </c>
      <c r="CA149" s="197">
        <f t="shared" si="430"/>
        <v>9159.64</v>
      </c>
      <c r="CB149" s="197">
        <f>'Arable NPV'!$F128</f>
        <v>2474.37212</v>
      </c>
      <c r="CC149" s="197">
        <f>'Arable NPV'!$G128</f>
        <v>3226.3624</v>
      </c>
      <c r="CD149" s="197">
        <f t="shared" si="363"/>
        <v>11401.46904</v>
      </c>
      <c r="CE149" s="197">
        <f t="shared" si="402"/>
        <v>-2713.4690399999999</v>
      </c>
      <c r="CF149" s="197">
        <f t="shared" si="403"/>
        <v>-2241.8290400000005</v>
      </c>
      <c r="CG149" s="196">
        <f t="shared" si="404"/>
        <v>5643.5591334216715</v>
      </c>
      <c r="CH149" s="197">
        <f t="shared" si="405"/>
        <v>306.36835056249964</v>
      </c>
      <c r="CI149" s="197">
        <f t="shared" si="406"/>
        <v>7406.1768801929575</v>
      </c>
      <c r="CJ149" s="197">
        <f t="shared" si="407"/>
        <v>-1762.6177467712862</v>
      </c>
      <c r="CK149" s="197">
        <f t="shared" si="408"/>
        <v>-1456.2493962087869</v>
      </c>
      <c r="CL149" s="196">
        <f t="shared" si="409"/>
        <v>84799.021664458152</v>
      </c>
      <c r="CM149" s="197">
        <f t="shared" si="410"/>
        <v>4603.4312359375044</v>
      </c>
      <c r="CN149" s="197">
        <f t="shared" si="411"/>
        <v>111283.77303517597</v>
      </c>
      <c r="CO149" s="197">
        <f t="shared" si="412"/>
        <v>-26484.751370717826</v>
      </c>
      <c r="CP149" s="199">
        <f t="shared" si="413"/>
        <v>-21881.320134780322</v>
      </c>
      <c r="CT149" s="895">
        <v>12</v>
      </c>
      <c r="CU149" s="906">
        <f>'Arable Inputs'!$H$18</f>
        <v>12</v>
      </c>
      <c r="CV149" s="757">
        <f>'Arable Inputs'!$H$25</f>
        <v>724</v>
      </c>
      <c r="CW149" s="759">
        <f t="shared" si="414"/>
        <v>8688</v>
      </c>
      <c r="CX149" s="197">
        <f>'Arable NPV'!$D128</f>
        <v>471.64</v>
      </c>
      <c r="CY149" s="197">
        <f t="shared" si="431"/>
        <v>9159.64</v>
      </c>
      <c r="CZ149" s="197">
        <f>'Arable NPV'!$F128</f>
        <v>2474.37212</v>
      </c>
      <c r="DA149" s="197">
        <f>'Arable NPV'!$G128</f>
        <v>3226.3624</v>
      </c>
      <c r="DB149" s="197">
        <f t="shared" si="364"/>
        <v>0</v>
      </c>
      <c r="DC149" s="197">
        <f t="shared" si="415"/>
        <v>8688</v>
      </c>
      <c r="DD149" s="197">
        <f t="shared" si="416"/>
        <v>9159.64</v>
      </c>
      <c r="DE149" s="196">
        <f t="shared" si="417"/>
        <v>5643.5591334216715</v>
      </c>
      <c r="DF149" s="197">
        <f t="shared" si="418"/>
        <v>306.36835056249964</v>
      </c>
      <c r="DG149" s="197">
        <f t="shared" si="419"/>
        <v>0</v>
      </c>
      <c r="DH149" s="197">
        <f t="shared" si="420"/>
        <v>5643.5591334216715</v>
      </c>
      <c r="DI149" s="197">
        <f t="shared" si="421"/>
        <v>5949.927483984171</v>
      </c>
      <c r="DJ149" s="196">
        <f t="shared" si="422"/>
        <v>84799.021664458152</v>
      </c>
      <c r="DK149" s="197">
        <f t="shared" si="423"/>
        <v>4603.4312359375044</v>
      </c>
      <c r="DL149" s="197">
        <f t="shared" si="424"/>
        <v>0</v>
      </c>
      <c r="DM149" s="197">
        <f t="shared" si="425"/>
        <v>84799.021664458152</v>
      </c>
      <c r="DN149" s="199">
        <f t="shared" si="426"/>
        <v>89402.452900395641</v>
      </c>
    </row>
    <row r="150" spans="2:118" x14ac:dyDescent="0.3">
      <c r="B150" s="895">
        <v>13</v>
      </c>
      <c r="C150" s="906">
        <f>'Arable Inputs'!$H$18</f>
        <v>12</v>
      </c>
      <c r="D150" s="757">
        <f>'Arable Inputs'!$H$25</f>
        <v>724</v>
      </c>
      <c r="E150" s="759">
        <f t="shared" si="365"/>
        <v>8688</v>
      </c>
      <c r="F150" s="197">
        <f>'Arable NPV'!$D129</f>
        <v>471.64</v>
      </c>
      <c r="G150" s="197">
        <f t="shared" si="427"/>
        <v>9159.64</v>
      </c>
      <c r="H150" s="197">
        <f>'Arable NPV'!$F129</f>
        <v>2474.37212</v>
      </c>
      <c r="I150" s="197">
        <f>'Arable NPV'!$G129</f>
        <v>3226.3624</v>
      </c>
      <c r="J150" s="197">
        <f t="shared" si="366"/>
        <v>5700.73452</v>
      </c>
      <c r="K150" s="197">
        <f t="shared" si="367"/>
        <v>2987.26548</v>
      </c>
      <c r="L150" s="197">
        <f t="shared" si="368"/>
        <v>3458.9054799999994</v>
      </c>
      <c r="M150" s="196">
        <f t="shared" si="369"/>
        <v>5426.499166751606</v>
      </c>
      <c r="N150" s="197">
        <f t="shared" si="370"/>
        <v>294.58495246394193</v>
      </c>
      <c r="O150" s="197">
        <f t="shared" si="371"/>
        <v>3560.6619616312287</v>
      </c>
      <c r="P150" s="197">
        <f t="shared" si="372"/>
        <v>1865.8372051203771</v>
      </c>
      <c r="Q150" s="197">
        <f t="shared" si="373"/>
        <v>2160.4221575843185</v>
      </c>
      <c r="R150" s="196">
        <f t="shared" si="374"/>
        <v>90225.520831209753</v>
      </c>
      <c r="S150" s="197">
        <f t="shared" si="374"/>
        <v>4898.016188401446</v>
      </c>
      <c r="T150" s="197">
        <f t="shared" si="374"/>
        <v>59202.548479219215</v>
      </c>
      <c r="U150" s="197">
        <f t="shared" si="374"/>
        <v>31022.972351990535</v>
      </c>
      <c r="V150" s="199">
        <f t="shared" si="374"/>
        <v>35920.988540391969</v>
      </c>
      <c r="Z150" s="895">
        <v>13</v>
      </c>
      <c r="AA150" s="906">
        <f>'Arable Inputs'!$H$18</f>
        <v>12</v>
      </c>
      <c r="AB150" s="757">
        <f>'Arable Inputs'!$H$25</f>
        <v>724</v>
      </c>
      <c r="AC150" s="759">
        <f t="shared" si="375"/>
        <v>8688</v>
      </c>
      <c r="AD150" s="197">
        <f>'Arable NPV'!$D129</f>
        <v>471.64</v>
      </c>
      <c r="AE150" s="197">
        <f t="shared" si="428"/>
        <v>9159.64</v>
      </c>
      <c r="AF150" s="197">
        <f>'Arable NPV'!$F129</f>
        <v>2474.37212</v>
      </c>
      <c r="AG150" s="197">
        <f>'Arable NPV'!$G129</f>
        <v>3226.3624</v>
      </c>
      <c r="AH150" s="197">
        <f t="shared" si="361"/>
        <v>8551.1017800000009</v>
      </c>
      <c r="AI150" s="197">
        <f t="shared" si="376"/>
        <v>136.89821999999913</v>
      </c>
      <c r="AJ150" s="197">
        <f t="shared" si="377"/>
        <v>608.53821999999855</v>
      </c>
      <c r="AK150" s="196">
        <f t="shared" si="378"/>
        <v>5426.499166751606</v>
      </c>
      <c r="AL150" s="197">
        <f t="shared" si="379"/>
        <v>294.58495246394193</v>
      </c>
      <c r="AM150" s="197">
        <f t="shared" si="380"/>
        <v>5340.9929424468437</v>
      </c>
      <c r="AN150" s="197">
        <f t="shared" si="381"/>
        <v>85.506224304762114</v>
      </c>
      <c r="AO150" s="197">
        <f t="shared" si="382"/>
        <v>380.09117676870369</v>
      </c>
      <c r="AP150" s="196">
        <f t="shared" si="383"/>
        <v>90225.520831209753</v>
      </c>
      <c r="AQ150" s="197">
        <f t="shared" si="384"/>
        <v>4898.016188401446</v>
      </c>
      <c r="AR150" s="197">
        <f t="shared" si="385"/>
        <v>88803.822718828829</v>
      </c>
      <c r="AS150" s="197">
        <f t="shared" si="386"/>
        <v>1421.6981123809228</v>
      </c>
      <c r="AT150" s="199">
        <f t="shared" si="387"/>
        <v>6319.7143007823634</v>
      </c>
      <c r="AX150" s="895">
        <v>13</v>
      </c>
      <c r="AY150" s="906">
        <f>'Arable Inputs'!$H$18</f>
        <v>12</v>
      </c>
      <c r="AZ150" s="757">
        <f>'Arable Inputs'!$H$25</f>
        <v>724</v>
      </c>
      <c r="BA150" s="759">
        <f t="shared" si="388"/>
        <v>8688</v>
      </c>
      <c r="BB150" s="197">
        <f>'Arable NPV'!$D129</f>
        <v>471.64</v>
      </c>
      <c r="BC150" s="197">
        <f t="shared" si="429"/>
        <v>9159.64</v>
      </c>
      <c r="BD150" s="197">
        <f>'Arable NPV'!$F129</f>
        <v>2474.37212</v>
      </c>
      <c r="BE150" s="197">
        <f>'Arable NPV'!$G129</f>
        <v>3226.3624</v>
      </c>
      <c r="BF150" s="197">
        <f t="shared" si="362"/>
        <v>2850.36726</v>
      </c>
      <c r="BG150" s="197">
        <f t="shared" si="389"/>
        <v>5837.63274</v>
      </c>
      <c r="BH150" s="197">
        <f t="shared" si="390"/>
        <v>6309.2727399999994</v>
      </c>
      <c r="BI150" s="196">
        <f t="shared" si="391"/>
        <v>5426.499166751606</v>
      </c>
      <c r="BJ150" s="197">
        <f t="shared" si="392"/>
        <v>294.58495246394193</v>
      </c>
      <c r="BK150" s="197">
        <f t="shared" si="393"/>
        <v>1780.3309808156143</v>
      </c>
      <c r="BL150" s="197">
        <f t="shared" si="394"/>
        <v>3646.1681859359915</v>
      </c>
      <c r="BM150" s="197">
        <f t="shared" si="395"/>
        <v>3940.7531383999331</v>
      </c>
      <c r="BN150" s="196">
        <f t="shared" si="396"/>
        <v>90225.520831209753</v>
      </c>
      <c r="BO150" s="197">
        <f t="shared" si="397"/>
        <v>4898.016188401446</v>
      </c>
      <c r="BP150" s="197">
        <f t="shared" si="398"/>
        <v>29601.274239609607</v>
      </c>
      <c r="BQ150" s="197">
        <f t="shared" si="399"/>
        <v>60624.246591600138</v>
      </c>
      <c r="BR150" s="199">
        <f t="shared" si="400"/>
        <v>65522.262780001576</v>
      </c>
      <c r="BV150" s="895">
        <v>13</v>
      </c>
      <c r="BW150" s="906">
        <f>'Arable Inputs'!$H$18</f>
        <v>12</v>
      </c>
      <c r="BX150" s="757">
        <f>'Arable Inputs'!$H$25</f>
        <v>724</v>
      </c>
      <c r="BY150" s="759">
        <f t="shared" si="401"/>
        <v>8688</v>
      </c>
      <c r="BZ150" s="197">
        <f>'Arable NPV'!$D129</f>
        <v>471.64</v>
      </c>
      <c r="CA150" s="197">
        <f t="shared" si="430"/>
        <v>9159.64</v>
      </c>
      <c r="CB150" s="197">
        <f>'Arable NPV'!$F129</f>
        <v>2474.37212</v>
      </c>
      <c r="CC150" s="197">
        <f>'Arable NPV'!$G129</f>
        <v>3226.3624</v>
      </c>
      <c r="CD150" s="197">
        <f t="shared" si="363"/>
        <v>11401.46904</v>
      </c>
      <c r="CE150" s="197">
        <f t="shared" si="402"/>
        <v>-2713.4690399999999</v>
      </c>
      <c r="CF150" s="197">
        <f t="shared" si="403"/>
        <v>-2241.8290400000005</v>
      </c>
      <c r="CG150" s="196">
        <f t="shared" si="404"/>
        <v>5426.499166751606</v>
      </c>
      <c r="CH150" s="197">
        <f t="shared" si="405"/>
        <v>294.58495246394193</v>
      </c>
      <c r="CI150" s="197">
        <f t="shared" si="406"/>
        <v>7121.3239232624574</v>
      </c>
      <c r="CJ150" s="197">
        <f t="shared" si="407"/>
        <v>-1694.8247565108518</v>
      </c>
      <c r="CK150" s="197">
        <f t="shared" si="408"/>
        <v>-1400.2398040469102</v>
      </c>
      <c r="CL150" s="196">
        <f t="shared" si="409"/>
        <v>90225.520831209753</v>
      </c>
      <c r="CM150" s="197">
        <f t="shared" si="410"/>
        <v>4898.016188401446</v>
      </c>
      <c r="CN150" s="197">
        <f t="shared" si="411"/>
        <v>118405.09695843843</v>
      </c>
      <c r="CO150" s="197">
        <f t="shared" si="412"/>
        <v>-28179.576127228676</v>
      </c>
      <c r="CP150" s="199">
        <f t="shared" si="413"/>
        <v>-23281.559938827231</v>
      </c>
      <c r="CT150" s="895">
        <v>13</v>
      </c>
      <c r="CU150" s="906">
        <f>'Arable Inputs'!$H$18</f>
        <v>12</v>
      </c>
      <c r="CV150" s="757">
        <f>'Arable Inputs'!$H$25</f>
        <v>724</v>
      </c>
      <c r="CW150" s="759">
        <f t="shared" si="414"/>
        <v>8688</v>
      </c>
      <c r="CX150" s="197">
        <f>'Arable NPV'!$D129</f>
        <v>471.64</v>
      </c>
      <c r="CY150" s="197">
        <f t="shared" si="431"/>
        <v>9159.64</v>
      </c>
      <c r="CZ150" s="197">
        <f>'Arable NPV'!$F129</f>
        <v>2474.37212</v>
      </c>
      <c r="DA150" s="197">
        <f>'Arable NPV'!$G129</f>
        <v>3226.3624</v>
      </c>
      <c r="DB150" s="197">
        <f t="shared" si="364"/>
        <v>0</v>
      </c>
      <c r="DC150" s="197">
        <f t="shared" si="415"/>
        <v>8688</v>
      </c>
      <c r="DD150" s="197">
        <f t="shared" si="416"/>
        <v>9159.64</v>
      </c>
      <c r="DE150" s="196">
        <f t="shared" si="417"/>
        <v>5426.499166751606</v>
      </c>
      <c r="DF150" s="197">
        <f t="shared" si="418"/>
        <v>294.58495246394193</v>
      </c>
      <c r="DG150" s="197">
        <f t="shared" si="419"/>
        <v>0</v>
      </c>
      <c r="DH150" s="197">
        <f t="shared" si="420"/>
        <v>5426.499166751606</v>
      </c>
      <c r="DI150" s="197">
        <f t="shared" si="421"/>
        <v>5721.0841192155476</v>
      </c>
      <c r="DJ150" s="196">
        <f t="shared" si="422"/>
        <v>90225.520831209753</v>
      </c>
      <c r="DK150" s="197">
        <f t="shared" si="423"/>
        <v>4898.016188401446</v>
      </c>
      <c r="DL150" s="197">
        <f t="shared" si="424"/>
        <v>0</v>
      </c>
      <c r="DM150" s="197">
        <f t="shared" si="425"/>
        <v>90225.520831209753</v>
      </c>
      <c r="DN150" s="199">
        <f t="shared" si="426"/>
        <v>95123.537019611191</v>
      </c>
    </row>
    <row r="151" spans="2:118" x14ac:dyDescent="0.3">
      <c r="B151" s="895">
        <v>14</v>
      </c>
      <c r="C151" s="906">
        <f>'Arable Inputs'!$H$18</f>
        <v>12</v>
      </c>
      <c r="D151" s="757">
        <f>'Arable Inputs'!$H$25</f>
        <v>724</v>
      </c>
      <c r="E151" s="759">
        <f t="shared" si="365"/>
        <v>8688</v>
      </c>
      <c r="F151" s="197">
        <f>'Arable NPV'!$D130</f>
        <v>471.64</v>
      </c>
      <c r="G151" s="197">
        <f t="shared" si="427"/>
        <v>9159.64</v>
      </c>
      <c r="H151" s="197">
        <f>'Arable NPV'!$F130</f>
        <v>2474.37212</v>
      </c>
      <c r="I151" s="197">
        <f>'Arable NPV'!$G130</f>
        <v>3226.3624</v>
      </c>
      <c r="J151" s="197">
        <f t="shared" si="366"/>
        <v>5700.73452</v>
      </c>
      <c r="K151" s="197">
        <f t="shared" si="367"/>
        <v>2987.26548</v>
      </c>
      <c r="L151" s="197">
        <f t="shared" si="368"/>
        <v>3458.9054799999994</v>
      </c>
      <c r="M151" s="196">
        <f t="shared" si="369"/>
        <v>5217.7876603380828</v>
      </c>
      <c r="N151" s="197">
        <f t="shared" si="370"/>
        <v>283.25476198455954</v>
      </c>
      <c r="O151" s="197">
        <f t="shared" si="371"/>
        <v>3423.713424645412</v>
      </c>
      <c r="P151" s="197">
        <f t="shared" si="372"/>
        <v>1794.0742356926703</v>
      </c>
      <c r="Q151" s="197">
        <f t="shared" si="373"/>
        <v>2077.3289976772294</v>
      </c>
      <c r="R151" s="196">
        <f t="shared" si="374"/>
        <v>95443.308491547839</v>
      </c>
      <c r="S151" s="197">
        <f t="shared" si="374"/>
        <v>5181.270950386006</v>
      </c>
      <c r="T151" s="197">
        <f t="shared" si="374"/>
        <v>62626.26190386463</v>
      </c>
      <c r="U151" s="197">
        <f t="shared" si="374"/>
        <v>32817.046587683202</v>
      </c>
      <c r="V151" s="199">
        <f t="shared" si="374"/>
        <v>37998.317538069197</v>
      </c>
      <c r="Z151" s="895">
        <v>14</v>
      </c>
      <c r="AA151" s="906">
        <f>'Arable Inputs'!$H$18</f>
        <v>12</v>
      </c>
      <c r="AB151" s="757">
        <f>'Arable Inputs'!$H$25</f>
        <v>724</v>
      </c>
      <c r="AC151" s="759">
        <f t="shared" si="375"/>
        <v>8688</v>
      </c>
      <c r="AD151" s="197">
        <f>'Arable NPV'!$D130</f>
        <v>471.64</v>
      </c>
      <c r="AE151" s="197">
        <f t="shared" si="428"/>
        <v>9159.64</v>
      </c>
      <c r="AF151" s="197">
        <f>'Arable NPV'!$F130</f>
        <v>2474.37212</v>
      </c>
      <c r="AG151" s="197">
        <f>'Arable NPV'!$G130</f>
        <v>3226.3624</v>
      </c>
      <c r="AH151" s="197">
        <f t="shared" si="361"/>
        <v>8551.1017800000009</v>
      </c>
      <c r="AI151" s="197">
        <f t="shared" si="376"/>
        <v>136.89821999999913</v>
      </c>
      <c r="AJ151" s="197">
        <f t="shared" si="377"/>
        <v>608.53821999999855</v>
      </c>
      <c r="AK151" s="196">
        <f t="shared" si="378"/>
        <v>5217.7876603380828</v>
      </c>
      <c r="AL151" s="197">
        <f t="shared" si="379"/>
        <v>283.25476198455954</v>
      </c>
      <c r="AM151" s="197">
        <f t="shared" si="380"/>
        <v>5135.5701369681192</v>
      </c>
      <c r="AN151" s="197">
        <f t="shared" si="381"/>
        <v>82.217523369963573</v>
      </c>
      <c r="AO151" s="197">
        <f t="shared" si="382"/>
        <v>365.47228535452274</v>
      </c>
      <c r="AP151" s="196">
        <f t="shared" si="383"/>
        <v>95443.308491547839</v>
      </c>
      <c r="AQ151" s="197">
        <f t="shared" si="384"/>
        <v>5181.270950386006</v>
      </c>
      <c r="AR151" s="197">
        <f t="shared" si="385"/>
        <v>93939.392855796948</v>
      </c>
      <c r="AS151" s="197">
        <f t="shared" si="386"/>
        <v>1503.9156357508864</v>
      </c>
      <c r="AT151" s="199">
        <f t="shared" si="387"/>
        <v>6685.186586136886</v>
      </c>
      <c r="AX151" s="895">
        <v>14</v>
      </c>
      <c r="AY151" s="906">
        <f>'Arable Inputs'!$H$18</f>
        <v>12</v>
      </c>
      <c r="AZ151" s="757">
        <f>'Arable Inputs'!$H$25</f>
        <v>724</v>
      </c>
      <c r="BA151" s="759">
        <f t="shared" si="388"/>
        <v>8688</v>
      </c>
      <c r="BB151" s="197">
        <f>'Arable NPV'!$D130</f>
        <v>471.64</v>
      </c>
      <c r="BC151" s="197">
        <f t="shared" si="429"/>
        <v>9159.64</v>
      </c>
      <c r="BD151" s="197">
        <f>'Arable NPV'!$F130</f>
        <v>2474.37212</v>
      </c>
      <c r="BE151" s="197">
        <f>'Arable NPV'!$G130</f>
        <v>3226.3624</v>
      </c>
      <c r="BF151" s="197">
        <f t="shared" si="362"/>
        <v>2850.36726</v>
      </c>
      <c r="BG151" s="197">
        <f t="shared" si="389"/>
        <v>5837.63274</v>
      </c>
      <c r="BH151" s="197">
        <f t="shared" si="390"/>
        <v>6309.2727399999994</v>
      </c>
      <c r="BI151" s="196">
        <f t="shared" si="391"/>
        <v>5217.7876603380828</v>
      </c>
      <c r="BJ151" s="197">
        <f t="shared" si="392"/>
        <v>283.25476198455954</v>
      </c>
      <c r="BK151" s="197">
        <f t="shared" si="393"/>
        <v>1711.856712322706</v>
      </c>
      <c r="BL151" s="197">
        <f t="shared" si="394"/>
        <v>3505.9309480153765</v>
      </c>
      <c r="BM151" s="197">
        <f t="shared" si="395"/>
        <v>3789.1857099999356</v>
      </c>
      <c r="BN151" s="196">
        <f t="shared" si="396"/>
        <v>95443.308491547839</v>
      </c>
      <c r="BO151" s="197">
        <f t="shared" si="397"/>
        <v>5181.270950386006</v>
      </c>
      <c r="BP151" s="197">
        <f t="shared" si="398"/>
        <v>31313.130951932315</v>
      </c>
      <c r="BQ151" s="197">
        <f t="shared" si="399"/>
        <v>64130.177539615514</v>
      </c>
      <c r="BR151" s="199">
        <f t="shared" si="400"/>
        <v>69311.448490001509</v>
      </c>
      <c r="BV151" s="895">
        <v>14</v>
      </c>
      <c r="BW151" s="906">
        <f>'Arable Inputs'!$H$18</f>
        <v>12</v>
      </c>
      <c r="BX151" s="757">
        <f>'Arable Inputs'!$H$25</f>
        <v>724</v>
      </c>
      <c r="BY151" s="759">
        <f t="shared" si="401"/>
        <v>8688</v>
      </c>
      <c r="BZ151" s="197">
        <f>'Arable NPV'!$D130</f>
        <v>471.64</v>
      </c>
      <c r="CA151" s="197">
        <f t="shared" si="430"/>
        <v>9159.64</v>
      </c>
      <c r="CB151" s="197">
        <f>'Arable NPV'!$F130</f>
        <v>2474.37212</v>
      </c>
      <c r="CC151" s="197">
        <f>'Arable NPV'!$G130</f>
        <v>3226.3624</v>
      </c>
      <c r="CD151" s="197">
        <f t="shared" si="363"/>
        <v>11401.46904</v>
      </c>
      <c r="CE151" s="197">
        <f t="shared" si="402"/>
        <v>-2713.4690399999999</v>
      </c>
      <c r="CF151" s="197">
        <f t="shared" si="403"/>
        <v>-2241.8290400000005</v>
      </c>
      <c r="CG151" s="196">
        <f t="shared" si="404"/>
        <v>5217.7876603380828</v>
      </c>
      <c r="CH151" s="197">
        <f t="shared" si="405"/>
        <v>283.25476198455954</v>
      </c>
      <c r="CI151" s="197">
        <f t="shared" si="406"/>
        <v>6847.4268492908241</v>
      </c>
      <c r="CJ151" s="197">
        <f t="shared" si="407"/>
        <v>-1629.639188952742</v>
      </c>
      <c r="CK151" s="197">
        <f t="shared" si="408"/>
        <v>-1346.3844269681829</v>
      </c>
      <c r="CL151" s="196">
        <f t="shared" si="409"/>
        <v>95443.308491547839</v>
      </c>
      <c r="CM151" s="197">
        <f t="shared" si="410"/>
        <v>5181.270950386006</v>
      </c>
      <c r="CN151" s="197">
        <f t="shared" si="411"/>
        <v>125252.52380772926</v>
      </c>
      <c r="CO151" s="197">
        <f t="shared" si="412"/>
        <v>-29809.215316181417</v>
      </c>
      <c r="CP151" s="199">
        <f t="shared" si="413"/>
        <v>-24627.944365795414</v>
      </c>
      <c r="CT151" s="895">
        <v>14</v>
      </c>
      <c r="CU151" s="906">
        <f>'Arable Inputs'!$H$18</f>
        <v>12</v>
      </c>
      <c r="CV151" s="757">
        <f>'Arable Inputs'!$H$25</f>
        <v>724</v>
      </c>
      <c r="CW151" s="759">
        <f t="shared" si="414"/>
        <v>8688</v>
      </c>
      <c r="CX151" s="197">
        <f>'Arable NPV'!$D130</f>
        <v>471.64</v>
      </c>
      <c r="CY151" s="197">
        <f t="shared" si="431"/>
        <v>9159.64</v>
      </c>
      <c r="CZ151" s="197">
        <f>'Arable NPV'!$F130</f>
        <v>2474.37212</v>
      </c>
      <c r="DA151" s="197">
        <f>'Arable NPV'!$G130</f>
        <v>3226.3624</v>
      </c>
      <c r="DB151" s="197">
        <f t="shared" si="364"/>
        <v>0</v>
      </c>
      <c r="DC151" s="197">
        <f t="shared" si="415"/>
        <v>8688</v>
      </c>
      <c r="DD151" s="197">
        <f t="shared" si="416"/>
        <v>9159.64</v>
      </c>
      <c r="DE151" s="196">
        <f t="shared" si="417"/>
        <v>5217.7876603380828</v>
      </c>
      <c r="DF151" s="197">
        <f t="shared" si="418"/>
        <v>283.25476198455954</v>
      </c>
      <c r="DG151" s="197">
        <f t="shared" si="419"/>
        <v>0</v>
      </c>
      <c r="DH151" s="197">
        <f t="shared" si="420"/>
        <v>5217.7876603380828</v>
      </c>
      <c r="DI151" s="197">
        <f t="shared" si="421"/>
        <v>5501.0424223226419</v>
      </c>
      <c r="DJ151" s="196">
        <f t="shared" si="422"/>
        <v>95443.308491547839</v>
      </c>
      <c r="DK151" s="197">
        <f t="shared" si="423"/>
        <v>5181.270950386006</v>
      </c>
      <c r="DL151" s="197">
        <f t="shared" si="424"/>
        <v>0</v>
      </c>
      <c r="DM151" s="197">
        <f t="shared" si="425"/>
        <v>95443.308491547839</v>
      </c>
      <c r="DN151" s="199">
        <f t="shared" si="426"/>
        <v>100624.57944193383</v>
      </c>
    </row>
    <row r="152" spans="2:118" x14ac:dyDescent="0.3">
      <c r="B152" s="895">
        <v>15</v>
      </c>
      <c r="C152" s="906">
        <f>'Arable Inputs'!$H$18</f>
        <v>12</v>
      </c>
      <c r="D152" s="757">
        <f>'Arable Inputs'!$H$25</f>
        <v>724</v>
      </c>
      <c r="E152" s="759">
        <f t="shared" si="365"/>
        <v>8688</v>
      </c>
      <c r="F152" s="197">
        <f>'Arable NPV'!$D131</f>
        <v>471.64</v>
      </c>
      <c r="G152" s="197">
        <f t="shared" si="427"/>
        <v>9159.64</v>
      </c>
      <c r="H152" s="197">
        <f>'Arable NPV'!$F131</f>
        <v>2474.37212</v>
      </c>
      <c r="I152" s="197">
        <f>'Arable NPV'!$G131</f>
        <v>3226.3624</v>
      </c>
      <c r="J152" s="197">
        <f t="shared" si="366"/>
        <v>5700.73452</v>
      </c>
      <c r="K152" s="197">
        <f t="shared" si="367"/>
        <v>2987.26548</v>
      </c>
      <c r="L152" s="197">
        <f t="shared" si="368"/>
        <v>3458.9054799999994</v>
      </c>
      <c r="M152" s="196">
        <f t="shared" si="369"/>
        <v>5017.1035195558488</v>
      </c>
      <c r="N152" s="197">
        <f t="shared" si="370"/>
        <v>272.36034806207647</v>
      </c>
      <c r="O152" s="197">
        <f t="shared" si="371"/>
        <v>3292.0321390821273</v>
      </c>
      <c r="P152" s="197">
        <f t="shared" si="372"/>
        <v>1725.0713804737213</v>
      </c>
      <c r="Q152" s="197">
        <f t="shared" si="373"/>
        <v>1997.4317285357974</v>
      </c>
      <c r="R152" s="196">
        <f t="shared" si="374"/>
        <v>100460.41201110369</v>
      </c>
      <c r="S152" s="197">
        <f t="shared" si="374"/>
        <v>5453.6312984480828</v>
      </c>
      <c r="T152" s="197">
        <f t="shared" si="374"/>
        <v>65918.294042946756</v>
      </c>
      <c r="U152" s="197">
        <f t="shared" si="374"/>
        <v>34542.117968156927</v>
      </c>
      <c r="V152" s="199">
        <f t="shared" si="374"/>
        <v>39995.749266604995</v>
      </c>
      <c r="Z152" s="895">
        <v>15</v>
      </c>
      <c r="AA152" s="906">
        <f>'Arable Inputs'!$H$18</f>
        <v>12</v>
      </c>
      <c r="AB152" s="757">
        <f>'Arable Inputs'!$H$25</f>
        <v>724</v>
      </c>
      <c r="AC152" s="759">
        <f t="shared" si="375"/>
        <v>8688</v>
      </c>
      <c r="AD152" s="197">
        <f>'Arable NPV'!$D131</f>
        <v>471.64</v>
      </c>
      <c r="AE152" s="197">
        <f t="shared" si="428"/>
        <v>9159.64</v>
      </c>
      <c r="AF152" s="197">
        <f>'Arable NPV'!$F131</f>
        <v>2474.37212</v>
      </c>
      <c r="AG152" s="197">
        <f>'Arable NPV'!$G131</f>
        <v>3226.3624</v>
      </c>
      <c r="AH152" s="197">
        <f t="shared" si="361"/>
        <v>8551.1017800000009</v>
      </c>
      <c r="AI152" s="197">
        <f t="shared" si="376"/>
        <v>136.89821999999913</v>
      </c>
      <c r="AJ152" s="197">
        <f t="shared" si="377"/>
        <v>608.53821999999855</v>
      </c>
      <c r="AK152" s="196">
        <f t="shared" si="378"/>
        <v>5017.1035195558488</v>
      </c>
      <c r="AL152" s="197">
        <f t="shared" si="379"/>
        <v>272.36034806207647</v>
      </c>
      <c r="AM152" s="197">
        <f t="shared" si="380"/>
        <v>4938.0482086231914</v>
      </c>
      <c r="AN152" s="197">
        <f t="shared" si="381"/>
        <v>79.055310932657278</v>
      </c>
      <c r="AO152" s="197">
        <f t="shared" si="382"/>
        <v>351.41565899473341</v>
      </c>
      <c r="AP152" s="196">
        <f t="shared" si="383"/>
        <v>100460.41201110369</v>
      </c>
      <c r="AQ152" s="197">
        <f t="shared" si="384"/>
        <v>5453.6312984480828</v>
      </c>
      <c r="AR152" s="197">
        <f t="shared" si="385"/>
        <v>98877.441064420142</v>
      </c>
      <c r="AS152" s="197">
        <f t="shared" si="386"/>
        <v>1582.9709466835436</v>
      </c>
      <c r="AT152" s="199">
        <f t="shared" si="387"/>
        <v>7036.6022451316194</v>
      </c>
      <c r="AX152" s="895">
        <v>15</v>
      </c>
      <c r="AY152" s="906">
        <f>'Arable Inputs'!$H$18</f>
        <v>12</v>
      </c>
      <c r="AZ152" s="757">
        <f>'Arable Inputs'!$H$25</f>
        <v>724</v>
      </c>
      <c r="BA152" s="759">
        <f t="shared" si="388"/>
        <v>8688</v>
      </c>
      <c r="BB152" s="197">
        <f>'Arable NPV'!$D131</f>
        <v>471.64</v>
      </c>
      <c r="BC152" s="197">
        <f t="shared" si="429"/>
        <v>9159.64</v>
      </c>
      <c r="BD152" s="197">
        <f>'Arable NPV'!$F131</f>
        <v>2474.37212</v>
      </c>
      <c r="BE152" s="197">
        <f>'Arable NPV'!$G131</f>
        <v>3226.3624</v>
      </c>
      <c r="BF152" s="197">
        <f t="shared" si="362"/>
        <v>2850.36726</v>
      </c>
      <c r="BG152" s="197">
        <f t="shared" si="389"/>
        <v>5837.63274</v>
      </c>
      <c r="BH152" s="197">
        <f t="shared" si="390"/>
        <v>6309.2727399999994</v>
      </c>
      <c r="BI152" s="196">
        <f t="shared" si="391"/>
        <v>5017.1035195558488</v>
      </c>
      <c r="BJ152" s="197">
        <f t="shared" si="392"/>
        <v>272.36034806207647</v>
      </c>
      <c r="BK152" s="197">
        <f t="shared" si="393"/>
        <v>1646.0160695410636</v>
      </c>
      <c r="BL152" s="197">
        <f t="shared" si="394"/>
        <v>3371.0874500147852</v>
      </c>
      <c r="BM152" s="197">
        <f t="shared" si="395"/>
        <v>3643.4477980768611</v>
      </c>
      <c r="BN152" s="196">
        <f t="shared" si="396"/>
        <v>100460.41201110369</v>
      </c>
      <c r="BO152" s="197">
        <f t="shared" si="397"/>
        <v>5453.6312984480828</v>
      </c>
      <c r="BP152" s="197">
        <f t="shared" si="398"/>
        <v>32959.147021473378</v>
      </c>
      <c r="BQ152" s="197">
        <f t="shared" si="399"/>
        <v>67501.264989630305</v>
      </c>
      <c r="BR152" s="199">
        <f t="shared" si="400"/>
        <v>72954.896288078366</v>
      </c>
      <c r="BV152" s="895">
        <v>15</v>
      </c>
      <c r="BW152" s="906">
        <f>'Arable Inputs'!$H$18</f>
        <v>12</v>
      </c>
      <c r="BX152" s="757">
        <f>'Arable Inputs'!$H$25</f>
        <v>724</v>
      </c>
      <c r="BY152" s="759">
        <f t="shared" si="401"/>
        <v>8688</v>
      </c>
      <c r="BZ152" s="197">
        <f>'Arable NPV'!$D131</f>
        <v>471.64</v>
      </c>
      <c r="CA152" s="197">
        <f t="shared" si="430"/>
        <v>9159.64</v>
      </c>
      <c r="CB152" s="197">
        <f>'Arable NPV'!$F131</f>
        <v>2474.37212</v>
      </c>
      <c r="CC152" s="197">
        <f>'Arable NPV'!$G131</f>
        <v>3226.3624</v>
      </c>
      <c r="CD152" s="197">
        <f t="shared" si="363"/>
        <v>11401.46904</v>
      </c>
      <c r="CE152" s="197">
        <f t="shared" si="402"/>
        <v>-2713.4690399999999</v>
      </c>
      <c r="CF152" s="197">
        <f t="shared" si="403"/>
        <v>-2241.8290400000005</v>
      </c>
      <c r="CG152" s="196">
        <f t="shared" si="404"/>
        <v>5017.1035195558488</v>
      </c>
      <c r="CH152" s="197">
        <f t="shared" si="405"/>
        <v>272.36034806207647</v>
      </c>
      <c r="CI152" s="197">
        <f t="shared" si="406"/>
        <v>6584.0642781642546</v>
      </c>
      <c r="CJ152" s="197">
        <f t="shared" si="407"/>
        <v>-1566.9607586084057</v>
      </c>
      <c r="CK152" s="197">
        <f t="shared" si="408"/>
        <v>-1294.6004105463296</v>
      </c>
      <c r="CL152" s="196">
        <f t="shared" si="409"/>
        <v>100460.41201110369</v>
      </c>
      <c r="CM152" s="197">
        <f t="shared" si="410"/>
        <v>5453.6312984480828</v>
      </c>
      <c r="CN152" s="197">
        <f t="shared" si="411"/>
        <v>131836.58808589351</v>
      </c>
      <c r="CO152" s="197">
        <f t="shared" si="412"/>
        <v>-31376.176074789822</v>
      </c>
      <c r="CP152" s="199">
        <f t="shared" si="413"/>
        <v>-25922.544776341743</v>
      </c>
      <c r="CT152" s="895">
        <v>15</v>
      </c>
      <c r="CU152" s="906">
        <f>'Arable Inputs'!$H$18</f>
        <v>12</v>
      </c>
      <c r="CV152" s="757">
        <f>'Arable Inputs'!$H$25</f>
        <v>724</v>
      </c>
      <c r="CW152" s="759">
        <f t="shared" si="414"/>
        <v>8688</v>
      </c>
      <c r="CX152" s="197">
        <f>'Arable NPV'!$D131</f>
        <v>471.64</v>
      </c>
      <c r="CY152" s="197">
        <f t="shared" si="431"/>
        <v>9159.64</v>
      </c>
      <c r="CZ152" s="197">
        <f>'Arable NPV'!$F131</f>
        <v>2474.37212</v>
      </c>
      <c r="DA152" s="197">
        <f>'Arable NPV'!$G131</f>
        <v>3226.3624</v>
      </c>
      <c r="DB152" s="197">
        <f t="shared" si="364"/>
        <v>0</v>
      </c>
      <c r="DC152" s="197">
        <f t="shared" si="415"/>
        <v>8688</v>
      </c>
      <c r="DD152" s="197">
        <f t="shared" si="416"/>
        <v>9159.64</v>
      </c>
      <c r="DE152" s="196">
        <f t="shared" si="417"/>
        <v>5017.1035195558488</v>
      </c>
      <c r="DF152" s="197">
        <f t="shared" si="418"/>
        <v>272.36034806207647</v>
      </c>
      <c r="DG152" s="197">
        <f t="shared" si="419"/>
        <v>0</v>
      </c>
      <c r="DH152" s="197">
        <f t="shared" si="420"/>
        <v>5017.1035195558488</v>
      </c>
      <c r="DI152" s="197">
        <f t="shared" si="421"/>
        <v>5289.4638676179247</v>
      </c>
      <c r="DJ152" s="196">
        <f t="shared" si="422"/>
        <v>100460.41201110369</v>
      </c>
      <c r="DK152" s="197">
        <f t="shared" si="423"/>
        <v>5453.6312984480828</v>
      </c>
      <c r="DL152" s="197">
        <f t="shared" si="424"/>
        <v>0</v>
      </c>
      <c r="DM152" s="197">
        <f t="shared" si="425"/>
        <v>100460.41201110369</v>
      </c>
      <c r="DN152" s="199">
        <f t="shared" si="426"/>
        <v>105914.04330955177</v>
      </c>
    </row>
    <row r="153" spans="2:118" x14ac:dyDescent="0.3">
      <c r="B153" s="896">
        <v>16</v>
      </c>
      <c r="C153" s="907">
        <f>'Arable Inputs'!$H$18</f>
        <v>12</v>
      </c>
      <c r="D153" s="758">
        <f>'Arable Inputs'!$H$25</f>
        <v>724</v>
      </c>
      <c r="E153" s="207">
        <f t="shared" si="365"/>
        <v>8688</v>
      </c>
      <c r="F153" s="207">
        <f>'Arable NPV'!$D132</f>
        <v>471.64</v>
      </c>
      <c r="G153" s="207">
        <f>E153+F153</f>
        <v>9159.64</v>
      </c>
      <c r="H153" s="207">
        <f>'Arable NPV'!$F132</f>
        <v>2474.37212</v>
      </c>
      <c r="I153" s="207">
        <f>'Arable NPV'!$G132</f>
        <v>3226.3624</v>
      </c>
      <c r="J153" s="207">
        <f t="shared" si="366"/>
        <v>5700.73452</v>
      </c>
      <c r="K153" s="207">
        <f t="shared" si="367"/>
        <v>2987.26548</v>
      </c>
      <c r="L153" s="207">
        <f t="shared" si="368"/>
        <v>3458.9054799999994</v>
      </c>
      <c r="M153" s="208">
        <f t="shared" si="369"/>
        <v>4824.1379995729312</v>
      </c>
      <c r="N153" s="207">
        <f t="shared" si="370"/>
        <v>261.88495005968895</v>
      </c>
      <c r="O153" s="207">
        <f t="shared" si="371"/>
        <v>3165.4155183481994</v>
      </c>
      <c r="P153" s="207">
        <f t="shared" si="372"/>
        <v>1658.7224812247321</v>
      </c>
      <c r="Q153" s="209">
        <f>L153/(1+$B$4)^(B153-1)</f>
        <v>1920.6074312844207</v>
      </c>
      <c r="R153" s="208">
        <f t="shared" si="374"/>
        <v>105284.55001067663</v>
      </c>
      <c r="S153" s="207">
        <f t="shared" si="374"/>
        <v>5715.5162485077717</v>
      </c>
      <c r="T153" s="207">
        <f t="shared" si="374"/>
        <v>69083.709561294949</v>
      </c>
      <c r="U153" s="207">
        <f t="shared" si="374"/>
        <v>36200.840449381656</v>
      </c>
      <c r="V153" s="209">
        <f t="shared" si="374"/>
        <v>41916.356697889416</v>
      </c>
      <c r="Z153" s="896">
        <v>16</v>
      </c>
      <c r="AA153" s="907">
        <f>'Arable Inputs'!$H$18</f>
        <v>12</v>
      </c>
      <c r="AB153" s="758">
        <f>'Arable Inputs'!$H$25</f>
        <v>724</v>
      </c>
      <c r="AC153" s="207">
        <f t="shared" si="375"/>
        <v>8688</v>
      </c>
      <c r="AD153" s="207">
        <f>'Arable NPV'!$D132</f>
        <v>471.64</v>
      </c>
      <c r="AE153" s="207">
        <f>AC153+AD153</f>
        <v>9159.64</v>
      </c>
      <c r="AF153" s="207">
        <f>'Arable NPV'!$F132</f>
        <v>2474.37212</v>
      </c>
      <c r="AG153" s="207">
        <f>'Arable NPV'!$G132</f>
        <v>3226.3624</v>
      </c>
      <c r="AH153" s="207">
        <f t="shared" si="361"/>
        <v>8551.1017800000009</v>
      </c>
      <c r="AI153" s="207">
        <f t="shared" si="376"/>
        <v>136.89821999999913</v>
      </c>
      <c r="AJ153" s="207">
        <f t="shared" si="377"/>
        <v>608.53821999999855</v>
      </c>
      <c r="AK153" s="208">
        <f t="shared" si="378"/>
        <v>4824.1379995729312</v>
      </c>
      <c r="AL153" s="207">
        <f t="shared" si="379"/>
        <v>261.88495005968895</v>
      </c>
      <c r="AM153" s="207">
        <f t="shared" si="380"/>
        <v>4748.1232775222998</v>
      </c>
      <c r="AN153" s="207">
        <f t="shared" si="381"/>
        <v>76.014722050632002</v>
      </c>
      <c r="AO153" s="209">
        <f>AJ153/(1+$B$4)^(Z153-1)</f>
        <v>337.89967211032064</v>
      </c>
      <c r="AP153" s="208">
        <f t="shared" si="383"/>
        <v>105284.55001067663</v>
      </c>
      <c r="AQ153" s="207">
        <f t="shared" si="384"/>
        <v>5715.5162485077717</v>
      </c>
      <c r="AR153" s="207">
        <f t="shared" si="385"/>
        <v>103625.56434194245</v>
      </c>
      <c r="AS153" s="207">
        <f t="shared" si="386"/>
        <v>1658.9856687341755</v>
      </c>
      <c r="AT153" s="209">
        <f t="shared" si="387"/>
        <v>7374.5019172419397</v>
      </c>
      <c r="AX153" s="896">
        <v>16</v>
      </c>
      <c r="AY153" s="907">
        <f>'Arable Inputs'!$H$18</f>
        <v>12</v>
      </c>
      <c r="AZ153" s="758">
        <f>'Arable Inputs'!$H$25</f>
        <v>724</v>
      </c>
      <c r="BA153" s="207">
        <f t="shared" si="388"/>
        <v>8688</v>
      </c>
      <c r="BB153" s="207">
        <f>'Arable NPV'!$D132</f>
        <v>471.64</v>
      </c>
      <c r="BC153" s="207">
        <f>BA153+BB153</f>
        <v>9159.64</v>
      </c>
      <c r="BD153" s="207">
        <f>'Arable NPV'!$F132</f>
        <v>2474.37212</v>
      </c>
      <c r="BE153" s="207">
        <f>'Arable NPV'!$G132</f>
        <v>3226.3624</v>
      </c>
      <c r="BF153" s="207">
        <f t="shared" si="362"/>
        <v>2850.36726</v>
      </c>
      <c r="BG153" s="207">
        <f t="shared" si="389"/>
        <v>5837.63274</v>
      </c>
      <c r="BH153" s="207">
        <f t="shared" si="390"/>
        <v>6309.2727399999994</v>
      </c>
      <c r="BI153" s="208">
        <f t="shared" si="391"/>
        <v>4824.1379995729312</v>
      </c>
      <c r="BJ153" s="207">
        <f t="shared" si="392"/>
        <v>261.88495005968895</v>
      </c>
      <c r="BK153" s="207">
        <f t="shared" si="393"/>
        <v>1582.7077591740997</v>
      </c>
      <c r="BL153" s="207">
        <f t="shared" si="394"/>
        <v>3241.4302403988318</v>
      </c>
      <c r="BM153" s="209">
        <f>BH153/(1+$B$4)^(AX153-1)</f>
        <v>3503.3151904585206</v>
      </c>
      <c r="BN153" s="208">
        <f t="shared" si="396"/>
        <v>105284.55001067663</v>
      </c>
      <c r="BO153" s="207">
        <f t="shared" si="397"/>
        <v>5715.5162485077717</v>
      </c>
      <c r="BP153" s="207">
        <f t="shared" si="398"/>
        <v>34541.854780647474</v>
      </c>
      <c r="BQ153" s="207">
        <f t="shared" si="399"/>
        <v>70742.69523002913</v>
      </c>
      <c r="BR153" s="209">
        <f t="shared" si="400"/>
        <v>76458.21147853689</v>
      </c>
      <c r="BV153" s="896">
        <v>16</v>
      </c>
      <c r="BW153" s="907">
        <f>'Arable Inputs'!$H$18</f>
        <v>12</v>
      </c>
      <c r="BX153" s="758">
        <f>'Arable Inputs'!$H$25</f>
        <v>724</v>
      </c>
      <c r="BY153" s="207">
        <f t="shared" si="401"/>
        <v>8688</v>
      </c>
      <c r="BZ153" s="207">
        <f>'Arable NPV'!$D132</f>
        <v>471.64</v>
      </c>
      <c r="CA153" s="207">
        <f>BY153+BZ153</f>
        <v>9159.64</v>
      </c>
      <c r="CB153" s="207">
        <f>'Arable NPV'!$F132</f>
        <v>2474.37212</v>
      </c>
      <c r="CC153" s="207">
        <f>'Arable NPV'!$G132</f>
        <v>3226.3624</v>
      </c>
      <c r="CD153" s="207">
        <f t="shared" si="363"/>
        <v>11401.46904</v>
      </c>
      <c r="CE153" s="207">
        <f t="shared" si="402"/>
        <v>-2713.4690399999999</v>
      </c>
      <c r="CF153" s="207">
        <f t="shared" si="403"/>
        <v>-2241.8290400000005</v>
      </c>
      <c r="CG153" s="208">
        <f t="shared" si="404"/>
        <v>4824.1379995729312</v>
      </c>
      <c r="CH153" s="207">
        <f t="shared" si="405"/>
        <v>261.88495005968895</v>
      </c>
      <c r="CI153" s="207">
        <f t="shared" si="406"/>
        <v>6330.8310366963988</v>
      </c>
      <c r="CJ153" s="207">
        <f t="shared" si="407"/>
        <v>-1506.6930371234671</v>
      </c>
      <c r="CK153" s="209">
        <f>CF153/(1+$B$4)^(BV153-1)</f>
        <v>-1244.8080870637784</v>
      </c>
      <c r="CL153" s="208">
        <f t="shared" si="409"/>
        <v>105284.55001067663</v>
      </c>
      <c r="CM153" s="207">
        <f t="shared" si="410"/>
        <v>5715.5162485077717</v>
      </c>
      <c r="CN153" s="207">
        <f t="shared" si="411"/>
        <v>138167.4191225899</v>
      </c>
      <c r="CO153" s="207">
        <f t="shared" si="412"/>
        <v>-32882.869111913293</v>
      </c>
      <c r="CP153" s="209">
        <f t="shared" si="413"/>
        <v>-27167.352863405522</v>
      </c>
      <c r="CT153" s="896">
        <v>16</v>
      </c>
      <c r="CU153" s="907">
        <f>'Arable Inputs'!$H$18</f>
        <v>12</v>
      </c>
      <c r="CV153" s="758">
        <f>'Arable Inputs'!$H$25</f>
        <v>724</v>
      </c>
      <c r="CW153" s="207">
        <f t="shared" si="414"/>
        <v>8688</v>
      </c>
      <c r="CX153" s="207">
        <f>'Arable NPV'!$D132</f>
        <v>471.64</v>
      </c>
      <c r="CY153" s="207">
        <f>CW153+CX153</f>
        <v>9159.64</v>
      </c>
      <c r="CZ153" s="207">
        <f>'Arable NPV'!$F132</f>
        <v>2474.37212</v>
      </c>
      <c r="DA153" s="207">
        <f>'Arable NPV'!$G132</f>
        <v>3226.3624</v>
      </c>
      <c r="DB153" s="207">
        <f t="shared" si="364"/>
        <v>0</v>
      </c>
      <c r="DC153" s="207">
        <f t="shared" si="415"/>
        <v>8688</v>
      </c>
      <c r="DD153" s="207">
        <f t="shared" si="416"/>
        <v>9159.64</v>
      </c>
      <c r="DE153" s="208">
        <f t="shared" si="417"/>
        <v>4824.1379995729312</v>
      </c>
      <c r="DF153" s="207">
        <f t="shared" si="418"/>
        <v>261.88495005968895</v>
      </c>
      <c r="DG153" s="207">
        <f t="shared" si="419"/>
        <v>0</v>
      </c>
      <c r="DH153" s="207">
        <f t="shared" si="420"/>
        <v>4824.1379995729312</v>
      </c>
      <c r="DI153" s="209">
        <f>DD153/(1+$B$4)^(CT153-1)</f>
        <v>5086.0229496326201</v>
      </c>
      <c r="DJ153" s="208">
        <f t="shared" si="422"/>
        <v>105284.55001067663</v>
      </c>
      <c r="DK153" s="207">
        <f t="shared" si="423"/>
        <v>5715.5162485077717</v>
      </c>
      <c r="DL153" s="207">
        <f t="shared" si="424"/>
        <v>0</v>
      </c>
      <c r="DM153" s="207">
        <f t="shared" si="425"/>
        <v>105284.55001067663</v>
      </c>
      <c r="DN153" s="209">
        <f t="shared" si="426"/>
        <v>111000.06625918439</v>
      </c>
    </row>
    <row r="159" spans="2:118" x14ac:dyDescent="0.3">
      <c r="B159" s="273" t="s">
        <v>332</v>
      </c>
      <c r="C159" s="274"/>
      <c r="D159" s="88"/>
      <c r="E159" s="88"/>
      <c r="F159" s="88"/>
      <c r="G159" s="275"/>
      <c r="H159" s="276" t="s">
        <v>309</v>
      </c>
      <c r="I159" s="277" t="s">
        <v>310</v>
      </c>
      <c r="J159" s="277" t="s">
        <v>311</v>
      </c>
      <c r="K159" s="277" t="s">
        <v>312</v>
      </c>
      <c r="L159" s="277" t="s">
        <v>313</v>
      </c>
      <c r="M159" s="276" t="s">
        <v>662</v>
      </c>
      <c r="N159" s="277" t="s">
        <v>663</v>
      </c>
      <c r="O159" s="277" t="s">
        <v>664</v>
      </c>
      <c r="P159" s="277" t="s">
        <v>665</v>
      </c>
      <c r="Q159" s="277" t="s">
        <v>666</v>
      </c>
      <c r="R159" s="276" t="s">
        <v>391</v>
      </c>
      <c r="S159" s="277" t="s">
        <v>392</v>
      </c>
      <c r="T159" s="277" t="s">
        <v>393</v>
      </c>
      <c r="U159" s="277" t="s">
        <v>394</v>
      </c>
      <c r="V159" s="277" t="s">
        <v>395</v>
      </c>
      <c r="W159" s="276" t="s">
        <v>422</v>
      </c>
      <c r="X159" s="277" t="s">
        <v>423</v>
      </c>
      <c r="Y159" s="277" t="s">
        <v>424</v>
      </c>
      <c r="Z159" s="277" t="s">
        <v>425</v>
      </c>
      <c r="AA159" s="277" t="s">
        <v>426</v>
      </c>
      <c r="AB159" s="276" t="s">
        <v>427</v>
      </c>
      <c r="AC159" s="277" t="s">
        <v>428</v>
      </c>
      <c r="AD159" s="277" t="s">
        <v>429</v>
      </c>
      <c r="AE159" s="277" t="s">
        <v>430</v>
      </c>
      <c r="AF159" s="277" t="s">
        <v>431</v>
      </c>
      <c r="AG159" s="276" t="s">
        <v>527</v>
      </c>
      <c r="AH159" s="277" t="s">
        <v>528</v>
      </c>
      <c r="AI159" s="277" t="s">
        <v>529</v>
      </c>
      <c r="AJ159" s="277" t="s">
        <v>530</v>
      </c>
      <c r="AK159" s="277" t="s">
        <v>531</v>
      </c>
    </row>
    <row r="160" spans="2:118" x14ac:dyDescent="0.3">
      <c r="B160" s="278" t="s">
        <v>297</v>
      </c>
      <c r="C160" s="24"/>
      <c r="D160" s="279"/>
      <c r="E160" s="279"/>
      <c r="F160" s="279"/>
      <c r="G160" s="280" t="s">
        <v>571</v>
      </c>
      <c r="H160" s="281">
        <f>S27</f>
        <v>34321.485884880625</v>
      </c>
      <c r="I160" s="281">
        <f>AQ27</f>
        <v>34321.485884880625</v>
      </c>
      <c r="J160" s="281">
        <f>BO27</f>
        <v>34321.485884880625</v>
      </c>
      <c r="K160" s="281">
        <f>CM27</f>
        <v>34321.485884880625</v>
      </c>
      <c r="L160" s="281">
        <f>DK27</f>
        <v>34321.485884880625</v>
      </c>
      <c r="M160" s="281">
        <f>S53</f>
        <v>46657.151313822724</v>
      </c>
      <c r="N160" s="281">
        <f>AQ53</f>
        <v>46657.151313822724</v>
      </c>
      <c r="O160" s="107">
        <f>BO53</f>
        <v>46657.151313822724</v>
      </c>
      <c r="P160" s="107">
        <f>CM53</f>
        <v>46657.151313822724</v>
      </c>
      <c r="Q160" s="107">
        <f>DK53</f>
        <v>46657.151313822724</v>
      </c>
      <c r="R160" s="761">
        <f>U$78</f>
        <v>69590.387749560876</v>
      </c>
      <c r="S160" s="761">
        <f>AU$78</f>
        <v>69590.387749560876</v>
      </c>
      <c r="T160" s="107">
        <f>BU$78</f>
        <v>69590.387749560876</v>
      </c>
      <c r="U160" s="107">
        <f>CU$78</f>
        <v>69590.387749560876</v>
      </c>
      <c r="V160" s="107">
        <f>DU$78</f>
        <v>69590.387749560876</v>
      </c>
      <c r="W160" s="761">
        <f>S$103</f>
        <v>23997.352423190896</v>
      </c>
      <c r="X160" s="761">
        <f>AQ$103</f>
        <v>23997.352423190896</v>
      </c>
      <c r="Y160" s="107">
        <f>BO$103</f>
        <v>23997.352423190896</v>
      </c>
      <c r="Z160" s="107">
        <f>CM$103</f>
        <v>23997.352423190896</v>
      </c>
      <c r="AA160" s="107">
        <f>DK$103</f>
        <v>23997.352423190896</v>
      </c>
      <c r="AB160" s="761">
        <f>S$128</f>
        <v>35145.377391948736</v>
      </c>
      <c r="AC160" s="761">
        <f>AQ$128</f>
        <v>35145.377391948736</v>
      </c>
      <c r="AD160" s="107">
        <f>BO$128</f>
        <v>35145.377391948736</v>
      </c>
      <c r="AE160" s="107">
        <f>CM$128</f>
        <v>35145.377391948736</v>
      </c>
      <c r="AF160" s="107">
        <f>DK$128</f>
        <v>35145.377391948736</v>
      </c>
      <c r="AG160" s="764">
        <f>R153</f>
        <v>105284.55001067663</v>
      </c>
      <c r="AH160" s="764">
        <f>AP153</f>
        <v>105284.55001067663</v>
      </c>
      <c r="AI160" s="764">
        <f>BN153</f>
        <v>105284.55001067663</v>
      </c>
      <c r="AJ160" s="764">
        <f>CL153</f>
        <v>105284.55001067663</v>
      </c>
      <c r="AK160" s="764">
        <f>DJ153</f>
        <v>105284.55001067663</v>
      </c>
    </row>
    <row r="161" spans="2:37" x14ac:dyDescent="0.3">
      <c r="B161" s="282" t="s">
        <v>633</v>
      </c>
      <c r="C161" s="24"/>
      <c r="D161" s="279"/>
      <c r="E161" s="279"/>
      <c r="F161" s="279"/>
      <c r="G161" s="283" t="s">
        <v>571</v>
      </c>
      <c r="H161" s="281">
        <f>T27</f>
        <v>5715.5162485077717</v>
      </c>
      <c r="I161" s="281">
        <f>AR27</f>
        <v>5715.5162485077717</v>
      </c>
      <c r="J161" s="281">
        <f>BP27</f>
        <v>5715.5162485077717</v>
      </c>
      <c r="K161" s="281">
        <f>CN27</f>
        <v>5715.5162485077717</v>
      </c>
      <c r="L161" s="281">
        <f>DL27</f>
        <v>5715.5162485077717</v>
      </c>
      <c r="M161" s="281">
        <f>T53</f>
        <v>5715.5162485077717</v>
      </c>
      <c r="N161" s="281">
        <f>AR53</f>
        <v>5715.5162485077717</v>
      </c>
      <c r="O161" s="108">
        <f>BP53</f>
        <v>5715.5162485077717</v>
      </c>
      <c r="P161" s="108">
        <f>CN53</f>
        <v>5715.5162485077717</v>
      </c>
      <c r="Q161" s="108">
        <f>DL53</f>
        <v>5715.5162485077717</v>
      </c>
      <c r="R161" s="761">
        <f>V$78</f>
        <v>5715.5162485077717</v>
      </c>
      <c r="S161" s="761">
        <f>AV$78</f>
        <v>5715.5162485077717</v>
      </c>
      <c r="T161" s="108">
        <f>BV$78</f>
        <v>5715.5162485077717</v>
      </c>
      <c r="U161" s="108">
        <f>CV$78</f>
        <v>5715.5162485077717</v>
      </c>
      <c r="V161" s="108">
        <f>DV$78</f>
        <v>5715.5162485077717</v>
      </c>
      <c r="W161" s="761">
        <f>T$103</f>
        <v>5715.5162485077717</v>
      </c>
      <c r="X161" s="761">
        <f>AR$103</f>
        <v>5715.5162485077717</v>
      </c>
      <c r="Y161" s="108">
        <f>BP$103</f>
        <v>5715.5162485077717</v>
      </c>
      <c r="Z161" s="108">
        <f>CN$103</f>
        <v>5715.5162485077717</v>
      </c>
      <c r="AA161" s="108">
        <f>DL$103</f>
        <v>5715.5162485077717</v>
      </c>
      <c r="AB161" s="761">
        <f>T$128</f>
        <v>5715.5162485077717</v>
      </c>
      <c r="AC161" s="761">
        <f>AR$128</f>
        <v>5715.5162485077717</v>
      </c>
      <c r="AD161" s="108">
        <f>BP$128</f>
        <v>5715.5162485077717</v>
      </c>
      <c r="AE161" s="108">
        <f>CN$128</f>
        <v>5715.5162485077717</v>
      </c>
      <c r="AF161" s="108">
        <f>DL$128</f>
        <v>5715.5162485077717</v>
      </c>
      <c r="AG161" s="909">
        <f>S153</f>
        <v>5715.5162485077717</v>
      </c>
      <c r="AH161" s="909">
        <f>AQ153</f>
        <v>5715.5162485077717</v>
      </c>
      <c r="AI161" s="909">
        <f>BO153</f>
        <v>5715.5162485077717</v>
      </c>
      <c r="AJ161" s="909">
        <f>CM153</f>
        <v>5715.5162485077717</v>
      </c>
      <c r="AK161" s="909">
        <f>DK153</f>
        <v>5715.5162485077717</v>
      </c>
    </row>
    <row r="162" spans="2:37" x14ac:dyDescent="0.3">
      <c r="B162" s="284" t="s">
        <v>296</v>
      </c>
      <c r="C162" s="165"/>
      <c r="D162" s="279"/>
      <c r="E162" s="279"/>
      <c r="F162" s="279"/>
      <c r="G162" s="285" t="s">
        <v>571</v>
      </c>
      <c r="H162" s="281">
        <f>U27</f>
        <v>50343.424286460307</v>
      </c>
      <c r="I162" s="281">
        <f>AS27</f>
        <v>75515.13642969045</v>
      </c>
      <c r="J162" s="281">
        <f>BQ27</f>
        <v>25171.712143230154</v>
      </c>
      <c r="K162" s="281">
        <f>CO27</f>
        <v>100686.84857292061</v>
      </c>
      <c r="L162" s="281">
        <f>DM27</f>
        <v>0</v>
      </c>
      <c r="M162" s="281">
        <f>U53</f>
        <v>37199.511274111588</v>
      </c>
      <c r="N162" s="281">
        <f>AS53</f>
        <v>55799.266911167382</v>
      </c>
      <c r="O162" s="294">
        <f>BQ53</f>
        <v>18599.755637055794</v>
      </c>
      <c r="P162" s="294">
        <f>CO53</f>
        <v>74399.022548223176</v>
      </c>
      <c r="Q162" s="294">
        <f>DM53</f>
        <v>0</v>
      </c>
      <c r="R162" s="761">
        <f>W$78</f>
        <v>76192.100306180422</v>
      </c>
      <c r="S162" s="761">
        <f>AW$78</f>
        <v>114288.1504592706</v>
      </c>
      <c r="T162" s="294">
        <f>BW$78</f>
        <v>38096.050153090211</v>
      </c>
      <c r="U162" s="294">
        <f>CW$78</f>
        <v>152384.20061236084</v>
      </c>
      <c r="V162" s="294">
        <f>DW$78</f>
        <v>0</v>
      </c>
      <c r="W162" s="761">
        <f>U$103</f>
        <v>18590.804294416528</v>
      </c>
      <c r="X162" s="761">
        <f>AS$103</f>
        <v>27886.206441624789</v>
      </c>
      <c r="Y162" s="294">
        <f>BQ$103</f>
        <v>9295.4021472082641</v>
      </c>
      <c r="Z162" s="294">
        <f>CO$103</f>
        <v>37181.608588833056</v>
      </c>
      <c r="AA162" s="294">
        <f>DM$103</f>
        <v>0</v>
      </c>
      <c r="AB162" s="761">
        <f>U$128</f>
        <v>89741.974580161521</v>
      </c>
      <c r="AC162" s="761">
        <f>AS$128</f>
        <v>134612.96187024232</v>
      </c>
      <c r="AD162" s="294">
        <f>BQ$128</f>
        <v>44870.98729008076</v>
      </c>
      <c r="AE162" s="294">
        <f>CO$128</f>
        <v>179483.94916032304</v>
      </c>
      <c r="AF162" s="294">
        <f>DM$128</f>
        <v>0</v>
      </c>
      <c r="AG162" s="765">
        <f>T153</f>
        <v>69083.709561294949</v>
      </c>
      <c r="AH162" s="765">
        <f>AR153</f>
        <v>103625.56434194245</v>
      </c>
      <c r="AI162" s="765">
        <f>BP153</f>
        <v>34541.854780647474</v>
      </c>
      <c r="AJ162" s="765">
        <f>CN153</f>
        <v>138167.4191225899</v>
      </c>
      <c r="AK162" s="765">
        <f>DL153</f>
        <v>0</v>
      </c>
    </row>
    <row r="163" spans="2:37" x14ac:dyDescent="0.3">
      <c r="B163" s="278" t="s">
        <v>634</v>
      </c>
      <c r="C163" s="24"/>
      <c r="D163" s="286"/>
      <c r="E163" s="286"/>
      <c r="F163" s="286"/>
      <c r="G163" s="280" t="s">
        <v>571</v>
      </c>
      <c r="H163" s="287">
        <f>H160-H162</f>
        <v>-16021.938401579682</v>
      </c>
      <c r="I163" s="287">
        <f t="shared" ref="I163:AK163" si="432">I160-I162</f>
        <v>-41193.650544809825</v>
      </c>
      <c r="J163" s="287">
        <f t="shared" si="432"/>
        <v>9149.7737416504715</v>
      </c>
      <c r="K163" s="287">
        <f t="shared" si="432"/>
        <v>-66365.362688039982</v>
      </c>
      <c r="L163" s="287">
        <f t="shared" si="432"/>
        <v>34321.485884880625</v>
      </c>
      <c r="M163" s="287">
        <f t="shared" si="432"/>
        <v>9457.6400397111356</v>
      </c>
      <c r="N163" s="287">
        <f t="shared" si="432"/>
        <v>-9142.1155973446585</v>
      </c>
      <c r="O163" s="287">
        <f t="shared" si="432"/>
        <v>28057.39567676693</v>
      </c>
      <c r="P163" s="287">
        <f t="shared" si="432"/>
        <v>-27741.871234400453</v>
      </c>
      <c r="Q163" s="287">
        <f t="shared" si="432"/>
        <v>46657.151313822724</v>
      </c>
      <c r="R163" s="762">
        <f t="shared" si="432"/>
        <v>-6601.7125566195464</v>
      </c>
      <c r="S163" s="762">
        <f t="shared" si="432"/>
        <v>-44697.762709709728</v>
      </c>
      <c r="T163" s="762">
        <f t="shared" si="432"/>
        <v>31494.337596470665</v>
      </c>
      <c r="U163" s="762">
        <f t="shared" si="432"/>
        <v>-82793.812862799969</v>
      </c>
      <c r="V163" s="762">
        <f t="shared" si="432"/>
        <v>69590.387749560876</v>
      </c>
      <c r="W163" s="762">
        <f t="shared" si="432"/>
        <v>5406.5481287743678</v>
      </c>
      <c r="X163" s="762">
        <f t="shared" si="432"/>
        <v>-3888.8540184338926</v>
      </c>
      <c r="Y163" s="762">
        <f t="shared" si="432"/>
        <v>14701.950275982632</v>
      </c>
      <c r="Z163" s="762">
        <f t="shared" si="432"/>
        <v>-13184.25616564216</v>
      </c>
      <c r="AA163" s="762">
        <f t="shared" si="432"/>
        <v>23997.352423190896</v>
      </c>
      <c r="AB163" s="762">
        <f t="shared" si="432"/>
        <v>-54596.597188212785</v>
      </c>
      <c r="AC163" s="762">
        <f t="shared" si="432"/>
        <v>-99467.584478293575</v>
      </c>
      <c r="AD163" s="762">
        <f t="shared" si="432"/>
        <v>-9725.6098981320247</v>
      </c>
      <c r="AE163" s="762">
        <f t="shared" si="432"/>
        <v>-144338.5717683743</v>
      </c>
      <c r="AF163" s="762">
        <f t="shared" si="432"/>
        <v>35145.377391948736</v>
      </c>
      <c r="AG163" s="762">
        <f t="shared" si="432"/>
        <v>36200.840449381678</v>
      </c>
      <c r="AH163" s="762">
        <f t="shared" si="432"/>
        <v>1658.9856687341817</v>
      </c>
      <c r="AI163" s="762">
        <f t="shared" si="432"/>
        <v>70742.695230029145</v>
      </c>
      <c r="AJ163" s="762">
        <f t="shared" si="432"/>
        <v>-32882.869111913271</v>
      </c>
      <c r="AK163" s="762">
        <f t="shared" si="432"/>
        <v>105284.55001067663</v>
      </c>
    </row>
    <row r="164" spans="2:37" x14ac:dyDescent="0.3">
      <c r="B164" s="284" t="s">
        <v>635</v>
      </c>
      <c r="C164" s="165"/>
      <c r="D164" s="288"/>
      <c r="E164" s="288"/>
      <c r="F164" s="288"/>
      <c r="G164" s="285" t="s">
        <v>571</v>
      </c>
      <c r="H164" s="295">
        <f>H160+H161-H162</f>
        <v>-10306.422153071908</v>
      </c>
      <c r="I164" s="295">
        <f t="shared" ref="I164:U164" si="433">I160+I161-I162</f>
        <v>-35478.134296302051</v>
      </c>
      <c r="J164" s="295">
        <f t="shared" si="433"/>
        <v>14865.289990158246</v>
      </c>
      <c r="K164" s="295">
        <f t="shared" si="433"/>
        <v>-60649.846439532215</v>
      </c>
      <c r="L164" s="295">
        <f t="shared" si="433"/>
        <v>40037.0021333884</v>
      </c>
      <c r="M164" s="295">
        <f t="shared" si="433"/>
        <v>15173.15628821891</v>
      </c>
      <c r="N164" s="295">
        <f t="shared" si="433"/>
        <v>-3426.599348836884</v>
      </c>
      <c r="O164" s="295">
        <f t="shared" si="433"/>
        <v>33772.911925274704</v>
      </c>
      <c r="P164" s="295">
        <f t="shared" si="433"/>
        <v>-22026.354985892678</v>
      </c>
      <c r="Q164" s="295">
        <f t="shared" si="433"/>
        <v>52372.667562330498</v>
      </c>
      <c r="R164" s="763">
        <f t="shared" si="433"/>
        <v>-886.19630811177194</v>
      </c>
      <c r="S164" s="763">
        <f t="shared" si="433"/>
        <v>-38982.246461201954</v>
      </c>
      <c r="T164" s="763">
        <f t="shared" si="433"/>
        <v>37209.853844978439</v>
      </c>
      <c r="U164" s="763">
        <f t="shared" si="433"/>
        <v>-77078.296614292194</v>
      </c>
      <c r="V164" s="763">
        <f t="shared" ref="V164:AE164" si="434">V160+V161-V162</f>
        <v>75305.90399806865</v>
      </c>
      <c r="W164" s="763">
        <f t="shared" si="434"/>
        <v>11122.064377282139</v>
      </c>
      <c r="X164" s="763">
        <f t="shared" si="434"/>
        <v>1826.6622300738782</v>
      </c>
      <c r="Y164" s="763">
        <f t="shared" si="434"/>
        <v>20417.466524490403</v>
      </c>
      <c r="Z164" s="763">
        <f t="shared" si="434"/>
        <v>-7468.7399171343895</v>
      </c>
      <c r="AA164" s="763">
        <f t="shared" si="434"/>
        <v>29712.868671698667</v>
      </c>
      <c r="AB164" s="763">
        <f t="shared" si="434"/>
        <v>-48881.080939705011</v>
      </c>
      <c r="AC164" s="763">
        <f t="shared" si="434"/>
        <v>-93752.0682297858</v>
      </c>
      <c r="AD164" s="763">
        <f t="shared" si="434"/>
        <v>-4010.0936496242502</v>
      </c>
      <c r="AE164" s="763">
        <f t="shared" si="434"/>
        <v>-138623.05551986652</v>
      </c>
      <c r="AF164" s="763">
        <f t="shared" ref="AF164:AK164" si="435">AF160+AF161-AF162</f>
        <v>40860.89364045651</v>
      </c>
      <c r="AG164" s="763">
        <f t="shared" si="435"/>
        <v>41916.356697889452</v>
      </c>
      <c r="AH164" s="763">
        <f t="shared" si="435"/>
        <v>7374.5019172419561</v>
      </c>
      <c r="AI164" s="763">
        <f t="shared" si="435"/>
        <v>76458.211478536919</v>
      </c>
      <c r="AJ164" s="763">
        <f t="shared" si="435"/>
        <v>-27167.352863405496</v>
      </c>
      <c r="AK164" s="763">
        <f t="shared" si="435"/>
        <v>111000.0662591844</v>
      </c>
    </row>
    <row r="165" spans="2:37" x14ac:dyDescent="0.3">
      <c r="B165" s="62" t="s">
        <v>636</v>
      </c>
      <c r="C165" s="24"/>
      <c r="D165" s="289"/>
      <c r="E165" s="289"/>
      <c r="F165" s="289"/>
      <c r="G165" s="280" t="s">
        <v>571</v>
      </c>
      <c r="H165" s="290">
        <f>H163*((1+$B$4)^16)/(((1+$B$4)^16)-1)</f>
        <v>-34375.068528943877</v>
      </c>
      <c r="I165" s="290">
        <f t="shared" ref="I165:Q166" si="436">I163*((1+$B$4)^16)/(((1+$B$4)^16)-1)</f>
        <v>-88380.976442625062</v>
      </c>
      <c r="J165" s="290">
        <f t="shared" si="436"/>
        <v>19630.839384737348</v>
      </c>
      <c r="K165" s="290">
        <f t="shared" si="436"/>
        <v>-142386.88435630631</v>
      </c>
      <c r="L165" s="290">
        <f t="shared" si="436"/>
        <v>73636.747298418573</v>
      </c>
      <c r="M165" s="290">
        <f t="shared" si="436"/>
        <v>20291.366521238146</v>
      </c>
      <c r="N165" s="290">
        <f t="shared" si="436"/>
        <v>-19614.408836278188</v>
      </c>
      <c r="O165" s="290">
        <f t="shared" si="436"/>
        <v>60197.141878754475</v>
      </c>
      <c r="P165" s="290">
        <f t="shared" si="436"/>
        <v>-59520.184193794514</v>
      </c>
      <c r="Q165" s="290">
        <f>Q163*((1+$B$4)^16)/(((1+$B$4)^16)-1)</f>
        <v>100102.91723627081</v>
      </c>
      <c r="R165" s="290">
        <f>R163*((1+$B$4)^16)/(((1+$B$4)^16)-1)</f>
        <v>-14163.974161816252</v>
      </c>
      <c r="S165" s="290">
        <f t="shared" ref="S165:V166" si="437">S163*((1+$B$4)^16)/(((1+$B$4)^16)-1)</f>
        <v>-95899.049024258769</v>
      </c>
      <c r="T165" s="290">
        <f t="shared" si="437"/>
        <v>67571.100700626324</v>
      </c>
      <c r="U165" s="290">
        <f t="shared" si="437"/>
        <v>-177634.12388670139</v>
      </c>
      <c r="V165" s="290">
        <f t="shared" si="437"/>
        <v>149306.17556306889</v>
      </c>
      <c r="W165" s="290">
        <f>W163*((1+$B$4)^16)/(((1+$B$4)^16)-1)</f>
        <v>11599.748905121758</v>
      </c>
      <c r="X165" s="290">
        <f t="shared" ref="X165:AA166" si="438">X163*((1+$B$4)^16)/(((1+$B$4)^16)-1)</f>
        <v>-8343.5362209071827</v>
      </c>
      <c r="Y165" s="290">
        <f t="shared" si="438"/>
        <v>31543.034031150706</v>
      </c>
      <c r="Z165" s="290">
        <f t="shared" si="438"/>
        <v>-28286.82134693614</v>
      </c>
      <c r="AA165" s="290">
        <f t="shared" si="438"/>
        <v>51486.319157179656</v>
      </c>
      <c r="AB165" s="290">
        <f>AB163*((1+$B$4)^16)/(((1+$B$4)^16)-1)</f>
        <v>-117136.99820534322</v>
      </c>
      <c r="AC165" s="290">
        <f t="shared" ref="AC165:AK166" si="439">AC163*((1+$B$4)^16)/(((1+$B$4)^16)-1)</f>
        <v>-213407.70056341868</v>
      </c>
      <c r="AD165" s="290">
        <f t="shared" si="439"/>
        <v>-20866.295847267837</v>
      </c>
      <c r="AE165" s="290">
        <f t="shared" si="439"/>
        <v>-309678.40292149404</v>
      </c>
      <c r="AF165" s="290">
        <f t="shared" si="439"/>
        <v>75404.406510807559</v>
      </c>
      <c r="AG165" s="290">
        <f t="shared" si="439"/>
        <v>77668.902479999946</v>
      </c>
      <c r="AH165" s="290">
        <f t="shared" si="439"/>
        <v>3559.353719999986</v>
      </c>
      <c r="AI165" s="290">
        <f t="shared" si="439"/>
        <v>151778.45123999985</v>
      </c>
      <c r="AJ165" s="290">
        <f t="shared" si="439"/>
        <v>-70550.195039999875</v>
      </c>
      <c r="AK165" s="290">
        <f t="shared" si="439"/>
        <v>225887.99999999977</v>
      </c>
    </row>
    <row r="166" spans="2:37" x14ac:dyDescent="0.3">
      <c r="B166" s="41" t="s">
        <v>637</v>
      </c>
      <c r="C166" s="24"/>
      <c r="D166" s="149"/>
      <c r="E166" s="149"/>
      <c r="F166" s="149"/>
      <c r="G166" s="285" t="s">
        <v>571</v>
      </c>
      <c r="H166" s="293">
        <f>H164*((1+$B$4)^16)/(((1+$B$4)^16)-1)</f>
        <v>-22112.428528943881</v>
      </c>
      <c r="I166" s="293">
        <f t="shared" si="436"/>
        <v>-76118.336442625077</v>
      </c>
      <c r="J166" s="293">
        <f t="shared" si="436"/>
        <v>31893.47938473734</v>
      </c>
      <c r="K166" s="293">
        <f t="shared" si="436"/>
        <v>-130124.24435630633</v>
      </c>
      <c r="L166" s="293">
        <f t="shared" si="436"/>
        <v>85899.387298418558</v>
      </c>
      <c r="M166" s="293">
        <f t="shared" si="436"/>
        <v>32554.006521238138</v>
      </c>
      <c r="N166" s="293">
        <f t="shared" si="436"/>
        <v>-7351.7688362781928</v>
      </c>
      <c r="O166" s="293">
        <f t="shared" si="436"/>
        <v>72459.781878754467</v>
      </c>
      <c r="P166" s="293">
        <f t="shared" si="436"/>
        <v>-47257.544193794522</v>
      </c>
      <c r="Q166" s="293">
        <f t="shared" si="436"/>
        <v>112365.5572362708</v>
      </c>
      <c r="R166" s="765">
        <f>R164*((1+$B$4)^16)/(((1+$B$4)^16)-1)</f>
        <v>-1901.3341618162578</v>
      </c>
      <c r="S166" s="765">
        <f t="shared" si="437"/>
        <v>-83636.409024258755</v>
      </c>
      <c r="T166" s="765">
        <f t="shared" si="437"/>
        <v>79833.740700626309</v>
      </c>
      <c r="U166" s="765">
        <f t="shared" si="437"/>
        <v>-165371.4838867014</v>
      </c>
      <c r="V166" s="765">
        <f t="shared" si="437"/>
        <v>161568.81556306887</v>
      </c>
      <c r="W166" s="765">
        <f>W164*((1+$B$4)^16)/(((1+$B$4)^16)-1)</f>
        <v>23862.388905121745</v>
      </c>
      <c r="X166" s="765">
        <f t="shared" si="438"/>
        <v>3919.1037790928012</v>
      </c>
      <c r="Y166" s="765">
        <f t="shared" si="438"/>
        <v>43805.674031150695</v>
      </c>
      <c r="Z166" s="765">
        <f t="shared" si="438"/>
        <v>-16024.181346936157</v>
      </c>
      <c r="AA166" s="765">
        <f t="shared" si="438"/>
        <v>63748.959157179648</v>
      </c>
      <c r="AB166" s="765">
        <f>AB164*((1+$B$4)^16)/(((1+$B$4)^16)-1)</f>
        <v>-104874.35820534323</v>
      </c>
      <c r="AC166" s="765">
        <f t="shared" si="439"/>
        <v>-201145.06056341869</v>
      </c>
      <c r="AD166" s="765">
        <f t="shared" si="439"/>
        <v>-8603.6558472678444</v>
      </c>
      <c r="AE166" s="765">
        <f t="shared" si="439"/>
        <v>-297415.76292149402</v>
      </c>
      <c r="AF166" s="765">
        <f t="shared" si="439"/>
        <v>87667.046510807544</v>
      </c>
      <c r="AG166" s="765">
        <f t="shared" si="439"/>
        <v>89931.542479999931</v>
      </c>
      <c r="AH166" s="765">
        <f t="shared" si="439"/>
        <v>15821.993719999979</v>
      </c>
      <c r="AI166" s="765">
        <f t="shared" si="439"/>
        <v>164041.09123999983</v>
      </c>
      <c r="AJ166" s="765">
        <f t="shared" si="439"/>
        <v>-58287.55503999989</v>
      </c>
      <c r="AK166" s="765">
        <f t="shared" si="439"/>
        <v>238150.63999999975</v>
      </c>
    </row>
    <row r="167" spans="2:37" x14ac:dyDescent="0.3">
      <c r="B167" s="62" t="s">
        <v>638</v>
      </c>
      <c r="C167" s="265"/>
      <c r="D167" s="289"/>
      <c r="E167" s="289"/>
      <c r="F167" s="289"/>
      <c r="G167" s="280" t="s">
        <v>588</v>
      </c>
      <c r="H167" s="290">
        <f>H165*$B$4</f>
        <v>-1375.0027411577551</v>
      </c>
      <c r="I167" s="290">
        <f t="shared" ref="I167:Q168" si="440">I165*$B$4</f>
        <v>-3535.2390577050028</v>
      </c>
      <c r="J167" s="290">
        <f t="shared" si="440"/>
        <v>785.23357538949392</v>
      </c>
      <c r="K167" s="290">
        <f t="shared" si="440"/>
        <v>-5695.4753742522525</v>
      </c>
      <c r="L167" s="290">
        <f t="shared" si="440"/>
        <v>2945.4698919367429</v>
      </c>
      <c r="M167" s="290">
        <f t="shared" si="440"/>
        <v>811.65466084952584</v>
      </c>
      <c r="N167" s="290">
        <f t="shared" si="440"/>
        <v>-784.57635345112749</v>
      </c>
      <c r="O167" s="290">
        <f t="shared" si="440"/>
        <v>2407.8856751501789</v>
      </c>
      <c r="P167" s="290">
        <f t="shared" si="440"/>
        <v>-2380.8073677517805</v>
      </c>
      <c r="Q167" s="290">
        <f t="shared" si="440"/>
        <v>4004.1166894508324</v>
      </c>
      <c r="R167" s="764">
        <f>R165*$B$4</f>
        <v>-566.55896647265013</v>
      </c>
      <c r="S167" s="764">
        <f t="shared" ref="S167:V168" si="441">S165*$B$4</f>
        <v>-3835.9619609703509</v>
      </c>
      <c r="T167" s="764">
        <f t="shared" si="441"/>
        <v>2702.8440280250529</v>
      </c>
      <c r="U167" s="764">
        <f t="shared" si="441"/>
        <v>-7105.364955468056</v>
      </c>
      <c r="V167" s="764">
        <f t="shared" si="441"/>
        <v>5972.2470225227553</v>
      </c>
      <c r="W167" s="764">
        <f>W165*$B$4</f>
        <v>463.98995620487034</v>
      </c>
      <c r="X167" s="764">
        <f t="shared" ref="X167:AA168" si="442">X165*$B$4</f>
        <v>-333.7414488362873</v>
      </c>
      <c r="Y167" s="764">
        <f t="shared" si="442"/>
        <v>1261.7213612460282</v>
      </c>
      <c r="Z167" s="764">
        <f t="shared" si="442"/>
        <v>-1131.4728538774457</v>
      </c>
      <c r="AA167" s="764">
        <f t="shared" si="442"/>
        <v>2059.4527662871865</v>
      </c>
      <c r="AB167" s="764">
        <f>AB165*$B$4</f>
        <v>-4685.4799282137292</v>
      </c>
      <c r="AC167" s="764">
        <f t="shared" ref="AC167:AK168" si="443">AC165*$B$4</f>
        <v>-8536.3080225367466</v>
      </c>
      <c r="AD167" s="764">
        <f t="shared" si="443"/>
        <v>-834.65183389071353</v>
      </c>
      <c r="AE167" s="764">
        <f t="shared" si="443"/>
        <v>-12387.136116859761</v>
      </c>
      <c r="AF167" s="764">
        <f t="shared" si="443"/>
        <v>3016.1762604323026</v>
      </c>
      <c r="AG167" s="764">
        <f t="shared" si="443"/>
        <v>3106.7560991999981</v>
      </c>
      <c r="AH167" s="764">
        <f t="shared" si="443"/>
        <v>142.37414879999943</v>
      </c>
      <c r="AI167" s="764">
        <f t="shared" si="443"/>
        <v>6071.1380495999938</v>
      </c>
      <c r="AJ167" s="764">
        <f t="shared" si="443"/>
        <v>-2822.0078015999952</v>
      </c>
      <c r="AK167" s="764">
        <f t="shared" si="443"/>
        <v>9035.5199999999913</v>
      </c>
    </row>
    <row r="168" spans="2:37" x14ac:dyDescent="0.3">
      <c r="B168" s="46" t="s">
        <v>639</v>
      </c>
      <c r="C168" s="291"/>
      <c r="D168" s="292"/>
      <c r="E168" s="292"/>
      <c r="F168" s="292"/>
      <c r="G168" s="285" t="s">
        <v>588</v>
      </c>
      <c r="H168" s="293">
        <f>H166*$B$4</f>
        <v>-884.49714115775532</v>
      </c>
      <c r="I168" s="293">
        <f t="shared" si="440"/>
        <v>-3044.7334577050033</v>
      </c>
      <c r="J168" s="293">
        <f t="shared" si="440"/>
        <v>1275.7391753894935</v>
      </c>
      <c r="K168" s="293">
        <f t="shared" si="440"/>
        <v>-5204.969774252253</v>
      </c>
      <c r="L168" s="293">
        <f t="shared" si="440"/>
        <v>3435.9754919367424</v>
      </c>
      <c r="M168" s="293">
        <f t="shared" si="440"/>
        <v>1302.1602608495255</v>
      </c>
      <c r="N168" s="293">
        <f t="shared" si="440"/>
        <v>-294.0707534511277</v>
      </c>
      <c r="O168" s="293">
        <f t="shared" si="440"/>
        <v>2898.3912751501789</v>
      </c>
      <c r="P168" s="293">
        <f t="shared" si="440"/>
        <v>-1890.301767751781</v>
      </c>
      <c r="Q168" s="293">
        <f t="shared" si="440"/>
        <v>4494.6222894508319</v>
      </c>
      <c r="R168" s="765">
        <f>R166*$B$4</f>
        <v>-76.05336647265031</v>
      </c>
      <c r="S168" s="765">
        <f t="shared" si="441"/>
        <v>-3345.4563609703505</v>
      </c>
      <c r="T168" s="765">
        <f t="shared" si="441"/>
        <v>3193.3496280250524</v>
      </c>
      <c r="U168" s="765">
        <f t="shared" si="441"/>
        <v>-6614.8593554680565</v>
      </c>
      <c r="V168" s="765">
        <f t="shared" si="441"/>
        <v>6462.7526225227548</v>
      </c>
      <c r="W168" s="765">
        <f>W166*$B$4</f>
        <v>954.49555620486979</v>
      </c>
      <c r="X168" s="765">
        <f t="shared" si="442"/>
        <v>156.76415116371206</v>
      </c>
      <c r="Y168" s="765">
        <f t="shared" si="442"/>
        <v>1752.2269612460277</v>
      </c>
      <c r="Z168" s="765">
        <f t="shared" si="442"/>
        <v>-640.9672538774463</v>
      </c>
      <c r="AA168" s="765">
        <f t="shared" si="442"/>
        <v>2549.958366287186</v>
      </c>
      <c r="AB168" s="765">
        <f>AB166*$B$4</f>
        <v>-4194.9743282137297</v>
      </c>
      <c r="AC168" s="765">
        <f t="shared" si="443"/>
        <v>-8045.8024225367481</v>
      </c>
      <c r="AD168" s="765">
        <f t="shared" si="443"/>
        <v>-344.1462338907138</v>
      </c>
      <c r="AE168" s="765">
        <f t="shared" si="443"/>
        <v>-11896.630516859761</v>
      </c>
      <c r="AF168" s="765">
        <f t="shared" si="443"/>
        <v>3506.6818604323016</v>
      </c>
      <c r="AG168" s="765">
        <f t="shared" si="443"/>
        <v>3597.2616991999971</v>
      </c>
      <c r="AH168" s="765">
        <f t="shared" si="443"/>
        <v>632.87974879999911</v>
      </c>
      <c r="AI168" s="765">
        <f t="shared" si="443"/>
        <v>6561.6436495999933</v>
      </c>
      <c r="AJ168" s="765">
        <f t="shared" si="443"/>
        <v>-2331.5022015999957</v>
      </c>
      <c r="AK168" s="765">
        <f t="shared" si="443"/>
        <v>9526.0255999999899</v>
      </c>
    </row>
  </sheetData>
  <mergeCells count="17">
    <mergeCell ref="N9:R9"/>
    <mergeCell ref="S9:W9"/>
    <mergeCell ref="B2:D2"/>
    <mergeCell ref="E110:G110"/>
    <mergeCell ref="J110:K110"/>
    <mergeCell ref="N110:R110"/>
    <mergeCell ref="S110:W110"/>
    <mergeCell ref="E85:G85"/>
    <mergeCell ref="J85:K85"/>
    <mergeCell ref="N85:R85"/>
    <mergeCell ref="S85:W85"/>
    <mergeCell ref="E35:G35"/>
    <mergeCell ref="J35:K35"/>
    <mergeCell ref="N35:R35"/>
    <mergeCell ref="S35:W35"/>
    <mergeCell ref="E9:G9"/>
    <mergeCell ref="J9:K9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Y164"/>
  <sheetViews>
    <sheetView topLeftCell="A29" workbookViewId="0">
      <selection activeCell="DI47" sqref="DI47"/>
    </sheetView>
  </sheetViews>
  <sheetFormatPr defaultColWidth="9" defaultRowHeight="14" x14ac:dyDescent="0.3"/>
  <sheetData>
    <row r="2" spans="2:119" x14ac:dyDescent="0.3">
      <c r="B2" s="1090" t="s">
        <v>346</v>
      </c>
      <c r="C2" s="1091"/>
      <c r="D2" s="1092"/>
    </row>
    <row r="4" spans="2:119" x14ac:dyDescent="0.3">
      <c r="B4" s="922">
        <f>'Arable NPV'!C6</f>
        <v>0.04</v>
      </c>
      <c r="C4" s="922">
        <f>B4+(B4*0.5)</f>
        <v>0.06</v>
      </c>
      <c r="D4" s="922">
        <f>B4-(B4*0.5)</f>
        <v>0.02</v>
      </c>
      <c r="E4" s="922">
        <f>B4+B4</f>
        <v>0.08</v>
      </c>
      <c r="F4" s="922">
        <f>B4-B4</f>
        <v>0</v>
      </c>
    </row>
    <row r="5" spans="2:119" x14ac:dyDescent="0.3">
      <c r="D5" s="271"/>
    </row>
    <row r="8" spans="2:119" x14ac:dyDescent="0.3">
      <c r="B8" s="227" t="s">
        <v>94</v>
      </c>
      <c r="C8" s="760" t="s">
        <v>412</v>
      </c>
      <c r="D8" s="269" t="s">
        <v>397</v>
      </c>
      <c r="E8" s="194"/>
      <c r="F8" s="193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Z8" s="227" t="s">
        <v>94</v>
      </c>
      <c r="AA8" s="268" t="s">
        <v>398</v>
      </c>
      <c r="AB8" s="269"/>
      <c r="AC8" s="194"/>
      <c r="AD8" s="193"/>
      <c r="AE8" s="102"/>
      <c r="AF8" s="102"/>
      <c r="AG8" s="102"/>
      <c r="AH8" s="102"/>
      <c r="AI8" s="102"/>
      <c r="AJ8" s="102"/>
      <c r="AK8" s="102"/>
      <c r="AL8" s="102"/>
      <c r="AM8" s="102"/>
      <c r="AN8" s="102"/>
      <c r="AO8" s="102"/>
      <c r="AP8" s="102"/>
      <c r="AQ8" s="102"/>
      <c r="AR8" s="102"/>
      <c r="AS8" s="102"/>
      <c r="AT8" s="102"/>
      <c r="AU8" s="102"/>
      <c r="AX8" s="227" t="s">
        <v>94</v>
      </c>
      <c r="AY8" s="268" t="s">
        <v>399</v>
      </c>
      <c r="AZ8" s="269"/>
      <c r="BA8" s="194"/>
      <c r="BB8" s="193"/>
      <c r="BC8" s="102"/>
      <c r="BD8" s="102"/>
      <c r="BE8" s="102"/>
      <c r="BF8" s="102"/>
      <c r="BG8" s="102"/>
      <c r="BH8" s="102"/>
      <c r="BI8" s="102"/>
      <c r="BJ8" s="102"/>
      <c r="BK8" s="102"/>
      <c r="BL8" s="102"/>
      <c r="BM8" s="102"/>
      <c r="BN8" s="102"/>
      <c r="BO8" s="102"/>
      <c r="BP8" s="102"/>
      <c r="BQ8" s="102"/>
      <c r="BR8" s="102"/>
      <c r="BS8" s="102"/>
      <c r="BV8" s="227" t="s">
        <v>94</v>
      </c>
      <c r="BW8" s="1093" t="s">
        <v>400</v>
      </c>
      <c r="BX8" s="1094"/>
      <c r="BY8" s="194"/>
      <c r="BZ8" s="193"/>
      <c r="CA8" s="102"/>
      <c r="CB8" s="102"/>
      <c r="CC8" s="102"/>
      <c r="CD8" s="102"/>
      <c r="CE8" s="102"/>
      <c r="CF8" s="102"/>
      <c r="CG8" s="102"/>
      <c r="CH8" s="102"/>
      <c r="CI8" s="102"/>
      <c r="CJ8" s="102"/>
      <c r="CK8" s="102"/>
      <c r="CL8" s="102"/>
      <c r="CM8" s="102"/>
      <c r="CN8" s="102"/>
      <c r="CO8" s="102"/>
      <c r="CP8" s="102"/>
      <c r="CQ8" s="102"/>
      <c r="CT8" s="227" t="s">
        <v>94</v>
      </c>
      <c r="CU8" s="1093" t="s">
        <v>401</v>
      </c>
      <c r="CV8" s="1094"/>
      <c r="CW8" s="194"/>
      <c r="CX8" s="193"/>
      <c r="CY8" s="102"/>
      <c r="CZ8" s="102"/>
      <c r="DA8" s="102"/>
      <c r="DB8" s="102"/>
      <c r="DC8" s="102"/>
      <c r="DD8" s="102"/>
      <c r="DE8" s="102"/>
      <c r="DF8" s="102"/>
      <c r="DG8" s="102"/>
      <c r="DH8" s="102"/>
      <c r="DI8" s="102"/>
      <c r="DJ8" s="102"/>
      <c r="DK8" s="102"/>
      <c r="DL8" s="102"/>
      <c r="DM8" s="102"/>
      <c r="DN8" s="102"/>
      <c r="DO8" s="102"/>
    </row>
    <row r="9" spans="2:119" x14ac:dyDescent="0.3">
      <c r="B9" s="203"/>
      <c r="C9" s="148"/>
      <c r="D9" s="148"/>
      <c r="E9" s="1082"/>
      <c r="F9" s="1082"/>
      <c r="G9" s="1082"/>
      <c r="H9" s="148"/>
      <c r="I9" s="926"/>
      <c r="J9" s="1082"/>
      <c r="K9" s="1082"/>
      <c r="L9" s="148"/>
      <c r="M9" s="148"/>
      <c r="N9" s="1083" t="s">
        <v>273</v>
      </c>
      <c r="O9" s="1084"/>
      <c r="P9" s="1084"/>
      <c r="Q9" s="1084"/>
      <c r="R9" s="1085"/>
      <c r="S9" s="1083" t="s">
        <v>274</v>
      </c>
      <c r="T9" s="1084"/>
      <c r="U9" s="1084"/>
      <c r="V9" s="1084"/>
      <c r="W9" s="1085"/>
      <c r="Z9" s="203"/>
      <c r="AA9" s="148"/>
      <c r="AB9" s="148"/>
      <c r="AC9" s="985"/>
      <c r="AD9" s="985"/>
      <c r="AE9" s="985"/>
      <c r="AF9" s="148"/>
      <c r="AG9" s="926"/>
      <c r="AH9" s="985"/>
      <c r="AI9" s="985"/>
      <c r="AJ9" s="148"/>
      <c r="AK9" s="148"/>
      <c r="AL9" s="986" t="s">
        <v>307</v>
      </c>
      <c r="AM9" s="987"/>
      <c r="AN9" s="987"/>
      <c r="AO9" s="987"/>
      <c r="AP9" s="988"/>
      <c r="AQ9" s="986" t="s">
        <v>274</v>
      </c>
      <c r="AR9" s="987"/>
      <c r="AS9" s="987"/>
      <c r="AT9" s="987"/>
      <c r="AU9" s="988"/>
      <c r="AX9" s="203"/>
      <c r="AY9" s="148"/>
      <c r="AZ9" s="148"/>
      <c r="BA9" s="985"/>
      <c r="BB9" s="985"/>
      <c r="BC9" s="985"/>
      <c r="BD9" s="148"/>
      <c r="BE9" s="926"/>
      <c r="BF9" s="985"/>
      <c r="BG9" s="985"/>
      <c r="BH9" s="148"/>
      <c r="BI9" s="148"/>
      <c r="BJ9" s="986" t="s">
        <v>273</v>
      </c>
      <c r="BK9" s="987"/>
      <c r="BL9" s="987"/>
      <c r="BM9" s="987"/>
      <c r="BN9" s="988"/>
      <c r="BO9" s="986" t="s">
        <v>274</v>
      </c>
      <c r="BP9" s="987"/>
      <c r="BQ9" s="987"/>
      <c r="BR9" s="987"/>
      <c r="BS9" s="988"/>
      <c r="BV9" s="203"/>
      <c r="BW9" s="148"/>
      <c r="BX9" s="148"/>
      <c r="BY9" s="985"/>
      <c r="BZ9" s="985"/>
      <c r="CA9" s="985"/>
      <c r="CB9" s="148"/>
      <c r="CC9" s="926"/>
      <c r="CD9" s="985"/>
      <c r="CE9" s="985"/>
      <c r="CF9" s="148"/>
      <c r="CG9" s="148"/>
      <c r="CH9" s="986" t="s">
        <v>273</v>
      </c>
      <c r="CI9" s="987"/>
      <c r="CJ9" s="987"/>
      <c r="CK9" s="987"/>
      <c r="CL9" s="988"/>
      <c r="CM9" s="986" t="s">
        <v>274</v>
      </c>
      <c r="CN9" s="987"/>
      <c r="CO9" s="987"/>
      <c r="CP9" s="987"/>
      <c r="CQ9" s="988"/>
      <c r="CT9" s="203"/>
      <c r="CU9" s="148"/>
      <c r="CV9" s="148"/>
      <c r="CW9" s="232"/>
      <c r="CX9" s="985"/>
      <c r="CY9" s="985"/>
      <c r="CZ9" s="148"/>
      <c r="DA9" s="926"/>
      <c r="DB9" s="985"/>
      <c r="DC9" s="985"/>
      <c r="DD9" s="148"/>
      <c r="DE9" s="148"/>
      <c r="DF9" s="986" t="s">
        <v>273</v>
      </c>
      <c r="DG9" s="987"/>
      <c r="DH9" s="987"/>
      <c r="DI9" s="987"/>
      <c r="DJ9" s="988"/>
      <c r="DK9" s="986" t="s">
        <v>274</v>
      </c>
      <c r="DL9" s="987"/>
      <c r="DM9" s="987"/>
      <c r="DN9" s="987"/>
      <c r="DO9" s="988"/>
    </row>
    <row r="10" spans="2:119" ht="51" x14ac:dyDescent="0.3">
      <c r="B10" s="204" t="s">
        <v>275</v>
      </c>
      <c r="C10" s="205" t="s">
        <v>293</v>
      </c>
      <c r="D10" s="205" t="s">
        <v>294</v>
      </c>
      <c r="E10" s="171" t="s">
        <v>622</v>
      </c>
      <c r="F10" s="171" t="s">
        <v>591</v>
      </c>
      <c r="G10" s="171" t="s">
        <v>623</v>
      </c>
      <c r="H10" s="205" t="s">
        <v>291</v>
      </c>
      <c r="I10" s="930" t="s">
        <v>292</v>
      </c>
      <c r="J10" s="205" t="s">
        <v>295</v>
      </c>
      <c r="K10" s="171" t="s">
        <v>279</v>
      </c>
      <c r="L10" s="171" t="s">
        <v>624</v>
      </c>
      <c r="M10" s="171" t="s">
        <v>625</v>
      </c>
      <c r="N10" s="195" t="s">
        <v>280</v>
      </c>
      <c r="O10" s="171" t="s">
        <v>626</v>
      </c>
      <c r="P10" s="171" t="s">
        <v>281</v>
      </c>
      <c r="Q10" s="171" t="s">
        <v>627</v>
      </c>
      <c r="R10" s="198" t="s">
        <v>282</v>
      </c>
      <c r="S10" s="195" t="s">
        <v>283</v>
      </c>
      <c r="T10" s="171" t="s">
        <v>628</v>
      </c>
      <c r="U10" s="171" t="s">
        <v>284</v>
      </c>
      <c r="V10" s="171" t="s">
        <v>629</v>
      </c>
      <c r="W10" s="198" t="s">
        <v>285</v>
      </c>
      <c r="Z10" s="204" t="s">
        <v>275</v>
      </c>
      <c r="AA10" s="205" t="s">
        <v>293</v>
      </c>
      <c r="AB10" s="205" t="s">
        <v>294</v>
      </c>
      <c r="AC10" s="171" t="s">
        <v>622</v>
      </c>
      <c r="AD10" s="171" t="s">
        <v>591</v>
      </c>
      <c r="AE10" s="171" t="s">
        <v>623</v>
      </c>
      <c r="AF10" s="205" t="s">
        <v>291</v>
      </c>
      <c r="AG10" s="930" t="s">
        <v>292</v>
      </c>
      <c r="AH10" s="205" t="s">
        <v>295</v>
      </c>
      <c r="AI10" s="171" t="s">
        <v>279</v>
      </c>
      <c r="AJ10" s="171" t="s">
        <v>624</v>
      </c>
      <c r="AK10" s="171" t="s">
        <v>625</v>
      </c>
      <c r="AL10" s="195" t="s">
        <v>280</v>
      </c>
      <c r="AM10" s="171" t="s">
        <v>626</v>
      </c>
      <c r="AN10" s="171" t="s">
        <v>281</v>
      </c>
      <c r="AO10" s="171" t="s">
        <v>627</v>
      </c>
      <c r="AP10" s="198" t="s">
        <v>282</v>
      </c>
      <c r="AQ10" s="195" t="s">
        <v>283</v>
      </c>
      <c r="AR10" s="171" t="s">
        <v>628</v>
      </c>
      <c r="AS10" s="171" t="s">
        <v>284</v>
      </c>
      <c r="AT10" s="171" t="s">
        <v>629</v>
      </c>
      <c r="AU10" s="198" t="s">
        <v>285</v>
      </c>
      <c r="AX10" s="204" t="s">
        <v>275</v>
      </c>
      <c r="AY10" s="205" t="s">
        <v>293</v>
      </c>
      <c r="AZ10" s="205" t="s">
        <v>294</v>
      </c>
      <c r="BA10" s="171" t="s">
        <v>622</v>
      </c>
      <c r="BB10" s="171" t="s">
        <v>591</v>
      </c>
      <c r="BC10" s="171" t="s">
        <v>623</v>
      </c>
      <c r="BD10" s="205" t="s">
        <v>291</v>
      </c>
      <c r="BE10" s="930" t="s">
        <v>292</v>
      </c>
      <c r="BF10" s="205" t="s">
        <v>295</v>
      </c>
      <c r="BG10" s="171" t="s">
        <v>279</v>
      </c>
      <c r="BH10" s="171" t="s">
        <v>624</v>
      </c>
      <c r="BI10" s="171" t="s">
        <v>625</v>
      </c>
      <c r="BJ10" s="195" t="s">
        <v>280</v>
      </c>
      <c r="BK10" s="171" t="s">
        <v>626</v>
      </c>
      <c r="BL10" s="171" t="s">
        <v>281</v>
      </c>
      <c r="BM10" s="171" t="s">
        <v>627</v>
      </c>
      <c r="BN10" s="198" t="s">
        <v>282</v>
      </c>
      <c r="BO10" s="195" t="s">
        <v>283</v>
      </c>
      <c r="BP10" s="171" t="s">
        <v>628</v>
      </c>
      <c r="BQ10" s="171" t="s">
        <v>284</v>
      </c>
      <c r="BR10" s="171" t="s">
        <v>629</v>
      </c>
      <c r="BS10" s="198" t="s">
        <v>285</v>
      </c>
      <c r="BV10" s="204" t="s">
        <v>275</v>
      </c>
      <c r="BW10" s="205" t="s">
        <v>293</v>
      </c>
      <c r="BX10" s="205" t="s">
        <v>294</v>
      </c>
      <c r="BY10" s="171" t="s">
        <v>622</v>
      </c>
      <c r="BZ10" s="171" t="s">
        <v>591</v>
      </c>
      <c r="CA10" s="171" t="s">
        <v>623</v>
      </c>
      <c r="CB10" s="205" t="s">
        <v>291</v>
      </c>
      <c r="CC10" s="930" t="s">
        <v>292</v>
      </c>
      <c r="CD10" s="205" t="s">
        <v>295</v>
      </c>
      <c r="CE10" s="171" t="s">
        <v>279</v>
      </c>
      <c r="CF10" s="171" t="s">
        <v>624</v>
      </c>
      <c r="CG10" s="171" t="s">
        <v>625</v>
      </c>
      <c r="CH10" s="195" t="s">
        <v>280</v>
      </c>
      <c r="CI10" s="171" t="s">
        <v>626</v>
      </c>
      <c r="CJ10" s="171" t="s">
        <v>281</v>
      </c>
      <c r="CK10" s="171" t="s">
        <v>627</v>
      </c>
      <c r="CL10" s="198" t="s">
        <v>282</v>
      </c>
      <c r="CM10" s="195" t="s">
        <v>283</v>
      </c>
      <c r="CN10" s="171" t="s">
        <v>628</v>
      </c>
      <c r="CO10" s="171" t="s">
        <v>284</v>
      </c>
      <c r="CP10" s="171" t="s">
        <v>629</v>
      </c>
      <c r="CQ10" s="198" t="s">
        <v>285</v>
      </c>
      <c r="CT10" s="204" t="s">
        <v>275</v>
      </c>
      <c r="CU10" s="205" t="s">
        <v>293</v>
      </c>
      <c r="CV10" s="205" t="s">
        <v>294</v>
      </c>
      <c r="CW10" s="171" t="s">
        <v>622</v>
      </c>
      <c r="CX10" s="171" t="s">
        <v>591</v>
      </c>
      <c r="CY10" s="171" t="s">
        <v>623</v>
      </c>
      <c r="CZ10" s="205" t="s">
        <v>291</v>
      </c>
      <c r="DA10" s="930" t="s">
        <v>292</v>
      </c>
      <c r="DB10" s="205" t="s">
        <v>295</v>
      </c>
      <c r="DC10" s="171" t="s">
        <v>279</v>
      </c>
      <c r="DD10" s="171" t="s">
        <v>624</v>
      </c>
      <c r="DE10" s="171" t="s">
        <v>625</v>
      </c>
      <c r="DF10" s="195" t="s">
        <v>280</v>
      </c>
      <c r="DG10" s="171" t="s">
        <v>626</v>
      </c>
      <c r="DH10" s="171" t="s">
        <v>281</v>
      </c>
      <c r="DI10" s="171" t="s">
        <v>627</v>
      </c>
      <c r="DJ10" s="198" t="s">
        <v>282</v>
      </c>
      <c r="DK10" s="195" t="s">
        <v>283</v>
      </c>
      <c r="DL10" s="171" t="s">
        <v>628</v>
      </c>
      <c r="DM10" s="171" t="s">
        <v>284</v>
      </c>
      <c r="DN10" s="171" t="s">
        <v>629</v>
      </c>
      <c r="DO10" s="198" t="s">
        <v>285</v>
      </c>
    </row>
    <row r="11" spans="2:119" x14ac:dyDescent="0.3">
      <c r="B11" s="173"/>
      <c r="C11" s="226" t="s">
        <v>336</v>
      </c>
      <c r="D11" s="226" t="s">
        <v>573</v>
      </c>
      <c r="E11" s="201" t="s">
        <v>571</v>
      </c>
      <c r="F11" s="201" t="s">
        <v>571</v>
      </c>
      <c r="G11" s="201" t="s">
        <v>571</v>
      </c>
      <c r="H11" s="201" t="s">
        <v>571</v>
      </c>
      <c r="I11" s="964" t="s">
        <v>571</v>
      </c>
      <c r="J11" s="201" t="s">
        <v>571</v>
      </c>
      <c r="K11" s="201" t="s">
        <v>571</v>
      </c>
      <c r="L11" s="201" t="s">
        <v>571</v>
      </c>
      <c r="M11" s="202" t="s">
        <v>571</v>
      </c>
      <c r="N11" s="201" t="s">
        <v>571</v>
      </c>
      <c r="O11" s="201" t="s">
        <v>571</v>
      </c>
      <c r="P11" s="201" t="s">
        <v>571</v>
      </c>
      <c r="Q11" s="201" t="s">
        <v>571</v>
      </c>
      <c r="R11" s="202" t="s">
        <v>571</v>
      </c>
      <c r="S11" s="201" t="s">
        <v>571</v>
      </c>
      <c r="T11" s="201" t="s">
        <v>571</v>
      </c>
      <c r="U11" s="201" t="s">
        <v>571</v>
      </c>
      <c r="V11" s="201" t="s">
        <v>571</v>
      </c>
      <c r="W11" s="202" t="s">
        <v>571</v>
      </c>
      <c r="Z11" s="173"/>
      <c r="AA11" s="226" t="s">
        <v>336</v>
      </c>
      <c r="AB11" s="226" t="s">
        <v>573</v>
      </c>
      <c r="AC11" s="201" t="s">
        <v>571</v>
      </c>
      <c r="AD11" s="201" t="s">
        <v>571</v>
      </c>
      <c r="AE11" s="201" t="s">
        <v>571</v>
      </c>
      <c r="AF11" s="201" t="s">
        <v>571</v>
      </c>
      <c r="AG11" s="964" t="s">
        <v>571</v>
      </c>
      <c r="AH11" s="201" t="s">
        <v>571</v>
      </c>
      <c r="AI11" s="201" t="s">
        <v>571</v>
      </c>
      <c r="AJ11" s="201" t="s">
        <v>571</v>
      </c>
      <c r="AK11" s="202" t="s">
        <v>571</v>
      </c>
      <c r="AL11" s="201" t="s">
        <v>571</v>
      </c>
      <c r="AM11" s="201" t="s">
        <v>571</v>
      </c>
      <c r="AN11" s="201" t="s">
        <v>571</v>
      </c>
      <c r="AO11" s="201" t="s">
        <v>571</v>
      </c>
      <c r="AP11" s="202" t="s">
        <v>571</v>
      </c>
      <c r="AQ11" s="201" t="s">
        <v>571</v>
      </c>
      <c r="AR11" s="201" t="s">
        <v>571</v>
      </c>
      <c r="AS11" s="201" t="s">
        <v>571</v>
      </c>
      <c r="AT11" s="201" t="s">
        <v>571</v>
      </c>
      <c r="AU11" s="202" t="s">
        <v>571</v>
      </c>
      <c r="AX11" s="173"/>
      <c r="AY11" s="226" t="s">
        <v>336</v>
      </c>
      <c r="AZ11" s="226" t="s">
        <v>573</v>
      </c>
      <c r="BA11" s="201" t="s">
        <v>571</v>
      </c>
      <c r="BB11" s="201" t="s">
        <v>571</v>
      </c>
      <c r="BC11" s="201" t="s">
        <v>571</v>
      </c>
      <c r="BD11" s="201" t="s">
        <v>571</v>
      </c>
      <c r="BE11" s="964" t="s">
        <v>571</v>
      </c>
      <c r="BF11" s="201" t="s">
        <v>571</v>
      </c>
      <c r="BG11" s="201" t="s">
        <v>571</v>
      </c>
      <c r="BH11" s="201" t="s">
        <v>571</v>
      </c>
      <c r="BI11" s="202" t="s">
        <v>571</v>
      </c>
      <c r="BJ11" s="201" t="s">
        <v>571</v>
      </c>
      <c r="BK11" s="201" t="s">
        <v>571</v>
      </c>
      <c r="BL11" s="201" t="s">
        <v>571</v>
      </c>
      <c r="BM11" s="201" t="s">
        <v>571</v>
      </c>
      <c r="BN11" s="202" t="s">
        <v>571</v>
      </c>
      <c r="BO11" s="201" t="s">
        <v>571</v>
      </c>
      <c r="BP11" s="201" t="s">
        <v>571</v>
      </c>
      <c r="BQ11" s="201" t="s">
        <v>571</v>
      </c>
      <c r="BR11" s="201" t="s">
        <v>571</v>
      </c>
      <c r="BS11" s="202" t="s">
        <v>571</v>
      </c>
      <c r="BV11" s="173"/>
      <c r="BW11" s="226" t="s">
        <v>336</v>
      </c>
      <c r="BX11" s="226" t="s">
        <v>573</v>
      </c>
      <c r="BY11" s="201" t="s">
        <v>571</v>
      </c>
      <c r="BZ11" s="201" t="s">
        <v>571</v>
      </c>
      <c r="CA11" s="201" t="s">
        <v>571</v>
      </c>
      <c r="CB11" s="201" t="s">
        <v>571</v>
      </c>
      <c r="CC11" s="964" t="s">
        <v>571</v>
      </c>
      <c r="CD11" s="201" t="s">
        <v>571</v>
      </c>
      <c r="CE11" s="201" t="s">
        <v>571</v>
      </c>
      <c r="CF11" s="201" t="s">
        <v>571</v>
      </c>
      <c r="CG11" s="202" t="s">
        <v>571</v>
      </c>
      <c r="CH11" s="201" t="s">
        <v>571</v>
      </c>
      <c r="CI11" s="201" t="s">
        <v>571</v>
      </c>
      <c r="CJ11" s="201" t="s">
        <v>571</v>
      </c>
      <c r="CK11" s="201" t="s">
        <v>571</v>
      </c>
      <c r="CL11" s="202" t="s">
        <v>571</v>
      </c>
      <c r="CM11" s="201" t="s">
        <v>571</v>
      </c>
      <c r="CN11" s="201" t="s">
        <v>571</v>
      </c>
      <c r="CO11" s="201" t="s">
        <v>571</v>
      </c>
      <c r="CP11" s="201" t="s">
        <v>571</v>
      </c>
      <c r="CQ11" s="202" t="s">
        <v>571</v>
      </c>
      <c r="CT11" s="173"/>
      <c r="CU11" s="226" t="s">
        <v>336</v>
      </c>
      <c r="CV11" s="226" t="s">
        <v>573</v>
      </c>
      <c r="CW11" s="201" t="s">
        <v>571</v>
      </c>
      <c r="CX11" s="201" t="s">
        <v>571</v>
      </c>
      <c r="CY11" s="201" t="s">
        <v>571</v>
      </c>
      <c r="CZ11" s="201" t="s">
        <v>571</v>
      </c>
      <c r="DA11" s="964" t="s">
        <v>571</v>
      </c>
      <c r="DB11" s="201" t="s">
        <v>571</v>
      </c>
      <c r="DC11" s="201" t="s">
        <v>571</v>
      </c>
      <c r="DD11" s="201" t="s">
        <v>571</v>
      </c>
      <c r="DE11" s="202" t="s">
        <v>571</v>
      </c>
      <c r="DF11" s="201" t="s">
        <v>571</v>
      </c>
      <c r="DG11" s="201" t="s">
        <v>571</v>
      </c>
      <c r="DH11" s="201" t="s">
        <v>571</v>
      </c>
      <c r="DI11" s="201" t="s">
        <v>571</v>
      </c>
      <c r="DJ11" s="202" t="s">
        <v>571</v>
      </c>
      <c r="DK11" s="201" t="s">
        <v>571</v>
      </c>
      <c r="DL11" s="201" t="s">
        <v>571</v>
      </c>
      <c r="DM11" s="201" t="s">
        <v>571</v>
      </c>
      <c r="DN11" s="201" t="s">
        <v>571</v>
      </c>
      <c r="DO11" s="202" t="s">
        <v>571</v>
      </c>
    </row>
    <row r="12" spans="2:119" x14ac:dyDescent="0.3">
      <c r="B12" s="204">
        <v>1</v>
      </c>
      <c r="C12" s="197">
        <f>'Energy NPV'!$D65</f>
        <v>2.0466666666666664</v>
      </c>
      <c r="D12" s="197">
        <f>'Energy margins'!$S$12</f>
        <v>269.5</v>
      </c>
      <c r="E12" s="197">
        <f>C12*D12</f>
        <v>551.5766666666666</v>
      </c>
      <c r="F12" s="197">
        <f>'Margins summary'!$U$14</f>
        <v>471.64</v>
      </c>
      <c r="G12" s="197">
        <f>E12+F12</f>
        <v>1023.2166666666666</v>
      </c>
      <c r="H12" s="197">
        <f>'Margins summary'!$T$20</f>
        <v>27899.875000000004</v>
      </c>
      <c r="I12" s="913">
        <f>'Energy NPV'!U65</f>
        <v>490.00000000000006</v>
      </c>
      <c r="J12" s="197"/>
      <c r="K12" s="197">
        <f>H12+I12+J12</f>
        <v>28389.875000000004</v>
      </c>
      <c r="L12" s="197">
        <f t="shared" ref="L12:L27" si="0">E12-K12</f>
        <v>-27838.298333333336</v>
      </c>
      <c r="M12" s="197">
        <f t="shared" ref="M12:M27" si="1">G12-K12</f>
        <v>-27366.658333333336</v>
      </c>
      <c r="N12" s="1014">
        <f>E12/((1+$B$4)^(B12-1))</f>
        <v>551.5766666666666</v>
      </c>
      <c r="O12" s="213">
        <f>F12/((1+$B$4)^(B12-1))</f>
        <v>471.64</v>
      </c>
      <c r="P12" s="213">
        <f>K12/((1+$B$4)^(B12-1))</f>
        <v>28389.875000000004</v>
      </c>
      <c r="Q12" s="213">
        <f>L12/((1+$B$4)^(B12-1))</f>
        <v>-27838.298333333336</v>
      </c>
      <c r="R12" s="924">
        <f>M12/((1+$B$4)^(B12-1))</f>
        <v>-27366.658333333336</v>
      </c>
      <c r="S12" s="196">
        <f>N12</f>
        <v>551.5766666666666</v>
      </c>
      <c r="T12" s="197">
        <f>O12</f>
        <v>471.64</v>
      </c>
      <c r="U12" s="197">
        <f>P12</f>
        <v>28389.875000000004</v>
      </c>
      <c r="V12" s="197">
        <f>Q12</f>
        <v>-27838.298333333336</v>
      </c>
      <c r="W12" s="199">
        <f>R12</f>
        <v>-27366.658333333336</v>
      </c>
      <c r="Z12" s="204">
        <v>1</v>
      </c>
      <c r="AA12" s="197">
        <f>'Energy NPV'!$D65</f>
        <v>2.0466666666666664</v>
      </c>
      <c r="AB12" s="197">
        <f>'Energy margins'!$S$12</f>
        <v>269.5</v>
      </c>
      <c r="AC12" s="197">
        <f>AA12*AB12</f>
        <v>551.5766666666666</v>
      </c>
      <c r="AD12" s="197">
        <f>'Margins summary'!$U$14</f>
        <v>471.64</v>
      </c>
      <c r="AE12" s="197">
        <f>AC12+AD12</f>
        <v>1023.2166666666666</v>
      </c>
      <c r="AF12" s="197">
        <f>'Margins summary'!$T$20</f>
        <v>27899.875000000004</v>
      </c>
      <c r="AG12" s="913">
        <f>'Energy NPV'!U65</f>
        <v>490.00000000000006</v>
      </c>
      <c r="AH12" s="197"/>
      <c r="AI12" s="197">
        <f>AF12+AG12+AH12</f>
        <v>28389.875000000004</v>
      </c>
      <c r="AJ12" s="197">
        <f t="shared" ref="AJ12:AJ27" si="2">AC12-AI12</f>
        <v>-27838.298333333336</v>
      </c>
      <c r="AK12" s="197">
        <f t="shared" ref="AK12:AK27" si="3">AE12-AI12</f>
        <v>-27366.658333333336</v>
      </c>
      <c r="AL12" s="1014">
        <f>AC12/((1+$C$4)^(Z12-1))</f>
        <v>551.5766666666666</v>
      </c>
      <c r="AM12" s="213">
        <f>AD12/((1+$C$4)^(Z12-1))</f>
        <v>471.64</v>
      </c>
      <c r="AN12" s="213">
        <f>AI12/((1+$C$4)^(Z12-1))</f>
        <v>28389.875000000004</v>
      </c>
      <c r="AO12" s="213">
        <f>AJ12/((1+$C$4)^(Z12-1))</f>
        <v>-27838.298333333336</v>
      </c>
      <c r="AP12" s="924">
        <f>AK12/((1+$C$4)^(Z12-1))</f>
        <v>-27366.658333333336</v>
      </c>
      <c r="AQ12" s="196">
        <f>AL12</f>
        <v>551.5766666666666</v>
      </c>
      <c r="AR12" s="197">
        <f>AM12</f>
        <v>471.64</v>
      </c>
      <c r="AS12" s="197">
        <f>AN12</f>
        <v>28389.875000000004</v>
      </c>
      <c r="AT12" s="197">
        <f>AO12</f>
        <v>-27838.298333333336</v>
      </c>
      <c r="AU12" s="199">
        <f>AP12</f>
        <v>-27366.658333333336</v>
      </c>
      <c r="AX12" s="204">
        <v>1</v>
      </c>
      <c r="AY12" s="197">
        <f>'Energy NPV'!$D65</f>
        <v>2.0466666666666664</v>
      </c>
      <c r="AZ12" s="197">
        <f>'Energy margins'!$S$12</f>
        <v>269.5</v>
      </c>
      <c r="BA12" s="197">
        <f t="shared" ref="BA12:BA27" si="4">AY12*AZ12</f>
        <v>551.5766666666666</v>
      </c>
      <c r="BB12" s="197">
        <f>'Margins summary'!$U$14</f>
        <v>471.64</v>
      </c>
      <c r="BC12" s="197">
        <f t="shared" ref="BC12:BC27" si="5">BA12+BB12</f>
        <v>1023.2166666666666</v>
      </c>
      <c r="BD12" s="197">
        <f>'Margins summary'!$T$20</f>
        <v>27899.875000000004</v>
      </c>
      <c r="BE12" s="913">
        <f>'Energy NPV'!U65</f>
        <v>490.00000000000006</v>
      </c>
      <c r="BF12" s="197"/>
      <c r="BG12" s="197">
        <f t="shared" ref="BG12:BG27" si="6">BD12+BE12+BF12</f>
        <v>28389.875000000004</v>
      </c>
      <c r="BH12" s="197">
        <f t="shared" ref="BH12:BH27" si="7">BA12-BG12</f>
        <v>-27838.298333333336</v>
      </c>
      <c r="BI12" s="197">
        <f t="shared" ref="BI12:BI27" si="8">BC12-BG12</f>
        <v>-27366.658333333336</v>
      </c>
      <c r="BJ12" s="1014">
        <f>BA12/((1+$D$4)^(AX12-1))</f>
        <v>551.5766666666666</v>
      </c>
      <c r="BK12" s="213">
        <f>BB12/((1+$D$4)^(AX12-1))</f>
        <v>471.64</v>
      </c>
      <c r="BL12" s="213">
        <f>BG12/((1+$D$4)^(AX12-1))</f>
        <v>28389.875000000004</v>
      </c>
      <c r="BM12" s="213">
        <f>BH12/((1+$D$4)^(AX12-1))</f>
        <v>-27838.298333333336</v>
      </c>
      <c r="BN12" s="924">
        <f>BI12/((1+$D$4)^(AX12-1))</f>
        <v>-27366.658333333336</v>
      </c>
      <c r="BO12" s="196">
        <f>BJ12</f>
        <v>551.5766666666666</v>
      </c>
      <c r="BP12" s="197">
        <f>BK12</f>
        <v>471.64</v>
      </c>
      <c r="BQ12" s="197">
        <f>BL12</f>
        <v>28389.875000000004</v>
      </c>
      <c r="BR12" s="197">
        <f>BM12</f>
        <v>-27838.298333333336</v>
      </c>
      <c r="BS12" s="199">
        <f>BN12</f>
        <v>-27366.658333333336</v>
      </c>
      <c r="BV12" s="204">
        <v>1</v>
      </c>
      <c r="BW12" s="197">
        <f>'Energy NPV'!$D65</f>
        <v>2.0466666666666664</v>
      </c>
      <c r="BX12" s="197">
        <f>'Energy margins'!$S$12</f>
        <v>269.5</v>
      </c>
      <c r="BY12" s="197">
        <f>BW12*BX12</f>
        <v>551.5766666666666</v>
      </c>
      <c r="BZ12" s="197">
        <f>'Margins summary'!$U$14</f>
        <v>471.64</v>
      </c>
      <c r="CA12" s="197">
        <f>BY12+BZ12</f>
        <v>1023.2166666666666</v>
      </c>
      <c r="CB12" s="197">
        <f>'Margins summary'!$T$20</f>
        <v>27899.875000000004</v>
      </c>
      <c r="CC12" s="913">
        <f>'Energy NPV'!U65</f>
        <v>490.00000000000006</v>
      </c>
      <c r="CD12" s="197"/>
      <c r="CE12" s="197">
        <f>CB12+CC12+CD12</f>
        <v>28389.875000000004</v>
      </c>
      <c r="CF12" s="197">
        <f t="shared" ref="CF12:CF27" si="9">BY12-CE12</f>
        <v>-27838.298333333336</v>
      </c>
      <c r="CG12" s="197">
        <f t="shared" ref="CG12:CG27" si="10">CA12-CE12</f>
        <v>-27366.658333333336</v>
      </c>
      <c r="CH12" s="1014">
        <f>BY12/((1+$E$4)^(BV12-1))</f>
        <v>551.5766666666666</v>
      </c>
      <c r="CI12" s="213">
        <f>BZ12/((1+$E$4)^(BV12-1))</f>
        <v>471.64</v>
      </c>
      <c r="CJ12" s="213">
        <f>CE12/((1+$E$4)^(BV12-1))</f>
        <v>28389.875000000004</v>
      </c>
      <c r="CK12" s="213">
        <f>CF12/((1+$E$4)^(BV12-1))</f>
        <v>-27838.298333333336</v>
      </c>
      <c r="CL12" s="924">
        <f>CG12/((1+$E$4)^(BV12-1))</f>
        <v>-27366.658333333336</v>
      </c>
      <c r="CM12" s="196">
        <f>CH12</f>
        <v>551.5766666666666</v>
      </c>
      <c r="CN12" s="197">
        <f>CI12</f>
        <v>471.64</v>
      </c>
      <c r="CO12" s="197">
        <f>CJ12</f>
        <v>28389.875000000004</v>
      </c>
      <c r="CP12" s="197">
        <f>CK12</f>
        <v>-27838.298333333336</v>
      </c>
      <c r="CQ12" s="199">
        <f>CL12</f>
        <v>-27366.658333333336</v>
      </c>
      <c r="CT12" s="204">
        <v>1</v>
      </c>
      <c r="CU12" s="197">
        <f>'Energy NPV'!$D65</f>
        <v>2.0466666666666664</v>
      </c>
      <c r="CV12" s="197">
        <f>'Energy margins'!$S$12</f>
        <v>269.5</v>
      </c>
      <c r="CW12" s="197">
        <f>CU12*CV12</f>
        <v>551.5766666666666</v>
      </c>
      <c r="CX12" s="197">
        <f>'Margins summary'!$U$14</f>
        <v>471.64</v>
      </c>
      <c r="CY12" s="197">
        <f>CW12+CX12</f>
        <v>1023.2166666666666</v>
      </c>
      <c r="CZ12" s="197">
        <f>'Margins summary'!$T$20</f>
        <v>27899.875000000004</v>
      </c>
      <c r="DA12" s="913">
        <f>'Energy NPV'!U65</f>
        <v>490.00000000000006</v>
      </c>
      <c r="DB12" s="197"/>
      <c r="DC12" s="197">
        <f>CZ12+DA12+DB12</f>
        <v>28389.875000000004</v>
      </c>
      <c r="DD12" s="197">
        <f t="shared" ref="DD12:DD27" si="11">CW12-DC12</f>
        <v>-27838.298333333336</v>
      </c>
      <c r="DE12" s="197">
        <f t="shared" ref="DE12:DE27" si="12">CY12-DC12</f>
        <v>-27366.658333333336</v>
      </c>
      <c r="DF12" s="1014">
        <f>CW12/((1+$F$4)^(CT12-1))</f>
        <v>551.5766666666666</v>
      </c>
      <c r="DG12" s="213">
        <f>CX12/((1+$F$4)^(CT12-1))</f>
        <v>471.64</v>
      </c>
      <c r="DH12" s="213">
        <f>DC12/((1+$F$4)^(CT12-1))</f>
        <v>28389.875000000004</v>
      </c>
      <c r="DI12" s="213">
        <f>DD12/((1+$F$4)^(CT12-1))</f>
        <v>-27838.298333333336</v>
      </c>
      <c r="DJ12" s="924">
        <f>DE12/((1+$F$4)^(CT12-1))</f>
        <v>-27366.658333333336</v>
      </c>
      <c r="DK12" s="196">
        <f>DF12</f>
        <v>551.5766666666666</v>
      </c>
      <c r="DL12" s="197">
        <f>DG12</f>
        <v>471.64</v>
      </c>
      <c r="DM12" s="197">
        <f>DH12</f>
        <v>28389.875000000004</v>
      </c>
      <c r="DN12" s="197">
        <f>DI12</f>
        <v>-27838.298333333336</v>
      </c>
      <c r="DO12" s="199">
        <f>DJ12</f>
        <v>-27366.658333333336</v>
      </c>
    </row>
    <row r="13" spans="2:119" x14ac:dyDescent="0.3">
      <c r="B13" s="204">
        <v>2</v>
      </c>
      <c r="C13" s="197">
        <f>'Energy NPV'!$D66</f>
        <v>8.27</v>
      </c>
      <c r="D13" s="197">
        <f>'Energy margins'!$S$12</f>
        <v>269.5</v>
      </c>
      <c r="E13" s="197">
        <f t="shared" ref="E13:E27" si="13">C13*D13</f>
        <v>2228.7649999999999</v>
      </c>
      <c r="F13" s="197">
        <f>'Margins summary'!$U$14</f>
        <v>471.64</v>
      </c>
      <c r="G13" s="197">
        <f t="shared" ref="G13:G27" si="14">E13+F13</f>
        <v>2700.4049999999997</v>
      </c>
      <c r="H13" s="197"/>
      <c r="I13" s="913">
        <f>'Energy NPV'!U66</f>
        <v>2629.1</v>
      </c>
      <c r="J13" s="197"/>
      <c r="K13" s="197">
        <f t="shared" ref="K13:K27" si="15">H13+I13+J13</f>
        <v>2629.1</v>
      </c>
      <c r="L13" s="197">
        <f t="shared" si="0"/>
        <v>-400.33500000000004</v>
      </c>
      <c r="M13" s="197">
        <f t="shared" si="1"/>
        <v>71.304999999999836</v>
      </c>
      <c r="N13" s="196">
        <f t="shared" ref="N13:N27" si="16">E13/((1+$B$4)^(B13-1))</f>
        <v>2143.0432692307691</v>
      </c>
      <c r="O13" s="197">
        <f t="shared" ref="O13:O27" si="17">F13/((1+$B$4)^(B13-1))</f>
        <v>453.49999999999994</v>
      </c>
      <c r="P13" s="197">
        <f t="shared" ref="P13:P27" si="18">K13/((1+$B$4)^(B13-1))</f>
        <v>2527.9807692307691</v>
      </c>
      <c r="Q13" s="197">
        <f t="shared" ref="Q13:Q27" si="19">L13/((1+$B$4)^(B13-1))</f>
        <v>-384.9375</v>
      </c>
      <c r="R13" s="199">
        <f t="shared" ref="R13:R26" si="20">M13/((1+$B$4)^(B13-1))</f>
        <v>68.562499999999844</v>
      </c>
      <c r="S13" s="196">
        <f>S12+N13</f>
        <v>2694.6199358974354</v>
      </c>
      <c r="T13" s="197">
        <f t="shared" ref="T13:W27" si="21">T12+O13</f>
        <v>925.13999999999987</v>
      </c>
      <c r="U13" s="197">
        <f t="shared" si="21"/>
        <v>30917.855769230773</v>
      </c>
      <c r="V13" s="197">
        <f t="shared" si="21"/>
        <v>-28223.235833333336</v>
      </c>
      <c r="W13" s="199">
        <f t="shared" si="21"/>
        <v>-27298.095833333336</v>
      </c>
      <c r="Z13" s="204">
        <v>2</v>
      </c>
      <c r="AA13" s="197">
        <f>'Energy NPV'!$D66</f>
        <v>8.27</v>
      </c>
      <c r="AB13" s="197">
        <f>'Energy margins'!$S$12</f>
        <v>269.5</v>
      </c>
      <c r="AC13" s="197">
        <f t="shared" ref="AC13:AC26" si="22">AA13*AB13</f>
        <v>2228.7649999999999</v>
      </c>
      <c r="AD13" s="197">
        <f>'Margins summary'!$U$14</f>
        <v>471.64</v>
      </c>
      <c r="AE13" s="197">
        <f t="shared" ref="AE13:AE27" si="23">AC13+AD13</f>
        <v>2700.4049999999997</v>
      </c>
      <c r="AF13" s="197"/>
      <c r="AG13" s="913">
        <f>'Energy NPV'!U66</f>
        <v>2629.1</v>
      </c>
      <c r="AH13" s="197"/>
      <c r="AI13" s="197">
        <f t="shared" ref="AI13:AI27" si="24">AF13+AG13+AH13</f>
        <v>2629.1</v>
      </c>
      <c r="AJ13" s="197">
        <f t="shared" si="2"/>
        <v>-400.33500000000004</v>
      </c>
      <c r="AK13" s="197">
        <f t="shared" si="3"/>
        <v>71.304999999999836</v>
      </c>
      <c r="AL13" s="196">
        <f t="shared" ref="AL13:AL27" si="25">AC13/((1+$C$4)^(Z13-1))</f>
        <v>2102.6084905660373</v>
      </c>
      <c r="AM13" s="197">
        <f t="shared" ref="AM13:AM27" si="26">AD13/((1+$C$4)^(Z13-1))</f>
        <v>444.94339622641508</v>
      </c>
      <c r="AN13" s="197">
        <f t="shared" ref="AN13:AN27" si="27">AI13/((1+$C$4)^(Z13-1))</f>
        <v>2480.2830188679245</v>
      </c>
      <c r="AO13" s="197">
        <f t="shared" ref="AO13:AO27" si="28">AJ13/((1+$C$4)^(Z13-1))</f>
        <v>-377.67452830188682</v>
      </c>
      <c r="AP13" s="199">
        <f t="shared" ref="AP13:AP26" si="29">AK13/((1+$C$4)^(Z13-1))</f>
        <v>67.268867924528138</v>
      </c>
      <c r="AQ13" s="196">
        <f>AQ12+AL13</f>
        <v>2654.1851572327041</v>
      </c>
      <c r="AR13" s="197">
        <f t="shared" ref="AR13:AU27" si="30">AR12+AM13</f>
        <v>916.58339622641506</v>
      </c>
      <c r="AS13" s="197">
        <f t="shared" si="30"/>
        <v>30870.158018867929</v>
      </c>
      <c r="AT13" s="197">
        <f t="shared" si="30"/>
        <v>-28215.972861635222</v>
      </c>
      <c r="AU13" s="199">
        <f t="shared" si="30"/>
        <v>-27299.389465408807</v>
      </c>
      <c r="AX13" s="204">
        <v>2</v>
      </c>
      <c r="AY13" s="197">
        <f>'Energy NPV'!$D66</f>
        <v>8.27</v>
      </c>
      <c r="AZ13" s="197">
        <f>'Energy margins'!$S$12</f>
        <v>269.5</v>
      </c>
      <c r="BA13" s="197">
        <f t="shared" si="4"/>
        <v>2228.7649999999999</v>
      </c>
      <c r="BB13" s="197">
        <f>'Margins summary'!$U$14</f>
        <v>471.64</v>
      </c>
      <c r="BC13" s="197">
        <f t="shared" si="5"/>
        <v>2700.4049999999997</v>
      </c>
      <c r="BD13" s="197"/>
      <c r="BE13" s="913">
        <f>'Energy NPV'!U66</f>
        <v>2629.1</v>
      </c>
      <c r="BF13" s="197"/>
      <c r="BG13" s="197">
        <f t="shared" si="6"/>
        <v>2629.1</v>
      </c>
      <c r="BH13" s="197">
        <f t="shared" si="7"/>
        <v>-400.33500000000004</v>
      </c>
      <c r="BI13" s="197">
        <f t="shared" si="8"/>
        <v>71.304999999999836</v>
      </c>
      <c r="BJ13" s="196">
        <f t="shared" ref="BJ13:BJ27" si="31">BA13/((1+$D$4)^(AX13-1))</f>
        <v>2185.0637254901958</v>
      </c>
      <c r="BK13" s="197">
        <f t="shared" ref="BK13:BK27" si="32">BB13/((1+$D$4)^(AX13-1))</f>
        <v>462.39215686274508</v>
      </c>
      <c r="BL13" s="197">
        <f t="shared" ref="BL13:BL27" si="33">BG13/((1+$D$4)^(AX13-1))</f>
        <v>2577.5490196078431</v>
      </c>
      <c r="BM13" s="197">
        <f t="shared" ref="BM13:BM27" si="34">BH13/((1+$D$4)^(AX13-1))</f>
        <v>-392.48529411764707</v>
      </c>
      <c r="BN13" s="199">
        <f t="shared" ref="BN13:BN27" si="35">BI13/((1+$D$4)^(AX13-1))</f>
        <v>69.906862745097882</v>
      </c>
      <c r="BO13" s="196">
        <f t="shared" ref="BO13:BO27" si="36">BO12+BJ13</f>
        <v>2736.6403921568626</v>
      </c>
      <c r="BP13" s="197">
        <f t="shared" ref="BP13:BP27" si="37">BP12+BK13</f>
        <v>934.03215686274507</v>
      </c>
      <c r="BQ13" s="197">
        <f t="shared" ref="BQ13:BQ27" si="38">BQ12+BL13</f>
        <v>30967.424019607846</v>
      </c>
      <c r="BR13" s="197">
        <f t="shared" ref="BR13:BR27" si="39">BR12+BM13</f>
        <v>-28230.783627450983</v>
      </c>
      <c r="BS13" s="199">
        <f t="shared" ref="BS13:BS27" si="40">BS12+BN13</f>
        <v>-27296.751470588239</v>
      </c>
      <c r="BV13" s="204">
        <v>2</v>
      </c>
      <c r="BW13" s="197">
        <f>'Energy NPV'!$D66</f>
        <v>8.27</v>
      </c>
      <c r="BX13" s="197">
        <f>'Energy margins'!$S$12</f>
        <v>269.5</v>
      </c>
      <c r="BY13" s="197">
        <f t="shared" ref="BY13:BY27" si="41">BW13*BX13</f>
        <v>2228.7649999999999</v>
      </c>
      <c r="BZ13" s="197">
        <f>'Margins summary'!$U$14</f>
        <v>471.64</v>
      </c>
      <c r="CA13" s="197">
        <f t="shared" ref="CA13:CA27" si="42">BY13+BZ13</f>
        <v>2700.4049999999997</v>
      </c>
      <c r="CB13" s="197"/>
      <c r="CC13" s="913">
        <f>'Energy NPV'!U66</f>
        <v>2629.1</v>
      </c>
      <c r="CD13" s="197"/>
      <c r="CE13" s="197">
        <f t="shared" ref="CE13:CE27" si="43">CB13+CC13+CD13</f>
        <v>2629.1</v>
      </c>
      <c r="CF13" s="197">
        <f t="shared" si="9"/>
        <v>-400.33500000000004</v>
      </c>
      <c r="CG13" s="197">
        <f t="shared" si="10"/>
        <v>71.304999999999836</v>
      </c>
      <c r="CH13" s="196">
        <f t="shared" ref="CH13:CH27" si="44">BY13/((1+$E$4)^(BV13-1))</f>
        <v>2063.6712962962961</v>
      </c>
      <c r="CI13" s="197">
        <f t="shared" ref="CI13:CI27" si="45">BZ13/((1+$E$4)^(BV13-1))</f>
        <v>436.70370370370364</v>
      </c>
      <c r="CJ13" s="197">
        <f t="shared" ref="CJ13:CJ27" si="46">CE13/((1+$E$4)^(BV13-1))</f>
        <v>2434.3518518518517</v>
      </c>
      <c r="CK13" s="197">
        <f t="shared" ref="CK13:CK27" si="47">CF13/((1+$E$4)^(BV13-1))</f>
        <v>-370.68055555555554</v>
      </c>
      <c r="CL13" s="199">
        <f t="shared" ref="CL13:CL27" si="48">CG13/((1+$E$4)^(BV13-1))</f>
        <v>66.023148148147996</v>
      </c>
      <c r="CM13" s="196">
        <f>CM12+CH13</f>
        <v>2615.2479629629624</v>
      </c>
      <c r="CN13" s="197">
        <f t="shared" ref="CN13:CN27" si="49">CN12+CI13</f>
        <v>908.34370370370357</v>
      </c>
      <c r="CO13" s="197">
        <f t="shared" ref="CO13:CO27" si="50">CO12+CJ13</f>
        <v>30824.226851851854</v>
      </c>
      <c r="CP13" s="197">
        <f t="shared" ref="CP13:CP27" si="51">CP12+CK13</f>
        <v>-28208.978888888891</v>
      </c>
      <c r="CQ13" s="199">
        <f t="shared" ref="CQ13:CQ27" si="52">CQ12+CL13</f>
        <v>-27300.635185185187</v>
      </c>
      <c r="CT13" s="204">
        <f>CT12+1</f>
        <v>2</v>
      </c>
      <c r="CU13" s="197">
        <f>'Energy NPV'!$D66</f>
        <v>8.27</v>
      </c>
      <c r="CV13" s="197">
        <f>'Energy margins'!$S$12</f>
        <v>269.5</v>
      </c>
      <c r="CW13" s="197">
        <f t="shared" ref="CW13:CW27" si="53">CU13*CV13</f>
        <v>2228.7649999999999</v>
      </c>
      <c r="CX13" s="197">
        <f>'Margins summary'!$U$14</f>
        <v>471.64</v>
      </c>
      <c r="CY13" s="197">
        <f t="shared" ref="CY13:CY27" si="54">CW13+CX13</f>
        <v>2700.4049999999997</v>
      </c>
      <c r="CZ13" s="197"/>
      <c r="DA13" s="913">
        <f>'Energy NPV'!U66</f>
        <v>2629.1</v>
      </c>
      <c r="DB13" s="197"/>
      <c r="DC13" s="197">
        <f t="shared" ref="DC13:DC27" si="55">CZ13+DA13+DB13</f>
        <v>2629.1</v>
      </c>
      <c r="DD13" s="197">
        <f t="shared" si="11"/>
        <v>-400.33500000000004</v>
      </c>
      <c r="DE13" s="197">
        <f t="shared" si="12"/>
        <v>71.304999999999836</v>
      </c>
      <c r="DF13" s="196">
        <f t="shared" ref="DF13:DF27" si="56">CW13/((1+$F$4)^(CT13-1))</f>
        <v>2228.7649999999999</v>
      </c>
      <c r="DG13" s="197">
        <f t="shared" ref="DG13:DG27" si="57">CX13/((1+$F$4)^(CT13-1))</f>
        <v>471.64</v>
      </c>
      <c r="DH13" s="197">
        <f t="shared" ref="DH13:DH27" si="58">DC13/((1+$F$4)^(CT13-1))</f>
        <v>2629.1</v>
      </c>
      <c r="DI13" s="197">
        <f t="shared" ref="DI13:DI27" si="59">DD13/((1+$F$4)^(CT13-1))</f>
        <v>-400.33500000000004</v>
      </c>
      <c r="DJ13" s="199">
        <f t="shared" ref="DJ13:DJ27" si="60">DE13/((1+$F$4)^(CT13-1))</f>
        <v>71.304999999999836</v>
      </c>
      <c r="DK13" s="196">
        <f>DK12+DF13</f>
        <v>2780.3416666666662</v>
      </c>
      <c r="DL13" s="197">
        <f t="shared" ref="DL13:DL27" si="61">DL12+DG13</f>
        <v>943.28</v>
      </c>
      <c r="DM13" s="197">
        <f t="shared" ref="DM13:DM27" si="62">DM12+DH13</f>
        <v>31018.975000000002</v>
      </c>
      <c r="DN13" s="197">
        <f t="shared" ref="DN13:DN27" si="63">DN12+DI13</f>
        <v>-28238.633333333335</v>
      </c>
      <c r="DO13" s="199">
        <f t="shared" ref="DO13:DO27" si="64">DO12+DJ13</f>
        <v>-27295.353333333336</v>
      </c>
    </row>
    <row r="14" spans="2:119" x14ac:dyDescent="0.3">
      <c r="B14" s="204">
        <f t="shared" ref="B14:B27" si="65">B13+1</f>
        <v>3</v>
      </c>
      <c r="C14" s="197">
        <f>'Energy NPV'!$D67</f>
        <v>10.926666666666668</v>
      </c>
      <c r="D14" s="197">
        <f>'Energy margins'!$S$12</f>
        <v>269.5</v>
      </c>
      <c r="E14" s="197">
        <f t="shared" si="13"/>
        <v>2944.7366666666671</v>
      </c>
      <c r="F14" s="197">
        <f>'Margins summary'!$U$14</f>
        <v>471.64</v>
      </c>
      <c r="G14" s="197">
        <f t="shared" si="14"/>
        <v>3416.376666666667</v>
      </c>
      <c r="H14" s="197"/>
      <c r="I14" s="913">
        <f>'Energy NPV'!U67</f>
        <v>2629.1</v>
      </c>
      <c r="J14" s="197"/>
      <c r="K14" s="197">
        <f t="shared" si="15"/>
        <v>2629.1</v>
      </c>
      <c r="L14" s="197">
        <f t="shared" si="0"/>
        <v>315.63666666666722</v>
      </c>
      <c r="M14" s="197">
        <f t="shared" si="1"/>
        <v>787.2766666666671</v>
      </c>
      <c r="N14" s="196">
        <f t="shared" si="16"/>
        <v>2722.5745808678503</v>
      </c>
      <c r="O14" s="197">
        <f t="shared" si="17"/>
        <v>436.05769230769226</v>
      </c>
      <c r="P14" s="197">
        <f t="shared" si="18"/>
        <v>2430.7507396449701</v>
      </c>
      <c r="Q14" s="197">
        <f t="shared" si="19"/>
        <v>291.82384122288016</v>
      </c>
      <c r="R14" s="199">
        <f t="shared" si="20"/>
        <v>727.88153353057226</v>
      </c>
      <c r="S14" s="196">
        <f t="shared" ref="S14:S27" si="66">S13+N14</f>
        <v>5417.1945167652857</v>
      </c>
      <c r="T14" s="197">
        <f t="shared" si="21"/>
        <v>1361.1976923076923</v>
      </c>
      <c r="U14" s="197">
        <f t="shared" si="21"/>
        <v>33348.606508875746</v>
      </c>
      <c r="V14" s="197">
        <f t="shared" si="21"/>
        <v>-27931.411992110458</v>
      </c>
      <c r="W14" s="199">
        <f t="shared" si="21"/>
        <v>-26570.214299802763</v>
      </c>
      <c r="Z14" s="204">
        <f t="shared" ref="Z14:Z27" si="67">Z13+1</f>
        <v>3</v>
      </c>
      <c r="AA14" s="197">
        <f>'Energy NPV'!$D67</f>
        <v>10.926666666666668</v>
      </c>
      <c r="AB14" s="197">
        <f>'Energy margins'!$S$12</f>
        <v>269.5</v>
      </c>
      <c r="AC14" s="197">
        <f t="shared" si="22"/>
        <v>2944.7366666666671</v>
      </c>
      <c r="AD14" s="197">
        <f>'Margins summary'!$U$14</f>
        <v>471.64</v>
      </c>
      <c r="AE14" s="197">
        <f t="shared" si="23"/>
        <v>3416.376666666667</v>
      </c>
      <c r="AF14" s="197"/>
      <c r="AG14" s="913">
        <f>'Energy NPV'!U67</f>
        <v>2629.1</v>
      </c>
      <c r="AH14" s="197"/>
      <c r="AI14" s="197">
        <f t="shared" si="24"/>
        <v>2629.1</v>
      </c>
      <c r="AJ14" s="197">
        <f t="shared" si="2"/>
        <v>315.63666666666722</v>
      </c>
      <c r="AK14" s="197">
        <f t="shared" si="3"/>
        <v>787.2766666666671</v>
      </c>
      <c r="AL14" s="196">
        <f t="shared" si="25"/>
        <v>2620.8051501127329</v>
      </c>
      <c r="AM14" s="197">
        <f t="shared" si="26"/>
        <v>419.75792096831606</v>
      </c>
      <c r="AN14" s="197">
        <f t="shared" si="27"/>
        <v>2339.8896404414377</v>
      </c>
      <c r="AO14" s="197">
        <f t="shared" si="28"/>
        <v>280.91550967129513</v>
      </c>
      <c r="AP14" s="199">
        <f t="shared" si="29"/>
        <v>700.67343063961107</v>
      </c>
      <c r="AQ14" s="196">
        <f t="shared" ref="AQ14:AQ27" si="68">AQ13+AL14</f>
        <v>5274.990307345437</v>
      </c>
      <c r="AR14" s="197">
        <f t="shared" si="30"/>
        <v>1336.3413171947311</v>
      </c>
      <c r="AS14" s="197">
        <f t="shared" si="30"/>
        <v>33210.04765930937</v>
      </c>
      <c r="AT14" s="197">
        <f t="shared" si="30"/>
        <v>-27935.057351963926</v>
      </c>
      <c r="AU14" s="199">
        <f t="shared" si="30"/>
        <v>-26598.716034769197</v>
      </c>
      <c r="AX14" s="204">
        <f t="shared" ref="AX14:AX27" si="69">AX13+1</f>
        <v>3</v>
      </c>
      <c r="AY14" s="197">
        <f>'Energy NPV'!$D67</f>
        <v>10.926666666666668</v>
      </c>
      <c r="AZ14" s="197">
        <f>'Energy margins'!$S$12</f>
        <v>269.5</v>
      </c>
      <c r="BA14" s="197">
        <f t="shared" si="4"/>
        <v>2944.7366666666671</v>
      </c>
      <c r="BB14" s="197">
        <f>'Margins summary'!$U$14</f>
        <v>471.64</v>
      </c>
      <c r="BC14" s="197">
        <f t="shared" si="5"/>
        <v>3416.376666666667</v>
      </c>
      <c r="BD14" s="197"/>
      <c r="BE14" s="913">
        <f>'Energy NPV'!U67</f>
        <v>2629.1</v>
      </c>
      <c r="BF14" s="197"/>
      <c r="BG14" s="197">
        <f t="shared" si="6"/>
        <v>2629.1</v>
      </c>
      <c r="BH14" s="197">
        <f t="shared" si="7"/>
        <v>315.63666666666722</v>
      </c>
      <c r="BI14" s="197">
        <f t="shared" si="8"/>
        <v>787.2766666666671</v>
      </c>
      <c r="BJ14" s="196">
        <f t="shared" si="31"/>
        <v>2830.3889529668081</v>
      </c>
      <c r="BK14" s="197">
        <f t="shared" si="32"/>
        <v>453.32564398308341</v>
      </c>
      <c r="BL14" s="197">
        <f t="shared" si="33"/>
        <v>2527.0088427527871</v>
      </c>
      <c r="BM14" s="197">
        <f t="shared" si="34"/>
        <v>303.38011021402076</v>
      </c>
      <c r="BN14" s="199">
        <f t="shared" si="35"/>
        <v>756.70575419710406</v>
      </c>
      <c r="BO14" s="196">
        <f t="shared" si="36"/>
        <v>5567.0293451236703</v>
      </c>
      <c r="BP14" s="197">
        <f t="shared" si="37"/>
        <v>1387.3578008458285</v>
      </c>
      <c r="BQ14" s="197">
        <f t="shared" si="38"/>
        <v>33494.432862360634</v>
      </c>
      <c r="BR14" s="197">
        <f t="shared" si="39"/>
        <v>-27927.403517236962</v>
      </c>
      <c r="BS14" s="199">
        <f t="shared" si="40"/>
        <v>-26540.045716391134</v>
      </c>
      <c r="BV14" s="204">
        <f t="shared" ref="BV14:BV27" si="70">BV13+1</f>
        <v>3</v>
      </c>
      <c r="BW14" s="197">
        <f>'Energy NPV'!$D67</f>
        <v>10.926666666666668</v>
      </c>
      <c r="BX14" s="197">
        <f>'Energy margins'!$S$12</f>
        <v>269.5</v>
      </c>
      <c r="BY14" s="197">
        <f t="shared" si="41"/>
        <v>2944.7366666666671</v>
      </c>
      <c r="BZ14" s="197">
        <f>'Margins summary'!$U$14</f>
        <v>471.64</v>
      </c>
      <c r="CA14" s="197">
        <f t="shared" si="42"/>
        <v>3416.376666666667</v>
      </c>
      <c r="CB14" s="197"/>
      <c r="CC14" s="913">
        <f>'Energy NPV'!U67</f>
        <v>2629.1</v>
      </c>
      <c r="CD14" s="197"/>
      <c r="CE14" s="197">
        <f t="shared" si="43"/>
        <v>2629.1</v>
      </c>
      <c r="CF14" s="197">
        <f t="shared" si="9"/>
        <v>315.63666666666722</v>
      </c>
      <c r="CG14" s="197">
        <f t="shared" si="10"/>
        <v>787.2766666666671</v>
      </c>
      <c r="CH14" s="196">
        <f t="shared" si="44"/>
        <v>2524.6370598994058</v>
      </c>
      <c r="CI14" s="197">
        <f t="shared" si="45"/>
        <v>404.35528120713303</v>
      </c>
      <c r="CJ14" s="197">
        <f t="shared" si="46"/>
        <v>2254.0294924554182</v>
      </c>
      <c r="CK14" s="197">
        <f t="shared" si="47"/>
        <v>270.60756744398765</v>
      </c>
      <c r="CL14" s="199">
        <f t="shared" si="48"/>
        <v>674.96284865112057</v>
      </c>
      <c r="CM14" s="196">
        <f t="shared" ref="CM14:CM27" si="71">CM13+CH14</f>
        <v>5139.8850228623687</v>
      </c>
      <c r="CN14" s="197">
        <f t="shared" si="49"/>
        <v>1312.6989849108365</v>
      </c>
      <c r="CO14" s="197">
        <f t="shared" si="50"/>
        <v>33078.256344307272</v>
      </c>
      <c r="CP14" s="197">
        <f t="shared" si="51"/>
        <v>-27938.371321444902</v>
      </c>
      <c r="CQ14" s="199">
        <f t="shared" si="52"/>
        <v>-26625.672336534066</v>
      </c>
      <c r="CT14" s="204">
        <f t="shared" ref="CT14:CT27" si="72">CT13+1</f>
        <v>3</v>
      </c>
      <c r="CU14" s="197">
        <f>'Energy NPV'!$D67</f>
        <v>10.926666666666668</v>
      </c>
      <c r="CV14" s="197">
        <f>'Energy margins'!$S$12</f>
        <v>269.5</v>
      </c>
      <c r="CW14" s="197">
        <f t="shared" si="53"/>
        <v>2944.7366666666671</v>
      </c>
      <c r="CX14" s="197">
        <f>'Margins summary'!$U$14</f>
        <v>471.64</v>
      </c>
      <c r="CY14" s="197">
        <f t="shared" si="54"/>
        <v>3416.376666666667</v>
      </c>
      <c r="CZ14" s="197"/>
      <c r="DA14" s="913">
        <f>'Energy NPV'!U67</f>
        <v>2629.1</v>
      </c>
      <c r="DB14" s="197"/>
      <c r="DC14" s="197">
        <f t="shared" si="55"/>
        <v>2629.1</v>
      </c>
      <c r="DD14" s="197">
        <f t="shared" si="11"/>
        <v>315.63666666666722</v>
      </c>
      <c r="DE14" s="197">
        <f t="shared" si="12"/>
        <v>787.2766666666671</v>
      </c>
      <c r="DF14" s="196">
        <f t="shared" si="56"/>
        <v>2944.7366666666671</v>
      </c>
      <c r="DG14" s="197">
        <f t="shared" si="57"/>
        <v>471.64</v>
      </c>
      <c r="DH14" s="197">
        <f t="shared" si="58"/>
        <v>2629.1</v>
      </c>
      <c r="DI14" s="197">
        <f t="shared" si="59"/>
        <v>315.63666666666722</v>
      </c>
      <c r="DJ14" s="199">
        <f t="shared" si="60"/>
        <v>787.2766666666671</v>
      </c>
      <c r="DK14" s="196">
        <f t="shared" ref="DK14:DK27" si="73">DK13+DF14</f>
        <v>5725.0783333333329</v>
      </c>
      <c r="DL14" s="197">
        <f t="shared" si="61"/>
        <v>1414.92</v>
      </c>
      <c r="DM14" s="197">
        <f t="shared" si="62"/>
        <v>33648.075000000004</v>
      </c>
      <c r="DN14" s="197">
        <f t="shared" si="63"/>
        <v>-27922.996666666666</v>
      </c>
      <c r="DO14" s="199">
        <f t="shared" si="64"/>
        <v>-26508.076666666668</v>
      </c>
    </row>
    <row r="15" spans="2:119" x14ac:dyDescent="0.3">
      <c r="B15" s="204">
        <f t="shared" si="65"/>
        <v>4</v>
      </c>
      <c r="C15" s="225">
        <f>'Energy NPV'!$D68</f>
        <v>11.617000000000001</v>
      </c>
      <c r="D15" s="197">
        <f>'Energy margins'!$S$12</f>
        <v>269.5</v>
      </c>
      <c r="E15" s="197">
        <f t="shared" si="13"/>
        <v>3130.7815000000001</v>
      </c>
      <c r="F15" s="197">
        <f>'Margins summary'!$U$14</f>
        <v>471.64</v>
      </c>
      <c r="G15" s="197">
        <f t="shared" si="14"/>
        <v>3602.4214999999999</v>
      </c>
      <c r="H15" s="197"/>
      <c r="I15" s="913">
        <f>'Energy NPV'!U68</f>
        <v>1840.1999999999998</v>
      </c>
      <c r="J15" s="197"/>
      <c r="K15" s="197">
        <f t="shared" si="15"/>
        <v>1840.1999999999998</v>
      </c>
      <c r="L15" s="197">
        <f t="shared" si="0"/>
        <v>1290.5815000000002</v>
      </c>
      <c r="M15" s="197">
        <f t="shared" si="1"/>
        <v>1762.2215000000001</v>
      </c>
      <c r="N15" s="196">
        <f t="shared" si="16"/>
        <v>2783.2533532942648</v>
      </c>
      <c r="O15" s="197">
        <f t="shared" si="17"/>
        <v>419.28624260355025</v>
      </c>
      <c r="P15" s="197">
        <f t="shared" si="18"/>
        <v>1635.9310992262174</v>
      </c>
      <c r="Q15" s="197">
        <f t="shared" si="19"/>
        <v>1147.3222540680474</v>
      </c>
      <c r="R15" s="199">
        <f t="shared" si="20"/>
        <v>1566.6084966715975</v>
      </c>
      <c r="S15" s="196">
        <f t="shared" si="66"/>
        <v>8200.44787005955</v>
      </c>
      <c r="T15" s="197">
        <f t="shared" si="21"/>
        <v>1780.4839349112426</v>
      </c>
      <c r="U15" s="197">
        <f t="shared" si="21"/>
        <v>34984.537608101964</v>
      </c>
      <c r="V15" s="197">
        <f t="shared" si="21"/>
        <v>-26784.08973804241</v>
      </c>
      <c r="W15" s="199">
        <f t="shared" si="21"/>
        <v>-25003.605803131166</v>
      </c>
      <c r="Z15" s="204">
        <f t="shared" si="67"/>
        <v>4</v>
      </c>
      <c r="AA15" s="225">
        <f>'Energy NPV'!$D68</f>
        <v>11.617000000000001</v>
      </c>
      <c r="AB15" s="197">
        <f>'Energy margins'!$S$12</f>
        <v>269.5</v>
      </c>
      <c r="AC15" s="197">
        <f t="shared" si="22"/>
        <v>3130.7815000000001</v>
      </c>
      <c r="AD15" s="197">
        <f>'Margins summary'!$U$14</f>
        <v>471.64</v>
      </c>
      <c r="AE15" s="197">
        <f t="shared" si="23"/>
        <v>3602.4214999999999</v>
      </c>
      <c r="AF15" s="197"/>
      <c r="AG15" s="913">
        <f>'Energy NPV'!U68</f>
        <v>1840.1999999999998</v>
      </c>
      <c r="AH15" s="197"/>
      <c r="AI15" s="197">
        <f t="shared" si="24"/>
        <v>1840.1999999999998</v>
      </c>
      <c r="AJ15" s="197">
        <f t="shared" si="2"/>
        <v>1290.5815000000002</v>
      </c>
      <c r="AK15" s="197">
        <f t="shared" si="3"/>
        <v>1762.2215000000001</v>
      </c>
      <c r="AL15" s="196">
        <f t="shared" si="25"/>
        <v>2628.6645183607939</v>
      </c>
      <c r="AM15" s="197">
        <f t="shared" si="26"/>
        <v>395.99803864935473</v>
      </c>
      <c r="AN15" s="197">
        <f t="shared" si="27"/>
        <v>1545.0674046360414</v>
      </c>
      <c r="AO15" s="197">
        <f t="shared" si="28"/>
        <v>1083.5971137247525</v>
      </c>
      <c r="AP15" s="199">
        <f t="shared" si="29"/>
        <v>1479.5951523741071</v>
      </c>
      <c r="AQ15" s="196">
        <f t="shared" si="68"/>
        <v>7903.6548257062313</v>
      </c>
      <c r="AR15" s="197">
        <f t="shared" si="30"/>
        <v>1732.3393558440857</v>
      </c>
      <c r="AS15" s="197">
        <f t="shared" si="30"/>
        <v>34755.115063945414</v>
      </c>
      <c r="AT15" s="197">
        <f t="shared" si="30"/>
        <v>-26851.460238239175</v>
      </c>
      <c r="AU15" s="199">
        <f t="shared" si="30"/>
        <v>-25119.120882395091</v>
      </c>
      <c r="AX15" s="204">
        <f t="shared" si="69"/>
        <v>4</v>
      </c>
      <c r="AY15" s="225">
        <f>'Energy NPV'!$D68</f>
        <v>11.617000000000001</v>
      </c>
      <c r="AZ15" s="197">
        <f>'Energy margins'!$S$12</f>
        <v>269.5</v>
      </c>
      <c r="BA15" s="197">
        <f t="shared" si="4"/>
        <v>3130.7815000000001</v>
      </c>
      <c r="BB15" s="197">
        <f>'Margins summary'!$U$14</f>
        <v>471.64</v>
      </c>
      <c r="BC15" s="197">
        <f t="shared" si="5"/>
        <v>3602.4214999999999</v>
      </c>
      <c r="BD15" s="197"/>
      <c r="BE15" s="913">
        <f>'Energy NPV'!U68</f>
        <v>1840.1999999999998</v>
      </c>
      <c r="BF15" s="197"/>
      <c r="BG15" s="197">
        <f t="shared" si="6"/>
        <v>1840.1999999999998</v>
      </c>
      <c r="BH15" s="197">
        <f t="shared" si="7"/>
        <v>1290.5815000000002</v>
      </c>
      <c r="BI15" s="197">
        <f t="shared" si="8"/>
        <v>1762.2215000000001</v>
      </c>
      <c r="BJ15" s="196">
        <f t="shared" si="31"/>
        <v>2950.2053320366981</v>
      </c>
      <c r="BK15" s="197">
        <f t="shared" si="32"/>
        <v>444.4369058657681</v>
      </c>
      <c r="BL15" s="197">
        <f t="shared" si="33"/>
        <v>1734.0615600334713</v>
      </c>
      <c r="BM15" s="197">
        <f t="shared" si="34"/>
        <v>1216.1437720032268</v>
      </c>
      <c r="BN15" s="199">
        <f t="shared" si="35"/>
        <v>1660.5806778689948</v>
      </c>
      <c r="BO15" s="196">
        <f t="shared" si="36"/>
        <v>8517.2346771603679</v>
      </c>
      <c r="BP15" s="197">
        <f t="shared" si="37"/>
        <v>1831.7947067115965</v>
      </c>
      <c r="BQ15" s="197">
        <f t="shared" si="38"/>
        <v>35228.494422394106</v>
      </c>
      <c r="BR15" s="197">
        <f t="shared" si="39"/>
        <v>-26711.259745233736</v>
      </c>
      <c r="BS15" s="199">
        <f t="shared" si="40"/>
        <v>-24879.465038522139</v>
      </c>
      <c r="BV15" s="204">
        <f t="shared" si="70"/>
        <v>4</v>
      </c>
      <c r="BW15" s="225">
        <f>'Energy NPV'!$D68</f>
        <v>11.617000000000001</v>
      </c>
      <c r="BX15" s="197">
        <f>'Energy margins'!$S$12</f>
        <v>269.5</v>
      </c>
      <c r="BY15" s="197">
        <f t="shared" si="41"/>
        <v>3130.7815000000001</v>
      </c>
      <c r="BZ15" s="197">
        <f>'Margins summary'!$U$14</f>
        <v>471.64</v>
      </c>
      <c r="CA15" s="197">
        <f t="shared" si="42"/>
        <v>3602.4214999999999</v>
      </c>
      <c r="CB15" s="197"/>
      <c r="CC15" s="913">
        <f>'Energy NPV'!U68</f>
        <v>1840.1999999999998</v>
      </c>
      <c r="CD15" s="197"/>
      <c r="CE15" s="197">
        <f t="shared" si="43"/>
        <v>1840.1999999999998</v>
      </c>
      <c r="CF15" s="197">
        <f t="shared" si="9"/>
        <v>1290.5815000000002</v>
      </c>
      <c r="CG15" s="197">
        <f t="shared" si="10"/>
        <v>1762.2215000000001</v>
      </c>
      <c r="CH15" s="196">
        <f t="shared" si="44"/>
        <v>2485.3152942894881</v>
      </c>
      <c r="CI15" s="197">
        <f t="shared" si="45"/>
        <v>374.40303815475278</v>
      </c>
      <c r="CJ15" s="197">
        <f t="shared" si="46"/>
        <v>1460.8100899253159</v>
      </c>
      <c r="CK15" s="197">
        <f t="shared" si="47"/>
        <v>1024.5052043641722</v>
      </c>
      <c r="CL15" s="199">
        <f t="shared" si="48"/>
        <v>1398.9082425189249</v>
      </c>
      <c r="CM15" s="196">
        <f t="shared" si="71"/>
        <v>7625.2003171518572</v>
      </c>
      <c r="CN15" s="197">
        <f t="shared" si="49"/>
        <v>1687.1020230655893</v>
      </c>
      <c r="CO15" s="197">
        <f t="shared" si="50"/>
        <v>34539.066434232591</v>
      </c>
      <c r="CP15" s="197">
        <f t="shared" si="51"/>
        <v>-26913.866117080728</v>
      </c>
      <c r="CQ15" s="199">
        <f t="shared" si="52"/>
        <v>-25226.76409401514</v>
      </c>
      <c r="CT15" s="204">
        <f t="shared" si="72"/>
        <v>4</v>
      </c>
      <c r="CU15" s="225">
        <f>'Energy NPV'!$D68</f>
        <v>11.617000000000001</v>
      </c>
      <c r="CV15" s="197">
        <f>'Energy margins'!$S$12</f>
        <v>269.5</v>
      </c>
      <c r="CW15" s="197">
        <f t="shared" si="53"/>
        <v>3130.7815000000001</v>
      </c>
      <c r="CX15" s="197">
        <f>'Margins summary'!$U$14</f>
        <v>471.64</v>
      </c>
      <c r="CY15" s="197">
        <f t="shared" si="54"/>
        <v>3602.4214999999999</v>
      </c>
      <c r="CZ15" s="197"/>
      <c r="DA15" s="913">
        <f>'Energy NPV'!U68</f>
        <v>1840.1999999999998</v>
      </c>
      <c r="DB15" s="197"/>
      <c r="DC15" s="197">
        <f t="shared" si="55"/>
        <v>1840.1999999999998</v>
      </c>
      <c r="DD15" s="197">
        <f t="shared" si="11"/>
        <v>1290.5815000000002</v>
      </c>
      <c r="DE15" s="197">
        <f t="shared" si="12"/>
        <v>1762.2215000000001</v>
      </c>
      <c r="DF15" s="196">
        <f t="shared" si="56"/>
        <v>3130.7815000000001</v>
      </c>
      <c r="DG15" s="197">
        <f t="shared" si="57"/>
        <v>471.64</v>
      </c>
      <c r="DH15" s="197">
        <f t="shared" si="58"/>
        <v>1840.1999999999998</v>
      </c>
      <c r="DI15" s="197">
        <f t="shared" si="59"/>
        <v>1290.5815000000002</v>
      </c>
      <c r="DJ15" s="199">
        <f t="shared" si="60"/>
        <v>1762.2215000000001</v>
      </c>
      <c r="DK15" s="196">
        <f t="shared" si="73"/>
        <v>8855.8598333333321</v>
      </c>
      <c r="DL15" s="197">
        <f t="shared" si="61"/>
        <v>1886.56</v>
      </c>
      <c r="DM15" s="197">
        <f t="shared" si="62"/>
        <v>35488.275000000001</v>
      </c>
      <c r="DN15" s="197">
        <f t="shared" si="63"/>
        <v>-26632.415166666666</v>
      </c>
      <c r="DO15" s="199">
        <f t="shared" si="64"/>
        <v>-24745.855166666668</v>
      </c>
    </row>
    <row r="16" spans="2:119" x14ac:dyDescent="0.3">
      <c r="B16" s="204">
        <f t="shared" si="65"/>
        <v>5</v>
      </c>
      <c r="C16" s="225">
        <f>'Energy NPV'!$D69</f>
        <v>11.617000000000001</v>
      </c>
      <c r="D16" s="197">
        <f>'Energy margins'!$S$12</f>
        <v>269.5</v>
      </c>
      <c r="E16" s="197">
        <f t="shared" si="13"/>
        <v>3130.7815000000001</v>
      </c>
      <c r="F16" s="197">
        <f>'Margins summary'!$U$14</f>
        <v>471.64</v>
      </c>
      <c r="G16" s="197">
        <f t="shared" si="14"/>
        <v>3602.4214999999999</v>
      </c>
      <c r="H16" s="197"/>
      <c r="I16" s="913">
        <f>'Energy NPV'!U69</f>
        <v>1840.1999999999998</v>
      </c>
      <c r="J16" s="197"/>
      <c r="K16" s="197">
        <f t="shared" si="15"/>
        <v>1840.1999999999998</v>
      </c>
      <c r="L16" s="197">
        <f t="shared" si="0"/>
        <v>1290.5815000000002</v>
      </c>
      <c r="M16" s="197">
        <f t="shared" si="1"/>
        <v>1762.2215000000001</v>
      </c>
      <c r="N16" s="196">
        <f t="shared" si="16"/>
        <v>2676.2051473983311</v>
      </c>
      <c r="O16" s="197">
        <f t="shared" si="17"/>
        <v>403.15984865725983</v>
      </c>
      <c r="P16" s="197">
        <f t="shared" si="18"/>
        <v>1573.0106723329011</v>
      </c>
      <c r="Q16" s="197">
        <f t="shared" si="19"/>
        <v>1103.1944750654302</v>
      </c>
      <c r="R16" s="199">
        <f t="shared" si="20"/>
        <v>1506.3543237226897</v>
      </c>
      <c r="S16" s="196">
        <f t="shared" si="66"/>
        <v>10876.65301745788</v>
      </c>
      <c r="T16" s="197">
        <f t="shared" si="21"/>
        <v>2183.6437835685024</v>
      </c>
      <c r="U16" s="197">
        <f t="shared" si="21"/>
        <v>36557.548280434865</v>
      </c>
      <c r="V16" s="197">
        <f t="shared" si="21"/>
        <v>-25680.895262976981</v>
      </c>
      <c r="W16" s="199">
        <f t="shared" si="21"/>
        <v>-23497.251479408475</v>
      </c>
      <c r="Z16" s="204">
        <f t="shared" si="67"/>
        <v>5</v>
      </c>
      <c r="AA16" s="225">
        <f>'Energy NPV'!$D69</f>
        <v>11.617000000000001</v>
      </c>
      <c r="AB16" s="197">
        <f>'Energy margins'!$S$12</f>
        <v>269.5</v>
      </c>
      <c r="AC16" s="197">
        <f t="shared" si="22"/>
        <v>3130.7815000000001</v>
      </c>
      <c r="AD16" s="197">
        <f>'Margins summary'!$U$14</f>
        <v>471.64</v>
      </c>
      <c r="AE16" s="197">
        <f t="shared" si="23"/>
        <v>3602.4214999999999</v>
      </c>
      <c r="AF16" s="197"/>
      <c r="AG16" s="913">
        <f>'Energy NPV'!U69</f>
        <v>1840.1999999999998</v>
      </c>
      <c r="AH16" s="197"/>
      <c r="AI16" s="197">
        <f t="shared" si="24"/>
        <v>1840.1999999999998</v>
      </c>
      <c r="AJ16" s="197">
        <f t="shared" si="2"/>
        <v>1290.5815000000002</v>
      </c>
      <c r="AK16" s="197">
        <f t="shared" si="3"/>
        <v>1762.2215000000001</v>
      </c>
      <c r="AL16" s="196">
        <f t="shared" si="25"/>
        <v>2479.8721871328244</v>
      </c>
      <c r="AM16" s="197">
        <f t="shared" si="26"/>
        <v>373.58305532957991</v>
      </c>
      <c r="AN16" s="197">
        <f t="shared" si="27"/>
        <v>1457.6107590906049</v>
      </c>
      <c r="AO16" s="197">
        <f t="shared" si="28"/>
        <v>1022.2614280422194</v>
      </c>
      <c r="AP16" s="199">
        <f t="shared" si="29"/>
        <v>1395.8444833717992</v>
      </c>
      <c r="AQ16" s="196">
        <f t="shared" si="68"/>
        <v>10383.527012839055</v>
      </c>
      <c r="AR16" s="197">
        <f t="shared" si="30"/>
        <v>2105.9224111736658</v>
      </c>
      <c r="AS16" s="197">
        <f t="shared" si="30"/>
        <v>36212.725823036017</v>
      </c>
      <c r="AT16" s="197">
        <f t="shared" si="30"/>
        <v>-25829.198810196955</v>
      </c>
      <c r="AU16" s="199">
        <f t="shared" si="30"/>
        <v>-23723.276399023292</v>
      </c>
      <c r="AX16" s="204">
        <f t="shared" si="69"/>
        <v>5</v>
      </c>
      <c r="AY16" s="225">
        <f>'Energy NPV'!$D69</f>
        <v>11.617000000000001</v>
      </c>
      <c r="AZ16" s="197">
        <f>'Energy margins'!$S$12</f>
        <v>269.5</v>
      </c>
      <c r="BA16" s="197">
        <f t="shared" si="4"/>
        <v>3130.7815000000001</v>
      </c>
      <c r="BB16" s="197">
        <f>'Margins summary'!$U$14</f>
        <v>471.64</v>
      </c>
      <c r="BC16" s="197">
        <f t="shared" si="5"/>
        <v>3602.4214999999999</v>
      </c>
      <c r="BD16" s="197"/>
      <c r="BE16" s="913">
        <f>'Energy NPV'!U69</f>
        <v>1840.1999999999998</v>
      </c>
      <c r="BF16" s="197"/>
      <c r="BG16" s="197">
        <f t="shared" si="6"/>
        <v>1840.1999999999998</v>
      </c>
      <c r="BH16" s="197">
        <f t="shared" si="7"/>
        <v>1290.5815000000002</v>
      </c>
      <c r="BI16" s="197">
        <f t="shared" si="8"/>
        <v>1762.2215000000001</v>
      </c>
      <c r="BJ16" s="196">
        <f t="shared" si="31"/>
        <v>2892.3581686634293</v>
      </c>
      <c r="BK16" s="197">
        <f t="shared" si="32"/>
        <v>435.72245673114514</v>
      </c>
      <c r="BL16" s="197">
        <f t="shared" si="33"/>
        <v>1700.0603529739913</v>
      </c>
      <c r="BM16" s="197">
        <f t="shared" si="34"/>
        <v>1192.297815689438</v>
      </c>
      <c r="BN16" s="199">
        <f t="shared" si="35"/>
        <v>1628.0202724205831</v>
      </c>
      <c r="BO16" s="196">
        <f t="shared" si="36"/>
        <v>11409.592845823798</v>
      </c>
      <c r="BP16" s="197">
        <f t="shared" si="37"/>
        <v>2267.5171634427415</v>
      </c>
      <c r="BQ16" s="197">
        <f t="shared" si="38"/>
        <v>36928.554775368095</v>
      </c>
      <c r="BR16" s="197">
        <f t="shared" si="39"/>
        <v>-25518.961929544297</v>
      </c>
      <c r="BS16" s="199">
        <f t="shared" si="40"/>
        <v>-23251.444766101555</v>
      </c>
      <c r="BV16" s="204">
        <f t="shared" si="70"/>
        <v>5</v>
      </c>
      <c r="BW16" s="225">
        <f>'Energy NPV'!$D69</f>
        <v>11.617000000000001</v>
      </c>
      <c r="BX16" s="197">
        <f>'Energy margins'!$S$12</f>
        <v>269.5</v>
      </c>
      <c r="BY16" s="197">
        <f t="shared" si="41"/>
        <v>3130.7815000000001</v>
      </c>
      <c r="BZ16" s="197">
        <f>'Margins summary'!$U$14</f>
        <v>471.64</v>
      </c>
      <c r="CA16" s="197">
        <f t="shared" si="42"/>
        <v>3602.4214999999999</v>
      </c>
      <c r="CB16" s="197"/>
      <c r="CC16" s="913">
        <f>'Energy NPV'!U69</f>
        <v>1840.1999999999998</v>
      </c>
      <c r="CD16" s="197"/>
      <c r="CE16" s="197">
        <f t="shared" si="43"/>
        <v>1840.1999999999998</v>
      </c>
      <c r="CF16" s="197">
        <f t="shared" si="9"/>
        <v>1290.5815000000002</v>
      </c>
      <c r="CG16" s="197">
        <f t="shared" si="10"/>
        <v>1762.2215000000001</v>
      </c>
      <c r="CH16" s="196">
        <f t="shared" si="44"/>
        <v>2301.2178650828591</v>
      </c>
      <c r="CI16" s="197">
        <f t="shared" si="45"/>
        <v>346.6694797729192</v>
      </c>
      <c r="CJ16" s="197">
        <f t="shared" si="46"/>
        <v>1352.6019351160332</v>
      </c>
      <c r="CK16" s="197">
        <f t="shared" si="47"/>
        <v>948.615929966826</v>
      </c>
      <c r="CL16" s="199">
        <f t="shared" si="48"/>
        <v>1295.2854097397451</v>
      </c>
      <c r="CM16" s="196">
        <f t="shared" si="71"/>
        <v>9926.4181822347164</v>
      </c>
      <c r="CN16" s="197">
        <f t="shared" si="49"/>
        <v>2033.7715028385085</v>
      </c>
      <c r="CO16" s="197">
        <f t="shared" si="50"/>
        <v>35891.668369348627</v>
      </c>
      <c r="CP16" s="197">
        <f t="shared" si="51"/>
        <v>-25965.250187113903</v>
      </c>
      <c r="CQ16" s="199">
        <f t="shared" si="52"/>
        <v>-23931.478684275393</v>
      </c>
      <c r="CT16" s="204">
        <f t="shared" si="72"/>
        <v>5</v>
      </c>
      <c r="CU16" s="225">
        <f>'Energy NPV'!$D69</f>
        <v>11.617000000000001</v>
      </c>
      <c r="CV16" s="197">
        <f>'Energy margins'!$S$12</f>
        <v>269.5</v>
      </c>
      <c r="CW16" s="197">
        <f t="shared" si="53"/>
        <v>3130.7815000000001</v>
      </c>
      <c r="CX16" s="197">
        <f>'Margins summary'!$U$14</f>
        <v>471.64</v>
      </c>
      <c r="CY16" s="197">
        <f t="shared" si="54"/>
        <v>3602.4214999999999</v>
      </c>
      <c r="CZ16" s="197"/>
      <c r="DA16" s="913">
        <f>'Energy NPV'!U69</f>
        <v>1840.1999999999998</v>
      </c>
      <c r="DB16" s="197"/>
      <c r="DC16" s="197">
        <f t="shared" si="55"/>
        <v>1840.1999999999998</v>
      </c>
      <c r="DD16" s="197">
        <f t="shared" si="11"/>
        <v>1290.5815000000002</v>
      </c>
      <c r="DE16" s="197">
        <f t="shared" si="12"/>
        <v>1762.2215000000001</v>
      </c>
      <c r="DF16" s="196">
        <f t="shared" si="56"/>
        <v>3130.7815000000001</v>
      </c>
      <c r="DG16" s="197">
        <f t="shared" si="57"/>
        <v>471.64</v>
      </c>
      <c r="DH16" s="197">
        <f t="shared" si="58"/>
        <v>1840.1999999999998</v>
      </c>
      <c r="DI16" s="197">
        <f t="shared" si="59"/>
        <v>1290.5815000000002</v>
      </c>
      <c r="DJ16" s="199">
        <f t="shared" si="60"/>
        <v>1762.2215000000001</v>
      </c>
      <c r="DK16" s="196">
        <f t="shared" si="73"/>
        <v>11986.641333333333</v>
      </c>
      <c r="DL16" s="197">
        <f t="shared" si="61"/>
        <v>2358.1999999999998</v>
      </c>
      <c r="DM16" s="197">
        <f t="shared" si="62"/>
        <v>37328.474999999999</v>
      </c>
      <c r="DN16" s="197">
        <f t="shared" si="63"/>
        <v>-25341.833666666666</v>
      </c>
      <c r="DO16" s="199">
        <f t="shared" si="64"/>
        <v>-22983.633666666668</v>
      </c>
    </row>
    <row r="17" spans="2:119" x14ac:dyDescent="0.3">
      <c r="B17" s="204">
        <f t="shared" si="65"/>
        <v>6</v>
      </c>
      <c r="C17" s="225">
        <f>'Energy NPV'!$D70</f>
        <v>11.617000000000001</v>
      </c>
      <c r="D17" s="197">
        <f>'Energy margins'!$S$12</f>
        <v>269.5</v>
      </c>
      <c r="E17" s="197">
        <f t="shared" si="13"/>
        <v>3130.7815000000001</v>
      </c>
      <c r="F17" s="197">
        <f>'Margins summary'!$U$14</f>
        <v>471.64</v>
      </c>
      <c r="G17" s="197">
        <f t="shared" si="14"/>
        <v>3602.4214999999999</v>
      </c>
      <c r="H17" s="197"/>
      <c r="I17" s="913">
        <f>'Energy NPV'!U70</f>
        <v>1840.1999999999998</v>
      </c>
      <c r="J17" s="197"/>
      <c r="K17" s="197">
        <f t="shared" si="15"/>
        <v>1840.1999999999998</v>
      </c>
      <c r="L17" s="197">
        <f t="shared" si="0"/>
        <v>1290.5815000000002</v>
      </c>
      <c r="M17" s="197">
        <f t="shared" si="1"/>
        <v>1762.2215000000001</v>
      </c>
      <c r="N17" s="196">
        <f t="shared" si="16"/>
        <v>2573.2741801907027</v>
      </c>
      <c r="O17" s="197">
        <f t="shared" si="17"/>
        <v>387.65370063198054</v>
      </c>
      <c r="P17" s="197">
        <f t="shared" si="18"/>
        <v>1512.5102618585586</v>
      </c>
      <c r="Q17" s="197">
        <f t="shared" si="19"/>
        <v>1060.7639183321442</v>
      </c>
      <c r="R17" s="199">
        <f t="shared" si="20"/>
        <v>1448.4176189641248</v>
      </c>
      <c r="S17" s="196">
        <f t="shared" si="66"/>
        <v>13449.927197648583</v>
      </c>
      <c r="T17" s="197">
        <f t="shared" si="21"/>
        <v>2571.2974842004828</v>
      </c>
      <c r="U17" s="197">
        <f t="shared" si="21"/>
        <v>38070.058542293424</v>
      </c>
      <c r="V17" s="197">
        <f t="shared" si="21"/>
        <v>-24620.131344644837</v>
      </c>
      <c r="W17" s="199">
        <f t="shared" si="21"/>
        <v>-22048.833860444349</v>
      </c>
      <c r="Z17" s="204">
        <f t="shared" si="67"/>
        <v>6</v>
      </c>
      <c r="AA17" s="225">
        <f>'Energy NPV'!$D70</f>
        <v>11.617000000000001</v>
      </c>
      <c r="AB17" s="197">
        <f>'Energy margins'!$S$12</f>
        <v>269.5</v>
      </c>
      <c r="AC17" s="197">
        <f t="shared" si="22"/>
        <v>3130.7815000000001</v>
      </c>
      <c r="AD17" s="197">
        <f>'Margins summary'!$U$14</f>
        <v>471.64</v>
      </c>
      <c r="AE17" s="197">
        <f t="shared" si="23"/>
        <v>3602.4214999999999</v>
      </c>
      <c r="AF17" s="197"/>
      <c r="AG17" s="913">
        <f>'Energy NPV'!U70</f>
        <v>1840.1999999999998</v>
      </c>
      <c r="AH17" s="197"/>
      <c r="AI17" s="197">
        <f t="shared" si="24"/>
        <v>1840.1999999999998</v>
      </c>
      <c r="AJ17" s="197">
        <f t="shared" si="2"/>
        <v>1290.5815000000002</v>
      </c>
      <c r="AK17" s="197">
        <f t="shared" si="3"/>
        <v>1762.2215000000001</v>
      </c>
      <c r="AL17" s="196">
        <f t="shared" si="25"/>
        <v>2339.5020633328531</v>
      </c>
      <c r="AM17" s="197">
        <f t="shared" si="26"/>
        <v>352.43684465054707</v>
      </c>
      <c r="AN17" s="197">
        <f t="shared" si="27"/>
        <v>1375.1044897081179</v>
      </c>
      <c r="AO17" s="197">
        <f t="shared" si="28"/>
        <v>964.39757362473517</v>
      </c>
      <c r="AP17" s="199">
        <f t="shared" si="29"/>
        <v>1316.8344182752821</v>
      </c>
      <c r="AQ17" s="196">
        <f t="shared" si="68"/>
        <v>12723.029076171908</v>
      </c>
      <c r="AR17" s="197">
        <f t="shared" si="30"/>
        <v>2458.3592558242126</v>
      </c>
      <c r="AS17" s="197">
        <f t="shared" si="30"/>
        <v>37587.830312744132</v>
      </c>
      <c r="AT17" s="197">
        <f t="shared" si="30"/>
        <v>-24864.801236572221</v>
      </c>
      <c r="AU17" s="199">
        <f t="shared" si="30"/>
        <v>-22406.441980748012</v>
      </c>
      <c r="AX17" s="204">
        <f t="shared" si="69"/>
        <v>6</v>
      </c>
      <c r="AY17" s="225">
        <f>'Energy NPV'!$D70</f>
        <v>11.617000000000001</v>
      </c>
      <c r="AZ17" s="197">
        <f>'Energy margins'!$S$12</f>
        <v>269.5</v>
      </c>
      <c r="BA17" s="197">
        <f t="shared" si="4"/>
        <v>3130.7815000000001</v>
      </c>
      <c r="BB17" s="197">
        <f>'Margins summary'!$U$14</f>
        <v>471.64</v>
      </c>
      <c r="BC17" s="197">
        <f t="shared" si="5"/>
        <v>3602.4214999999999</v>
      </c>
      <c r="BD17" s="197"/>
      <c r="BE17" s="913">
        <f>'Energy NPV'!U70</f>
        <v>1840.1999999999998</v>
      </c>
      <c r="BF17" s="197"/>
      <c r="BG17" s="197">
        <f t="shared" si="6"/>
        <v>1840.1999999999998</v>
      </c>
      <c r="BH17" s="197">
        <f t="shared" si="7"/>
        <v>1290.5815000000002</v>
      </c>
      <c r="BI17" s="197">
        <f t="shared" si="8"/>
        <v>1762.2215000000001</v>
      </c>
      <c r="BJ17" s="196">
        <f t="shared" si="31"/>
        <v>2835.6452633955187</v>
      </c>
      <c r="BK17" s="197">
        <f t="shared" si="32"/>
        <v>427.17887914818152</v>
      </c>
      <c r="BL17" s="197">
        <f t="shared" si="33"/>
        <v>1666.7258362490111</v>
      </c>
      <c r="BM17" s="197">
        <f t="shared" si="34"/>
        <v>1168.9194271465078</v>
      </c>
      <c r="BN17" s="199">
        <f t="shared" si="35"/>
        <v>1596.0983062946891</v>
      </c>
      <c r="BO17" s="196">
        <f t="shared" si="36"/>
        <v>14245.238109219317</v>
      </c>
      <c r="BP17" s="197">
        <f t="shared" si="37"/>
        <v>2694.6960425909228</v>
      </c>
      <c r="BQ17" s="197">
        <f t="shared" si="38"/>
        <v>38595.280611617105</v>
      </c>
      <c r="BR17" s="197">
        <f t="shared" si="39"/>
        <v>-24350.042502397788</v>
      </c>
      <c r="BS17" s="199">
        <f t="shared" si="40"/>
        <v>-21655.346459806864</v>
      </c>
      <c r="BV17" s="204">
        <f t="shared" si="70"/>
        <v>6</v>
      </c>
      <c r="BW17" s="225">
        <f>'Energy NPV'!$D70</f>
        <v>11.617000000000001</v>
      </c>
      <c r="BX17" s="197">
        <f>'Energy margins'!$S$12</f>
        <v>269.5</v>
      </c>
      <c r="BY17" s="197">
        <f t="shared" si="41"/>
        <v>3130.7815000000001</v>
      </c>
      <c r="BZ17" s="197">
        <f>'Margins summary'!$U$14</f>
        <v>471.64</v>
      </c>
      <c r="CA17" s="197">
        <f t="shared" si="42"/>
        <v>3602.4214999999999</v>
      </c>
      <c r="CB17" s="197"/>
      <c r="CC17" s="913">
        <f>'Energy NPV'!U70</f>
        <v>1840.1999999999998</v>
      </c>
      <c r="CD17" s="197"/>
      <c r="CE17" s="197">
        <f t="shared" si="43"/>
        <v>1840.1999999999998</v>
      </c>
      <c r="CF17" s="197">
        <f t="shared" si="9"/>
        <v>1290.5815000000002</v>
      </c>
      <c r="CG17" s="197">
        <f t="shared" si="10"/>
        <v>1762.2215000000001</v>
      </c>
      <c r="CH17" s="196">
        <f t="shared" si="44"/>
        <v>2130.7572824841291</v>
      </c>
      <c r="CI17" s="197">
        <f t="shared" si="45"/>
        <v>320.99025904899923</v>
      </c>
      <c r="CJ17" s="197">
        <f t="shared" si="46"/>
        <v>1252.4091991815121</v>
      </c>
      <c r="CK17" s="197">
        <f t="shared" si="47"/>
        <v>878.34808330261671</v>
      </c>
      <c r="CL17" s="199">
        <f t="shared" si="48"/>
        <v>1199.3383423516159</v>
      </c>
      <c r="CM17" s="196">
        <f t="shared" si="71"/>
        <v>12057.175464718846</v>
      </c>
      <c r="CN17" s="197">
        <f t="shared" si="49"/>
        <v>2354.7617618875079</v>
      </c>
      <c r="CO17" s="197">
        <f t="shared" si="50"/>
        <v>37144.077568530141</v>
      </c>
      <c r="CP17" s="197">
        <f t="shared" si="51"/>
        <v>-25086.902103811288</v>
      </c>
      <c r="CQ17" s="199">
        <f t="shared" si="52"/>
        <v>-22732.140341923776</v>
      </c>
      <c r="CT17" s="204">
        <f t="shared" si="72"/>
        <v>6</v>
      </c>
      <c r="CU17" s="225">
        <f>'Energy NPV'!$D70</f>
        <v>11.617000000000001</v>
      </c>
      <c r="CV17" s="197">
        <f>'Energy margins'!$S$12</f>
        <v>269.5</v>
      </c>
      <c r="CW17" s="197">
        <f t="shared" si="53"/>
        <v>3130.7815000000001</v>
      </c>
      <c r="CX17" s="197">
        <f>'Margins summary'!$U$14</f>
        <v>471.64</v>
      </c>
      <c r="CY17" s="197">
        <f t="shared" si="54"/>
        <v>3602.4214999999999</v>
      </c>
      <c r="CZ17" s="197"/>
      <c r="DA17" s="913">
        <f>'Energy NPV'!U70</f>
        <v>1840.1999999999998</v>
      </c>
      <c r="DB17" s="197"/>
      <c r="DC17" s="197">
        <f t="shared" si="55"/>
        <v>1840.1999999999998</v>
      </c>
      <c r="DD17" s="197">
        <f t="shared" si="11"/>
        <v>1290.5815000000002</v>
      </c>
      <c r="DE17" s="197">
        <f t="shared" si="12"/>
        <v>1762.2215000000001</v>
      </c>
      <c r="DF17" s="196">
        <f t="shared" si="56"/>
        <v>3130.7815000000001</v>
      </c>
      <c r="DG17" s="197">
        <f t="shared" si="57"/>
        <v>471.64</v>
      </c>
      <c r="DH17" s="197">
        <f t="shared" si="58"/>
        <v>1840.1999999999998</v>
      </c>
      <c r="DI17" s="197">
        <f t="shared" si="59"/>
        <v>1290.5815000000002</v>
      </c>
      <c r="DJ17" s="199">
        <f t="shared" si="60"/>
        <v>1762.2215000000001</v>
      </c>
      <c r="DK17" s="196">
        <f t="shared" si="73"/>
        <v>15117.422833333334</v>
      </c>
      <c r="DL17" s="197">
        <f t="shared" si="61"/>
        <v>2829.8399999999997</v>
      </c>
      <c r="DM17" s="197">
        <f t="shared" si="62"/>
        <v>39168.674999999996</v>
      </c>
      <c r="DN17" s="197">
        <f t="shared" si="63"/>
        <v>-24051.252166666665</v>
      </c>
      <c r="DO17" s="199">
        <f t="shared" si="64"/>
        <v>-21221.412166666669</v>
      </c>
    </row>
    <row r="18" spans="2:119" x14ac:dyDescent="0.3">
      <c r="B18" s="204">
        <f t="shared" si="65"/>
        <v>7</v>
      </c>
      <c r="C18" s="225">
        <f>'Energy NPV'!$D71</f>
        <v>11.617000000000001</v>
      </c>
      <c r="D18" s="197">
        <f>'Energy margins'!$S$12</f>
        <v>269.5</v>
      </c>
      <c r="E18" s="197">
        <f t="shared" si="13"/>
        <v>3130.7815000000001</v>
      </c>
      <c r="F18" s="197">
        <f>'Margins summary'!$U$14</f>
        <v>471.64</v>
      </c>
      <c r="G18" s="197">
        <f t="shared" si="14"/>
        <v>3602.4214999999999</v>
      </c>
      <c r="H18" s="197"/>
      <c r="I18" s="913">
        <f>'Energy NPV'!U71</f>
        <v>1840.1999999999998</v>
      </c>
      <c r="J18" s="197"/>
      <c r="K18" s="197">
        <f t="shared" si="15"/>
        <v>1840.1999999999998</v>
      </c>
      <c r="L18" s="197">
        <f t="shared" si="0"/>
        <v>1290.5815000000002</v>
      </c>
      <c r="M18" s="197">
        <f t="shared" si="1"/>
        <v>1762.2215000000001</v>
      </c>
      <c r="N18" s="196">
        <f t="shared" si="16"/>
        <v>2474.3020963372142</v>
      </c>
      <c r="O18" s="197">
        <f t="shared" si="17"/>
        <v>372.74394291536589</v>
      </c>
      <c r="P18" s="197">
        <f t="shared" si="18"/>
        <v>1454.3367902486141</v>
      </c>
      <c r="Q18" s="197">
        <f t="shared" si="19"/>
        <v>1019.9653060886002</v>
      </c>
      <c r="R18" s="199">
        <f t="shared" si="20"/>
        <v>1392.7092490039661</v>
      </c>
      <c r="S18" s="196">
        <f t="shared" si="66"/>
        <v>15924.229293985798</v>
      </c>
      <c r="T18" s="197">
        <f t="shared" si="21"/>
        <v>2944.0414271158488</v>
      </c>
      <c r="U18" s="197">
        <f t="shared" si="21"/>
        <v>39524.395332542037</v>
      </c>
      <c r="V18" s="197">
        <f t="shared" si="21"/>
        <v>-23600.166038556235</v>
      </c>
      <c r="W18" s="199">
        <f t="shared" si="21"/>
        <v>-20656.124611440384</v>
      </c>
      <c r="Z18" s="204">
        <f t="shared" si="67"/>
        <v>7</v>
      </c>
      <c r="AA18" s="225">
        <f>'Energy NPV'!$D71</f>
        <v>11.617000000000001</v>
      </c>
      <c r="AB18" s="197">
        <f>'Energy margins'!$S$12</f>
        <v>269.5</v>
      </c>
      <c r="AC18" s="197">
        <f t="shared" si="22"/>
        <v>3130.7815000000001</v>
      </c>
      <c r="AD18" s="197">
        <f>'Margins summary'!$U$14</f>
        <v>471.64</v>
      </c>
      <c r="AE18" s="197">
        <f t="shared" si="23"/>
        <v>3602.4214999999999</v>
      </c>
      <c r="AF18" s="197"/>
      <c r="AG18" s="913">
        <f>'Energy NPV'!U71</f>
        <v>1840.1999999999998</v>
      </c>
      <c r="AH18" s="197"/>
      <c r="AI18" s="197">
        <f t="shared" si="24"/>
        <v>1840.1999999999998</v>
      </c>
      <c r="AJ18" s="197">
        <f t="shared" si="2"/>
        <v>1290.5815000000002</v>
      </c>
      <c r="AK18" s="197">
        <f t="shared" si="3"/>
        <v>1762.2215000000001</v>
      </c>
      <c r="AL18" s="196">
        <f t="shared" si="25"/>
        <v>2207.0774182385403</v>
      </c>
      <c r="AM18" s="197">
        <f t="shared" si="26"/>
        <v>332.48758929296889</v>
      </c>
      <c r="AN18" s="197">
        <f t="shared" si="27"/>
        <v>1297.2683865170923</v>
      </c>
      <c r="AO18" s="197">
        <f t="shared" si="28"/>
        <v>909.80903172144826</v>
      </c>
      <c r="AP18" s="199">
        <f t="shared" si="29"/>
        <v>1242.296621014417</v>
      </c>
      <c r="AQ18" s="196">
        <f t="shared" si="68"/>
        <v>14930.106494410447</v>
      </c>
      <c r="AR18" s="197">
        <f t="shared" si="30"/>
        <v>2790.8468451171816</v>
      </c>
      <c r="AS18" s="197">
        <f t="shared" si="30"/>
        <v>38885.098699261223</v>
      </c>
      <c r="AT18" s="197">
        <f t="shared" si="30"/>
        <v>-23954.992204850772</v>
      </c>
      <c r="AU18" s="199">
        <f t="shared" si="30"/>
        <v>-21164.145359733593</v>
      </c>
      <c r="AX18" s="204">
        <f t="shared" si="69"/>
        <v>7</v>
      </c>
      <c r="AY18" s="225">
        <f>'Energy NPV'!$D71</f>
        <v>11.617000000000001</v>
      </c>
      <c r="AZ18" s="197">
        <f>'Energy margins'!$S$12</f>
        <v>269.5</v>
      </c>
      <c r="BA18" s="197">
        <f t="shared" si="4"/>
        <v>3130.7815000000001</v>
      </c>
      <c r="BB18" s="197">
        <f>'Margins summary'!$U$14</f>
        <v>471.64</v>
      </c>
      <c r="BC18" s="197">
        <f t="shared" si="5"/>
        <v>3602.4214999999999</v>
      </c>
      <c r="BD18" s="197"/>
      <c r="BE18" s="913">
        <f>'Energy NPV'!U71</f>
        <v>1840.1999999999998</v>
      </c>
      <c r="BF18" s="197"/>
      <c r="BG18" s="197">
        <f t="shared" si="6"/>
        <v>1840.1999999999998</v>
      </c>
      <c r="BH18" s="197">
        <f t="shared" si="7"/>
        <v>1290.5815000000002</v>
      </c>
      <c r="BI18" s="197">
        <f t="shared" si="8"/>
        <v>1762.2215000000001</v>
      </c>
      <c r="BJ18" s="196">
        <f t="shared" si="31"/>
        <v>2780.0443758779597</v>
      </c>
      <c r="BK18" s="197">
        <f t="shared" si="32"/>
        <v>418.80282269429557</v>
      </c>
      <c r="BL18" s="197">
        <f t="shared" si="33"/>
        <v>1634.0449374990303</v>
      </c>
      <c r="BM18" s="197">
        <f t="shared" si="34"/>
        <v>1145.9994383789292</v>
      </c>
      <c r="BN18" s="199">
        <f t="shared" si="35"/>
        <v>1564.8022610732246</v>
      </c>
      <c r="BO18" s="196">
        <f t="shared" si="36"/>
        <v>17025.282485097276</v>
      </c>
      <c r="BP18" s="197">
        <f t="shared" si="37"/>
        <v>3113.4988652852185</v>
      </c>
      <c r="BQ18" s="197">
        <f t="shared" si="38"/>
        <v>40229.325549116133</v>
      </c>
      <c r="BR18" s="197">
        <f t="shared" si="39"/>
        <v>-23204.043064018857</v>
      </c>
      <c r="BS18" s="199">
        <f t="shared" si="40"/>
        <v>-20090.544198733638</v>
      </c>
      <c r="BV18" s="204">
        <f t="shared" si="70"/>
        <v>7</v>
      </c>
      <c r="BW18" s="225">
        <f>'Energy NPV'!$D71</f>
        <v>11.617000000000001</v>
      </c>
      <c r="BX18" s="197">
        <f>'Energy margins'!$S$12</f>
        <v>269.5</v>
      </c>
      <c r="BY18" s="197">
        <f t="shared" si="41"/>
        <v>3130.7815000000001</v>
      </c>
      <c r="BZ18" s="197">
        <f>'Margins summary'!$U$14</f>
        <v>471.64</v>
      </c>
      <c r="CA18" s="197">
        <f t="shared" si="42"/>
        <v>3602.4214999999999</v>
      </c>
      <c r="CB18" s="197"/>
      <c r="CC18" s="913">
        <f>'Energy NPV'!U71</f>
        <v>1840.1999999999998</v>
      </c>
      <c r="CD18" s="197"/>
      <c r="CE18" s="197">
        <f t="shared" si="43"/>
        <v>1840.1999999999998</v>
      </c>
      <c r="CF18" s="197">
        <f t="shared" si="9"/>
        <v>1290.5815000000002</v>
      </c>
      <c r="CG18" s="197">
        <f t="shared" si="10"/>
        <v>1762.2215000000001</v>
      </c>
      <c r="CH18" s="196">
        <f t="shared" si="44"/>
        <v>1972.9234097075264</v>
      </c>
      <c r="CI18" s="197">
        <f t="shared" si="45"/>
        <v>297.21320282314741</v>
      </c>
      <c r="CJ18" s="197">
        <f t="shared" si="46"/>
        <v>1159.6381473902889</v>
      </c>
      <c r="CK18" s="197">
        <f t="shared" si="47"/>
        <v>813.28526231723754</v>
      </c>
      <c r="CL18" s="199">
        <f t="shared" si="48"/>
        <v>1110.498465140385</v>
      </c>
      <c r="CM18" s="196">
        <f t="shared" si="71"/>
        <v>14030.098874426372</v>
      </c>
      <c r="CN18" s="197">
        <f t="shared" si="49"/>
        <v>2651.9749647106555</v>
      </c>
      <c r="CO18" s="197">
        <f t="shared" si="50"/>
        <v>38303.715715920429</v>
      </c>
      <c r="CP18" s="197">
        <f t="shared" si="51"/>
        <v>-24273.616841494051</v>
      </c>
      <c r="CQ18" s="199">
        <f t="shared" si="52"/>
        <v>-21621.641876783389</v>
      </c>
      <c r="CT18" s="204">
        <f t="shared" si="72"/>
        <v>7</v>
      </c>
      <c r="CU18" s="225">
        <f>'Energy NPV'!$D71</f>
        <v>11.617000000000001</v>
      </c>
      <c r="CV18" s="197">
        <f>'Energy margins'!$S$12</f>
        <v>269.5</v>
      </c>
      <c r="CW18" s="197">
        <f t="shared" si="53"/>
        <v>3130.7815000000001</v>
      </c>
      <c r="CX18" s="197">
        <f>'Margins summary'!$U$14</f>
        <v>471.64</v>
      </c>
      <c r="CY18" s="197">
        <f t="shared" si="54"/>
        <v>3602.4214999999999</v>
      </c>
      <c r="CZ18" s="197"/>
      <c r="DA18" s="913">
        <f>'Energy NPV'!U71</f>
        <v>1840.1999999999998</v>
      </c>
      <c r="DB18" s="197"/>
      <c r="DC18" s="197">
        <f t="shared" si="55"/>
        <v>1840.1999999999998</v>
      </c>
      <c r="DD18" s="197">
        <f t="shared" si="11"/>
        <v>1290.5815000000002</v>
      </c>
      <c r="DE18" s="197">
        <f t="shared" si="12"/>
        <v>1762.2215000000001</v>
      </c>
      <c r="DF18" s="196">
        <f t="shared" si="56"/>
        <v>3130.7815000000001</v>
      </c>
      <c r="DG18" s="197">
        <f t="shared" si="57"/>
        <v>471.64</v>
      </c>
      <c r="DH18" s="197">
        <f t="shared" si="58"/>
        <v>1840.1999999999998</v>
      </c>
      <c r="DI18" s="197">
        <f t="shared" si="59"/>
        <v>1290.5815000000002</v>
      </c>
      <c r="DJ18" s="199">
        <f t="shared" si="60"/>
        <v>1762.2215000000001</v>
      </c>
      <c r="DK18" s="196">
        <f t="shared" si="73"/>
        <v>18248.204333333335</v>
      </c>
      <c r="DL18" s="197">
        <f t="shared" si="61"/>
        <v>3301.4799999999996</v>
      </c>
      <c r="DM18" s="197">
        <f t="shared" si="62"/>
        <v>41008.874999999993</v>
      </c>
      <c r="DN18" s="197">
        <f t="shared" si="63"/>
        <v>-22760.670666666665</v>
      </c>
      <c r="DO18" s="199">
        <f t="shared" si="64"/>
        <v>-19459.190666666669</v>
      </c>
    </row>
    <row r="19" spans="2:119" x14ac:dyDescent="0.3">
      <c r="B19" s="204">
        <f t="shared" si="65"/>
        <v>8</v>
      </c>
      <c r="C19" s="225">
        <f>'Energy NPV'!$D72</f>
        <v>11.617000000000001</v>
      </c>
      <c r="D19" s="197">
        <f>'Energy margins'!$S$12</f>
        <v>269.5</v>
      </c>
      <c r="E19" s="197">
        <f t="shared" si="13"/>
        <v>3130.7815000000001</v>
      </c>
      <c r="F19" s="197">
        <f>'Margins summary'!$U$14</f>
        <v>471.64</v>
      </c>
      <c r="G19" s="197">
        <f t="shared" si="14"/>
        <v>3602.4214999999999</v>
      </c>
      <c r="H19" s="197"/>
      <c r="I19" s="913">
        <f>'Energy NPV'!U72</f>
        <v>1840.1999999999998</v>
      </c>
      <c r="J19" s="197"/>
      <c r="K19" s="197">
        <f t="shared" si="15"/>
        <v>1840.1999999999998</v>
      </c>
      <c r="L19" s="197">
        <f t="shared" si="0"/>
        <v>1290.5815000000002</v>
      </c>
      <c r="M19" s="197">
        <f t="shared" si="1"/>
        <v>1762.2215000000001</v>
      </c>
      <c r="N19" s="196">
        <f t="shared" si="16"/>
        <v>2379.1366310934754</v>
      </c>
      <c r="O19" s="197">
        <f t="shared" si="17"/>
        <v>358.40763741862111</v>
      </c>
      <c r="P19" s="197">
        <f t="shared" si="18"/>
        <v>1398.4007598544367</v>
      </c>
      <c r="Q19" s="197">
        <f t="shared" si="19"/>
        <v>980.73587123903883</v>
      </c>
      <c r="R19" s="199">
        <f t="shared" si="20"/>
        <v>1339.1435086576598</v>
      </c>
      <c r="S19" s="196">
        <f t="shared" si="66"/>
        <v>18303.365925079273</v>
      </c>
      <c r="T19" s="197">
        <f t="shared" si="21"/>
        <v>3302.4490645344699</v>
      </c>
      <c r="U19" s="197">
        <f t="shared" si="21"/>
        <v>40922.796092396471</v>
      </c>
      <c r="V19" s="197">
        <f t="shared" si="21"/>
        <v>-22619.430167317198</v>
      </c>
      <c r="W19" s="199">
        <f t="shared" si="21"/>
        <v>-19316.981102782724</v>
      </c>
      <c r="Z19" s="204">
        <f t="shared" si="67"/>
        <v>8</v>
      </c>
      <c r="AA19" s="225">
        <f>'Energy NPV'!$D72</f>
        <v>11.617000000000001</v>
      </c>
      <c r="AB19" s="197">
        <f>'Energy margins'!$S$12</f>
        <v>269.5</v>
      </c>
      <c r="AC19" s="197">
        <f t="shared" si="22"/>
        <v>3130.7815000000001</v>
      </c>
      <c r="AD19" s="197">
        <f>'Margins summary'!$U$14</f>
        <v>471.64</v>
      </c>
      <c r="AE19" s="197">
        <f t="shared" si="23"/>
        <v>3602.4214999999999</v>
      </c>
      <c r="AF19" s="197"/>
      <c r="AG19" s="913">
        <f>'Energy NPV'!U72</f>
        <v>1840.1999999999998</v>
      </c>
      <c r="AH19" s="197"/>
      <c r="AI19" s="197">
        <f t="shared" si="24"/>
        <v>1840.1999999999998</v>
      </c>
      <c r="AJ19" s="197">
        <f t="shared" si="2"/>
        <v>1290.5815000000002</v>
      </c>
      <c r="AK19" s="197">
        <f t="shared" si="3"/>
        <v>1762.2215000000001</v>
      </c>
      <c r="AL19" s="196">
        <f t="shared" si="25"/>
        <v>2082.1485077722077</v>
      </c>
      <c r="AM19" s="197">
        <f t="shared" si="26"/>
        <v>313.66753706883856</v>
      </c>
      <c r="AN19" s="197">
        <f t="shared" si="27"/>
        <v>1223.8381004878227</v>
      </c>
      <c r="AO19" s="197">
        <f t="shared" si="28"/>
        <v>858.31040728438506</v>
      </c>
      <c r="AP19" s="199">
        <f t="shared" si="29"/>
        <v>1171.9779443532234</v>
      </c>
      <c r="AQ19" s="196">
        <f t="shared" si="68"/>
        <v>17012.255002182654</v>
      </c>
      <c r="AR19" s="197">
        <f t="shared" si="30"/>
        <v>3104.5143821860202</v>
      </c>
      <c r="AS19" s="197">
        <f t="shared" si="30"/>
        <v>40108.936799749048</v>
      </c>
      <c r="AT19" s="197">
        <f t="shared" si="30"/>
        <v>-23096.681797566387</v>
      </c>
      <c r="AU19" s="199">
        <f t="shared" si="30"/>
        <v>-19992.167415380369</v>
      </c>
      <c r="AX19" s="204">
        <f t="shared" si="69"/>
        <v>8</v>
      </c>
      <c r="AY19" s="225">
        <f>'Energy NPV'!$D72</f>
        <v>11.617000000000001</v>
      </c>
      <c r="AZ19" s="197">
        <f>'Energy margins'!$S$12</f>
        <v>269.5</v>
      </c>
      <c r="BA19" s="197">
        <f t="shared" si="4"/>
        <v>3130.7815000000001</v>
      </c>
      <c r="BB19" s="197">
        <f>'Margins summary'!$U$14</f>
        <v>471.64</v>
      </c>
      <c r="BC19" s="197">
        <f t="shared" si="5"/>
        <v>3602.4214999999999</v>
      </c>
      <c r="BD19" s="197"/>
      <c r="BE19" s="913">
        <f>'Energy NPV'!U72</f>
        <v>1840.1999999999998</v>
      </c>
      <c r="BF19" s="197"/>
      <c r="BG19" s="197">
        <f t="shared" si="6"/>
        <v>1840.1999999999998</v>
      </c>
      <c r="BH19" s="197">
        <f t="shared" si="7"/>
        <v>1290.5815000000002</v>
      </c>
      <c r="BI19" s="197">
        <f t="shared" si="8"/>
        <v>1762.2215000000001</v>
      </c>
      <c r="BJ19" s="196">
        <f t="shared" si="31"/>
        <v>2725.5337018411374</v>
      </c>
      <c r="BK19" s="197">
        <f t="shared" si="32"/>
        <v>410.59100264146633</v>
      </c>
      <c r="BL19" s="197">
        <f t="shared" si="33"/>
        <v>1602.0048406853243</v>
      </c>
      <c r="BM19" s="197">
        <f t="shared" si="34"/>
        <v>1123.528861155813</v>
      </c>
      <c r="BN19" s="199">
        <f t="shared" si="35"/>
        <v>1534.1198637972793</v>
      </c>
      <c r="BO19" s="196">
        <f t="shared" si="36"/>
        <v>19750.816186938413</v>
      </c>
      <c r="BP19" s="197">
        <f t="shared" si="37"/>
        <v>3524.0898679266847</v>
      </c>
      <c r="BQ19" s="197">
        <f t="shared" si="38"/>
        <v>41831.330389801456</v>
      </c>
      <c r="BR19" s="197">
        <f t="shared" si="39"/>
        <v>-22080.514202863043</v>
      </c>
      <c r="BS19" s="199">
        <f t="shared" si="40"/>
        <v>-18556.424334936361</v>
      </c>
      <c r="BV19" s="204">
        <f t="shared" si="70"/>
        <v>8</v>
      </c>
      <c r="BW19" s="225">
        <f>'Energy NPV'!$D72</f>
        <v>11.617000000000001</v>
      </c>
      <c r="BX19" s="197">
        <f>'Energy margins'!$S$12</f>
        <v>269.5</v>
      </c>
      <c r="BY19" s="197">
        <f t="shared" si="41"/>
        <v>3130.7815000000001</v>
      </c>
      <c r="BZ19" s="197">
        <f>'Margins summary'!$U$14</f>
        <v>471.64</v>
      </c>
      <c r="CA19" s="197">
        <f t="shared" si="42"/>
        <v>3602.4214999999999</v>
      </c>
      <c r="CB19" s="197"/>
      <c r="CC19" s="913">
        <f>'Energy NPV'!U72</f>
        <v>1840.1999999999998</v>
      </c>
      <c r="CD19" s="197"/>
      <c r="CE19" s="197">
        <f t="shared" si="43"/>
        <v>1840.1999999999998</v>
      </c>
      <c r="CF19" s="197">
        <f t="shared" si="9"/>
        <v>1290.5815000000002</v>
      </c>
      <c r="CG19" s="197">
        <f t="shared" si="10"/>
        <v>1762.2215000000001</v>
      </c>
      <c r="CH19" s="196">
        <f t="shared" si="44"/>
        <v>1826.7809349143763</v>
      </c>
      <c r="CI19" s="197">
        <f t="shared" si="45"/>
        <v>275.1974100214328</v>
      </c>
      <c r="CJ19" s="197">
        <f t="shared" si="46"/>
        <v>1073.7390253613785</v>
      </c>
      <c r="CK19" s="197">
        <f t="shared" si="47"/>
        <v>753.04190955299771</v>
      </c>
      <c r="CL19" s="199">
        <f t="shared" si="48"/>
        <v>1028.2393195744305</v>
      </c>
      <c r="CM19" s="196">
        <f t="shared" si="71"/>
        <v>15856.879809340749</v>
      </c>
      <c r="CN19" s="197">
        <f t="shared" si="49"/>
        <v>2927.1723747320884</v>
      </c>
      <c r="CO19" s="197">
        <f t="shared" si="50"/>
        <v>39377.454741281806</v>
      </c>
      <c r="CP19" s="197">
        <f t="shared" si="51"/>
        <v>-23520.574931941053</v>
      </c>
      <c r="CQ19" s="199">
        <f t="shared" si="52"/>
        <v>-20593.402557208959</v>
      </c>
      <c r="CT19" s="204">
        <f t="shared" si="72"/>
        <v>8</v>
      </c>
      <c r="CU19" s="225">
        <f>'Energy NPV'!$D72</f>
        <v>11.617000000000001</v>
      </c>
      <c r="CV19" s="197">
        <f>'Energy margins'!$S$12</f>
        <v>269.5</v>
      </c>
      <c r="CW19" s="197">
        <f t="shared" si="53"/>
        <v>3130.7815000000001</v>
      </c>
      <c r="CX19" s="197">
        <f>'Margins summary'!$U$14</f>
        <v>471.64</v>
      </c>
      <c r="CY19" s="197">
        <f t="shared" si="54"/>
        <v>3602.4214999999999</v>
      </c>
      <c r="CZ19" s="197"/>
      <c r="DA19" s="913">
        <f>'Energy NPV'!U72</f>
        <v>1840.1999999999998</v>
      </c>
      <c r="DB19" s="197"/>
      <c r="DC19" s="197">
        <f t="shared" si="55"/>
        <v>1840.1999999999998</v>
      </c>
      <c r="DD19" s="197">
        <f t="shared" si="11"/>
        <v>1290.5815000000002</v>
      </c>
      <c r="DE19" s="197">
        <f t="shared" si="12"/>
        <v>1762.2215000000001</v>
      </c>
      <c r="DF19" s="196">
        <f t="shared" si="56"/>
        <v>3130.7815000000001</v>
      </c>
      <c r="DG19" s="197">
        <f t="shared" si="57"/>
        <v>471.64</v>
      </c>
      <c r="DH19" s="197">
        <f t="shared" si="58"/>
        <v>1840.1999999999998</v>
      </c>
      <c r="DI19" s="197">
        <f t="shared" si="59"/>
        <v>1290.5815000000002</v>
      </c>
      <c r="DJ19" s="199">
        <f t="shared" si="60"/>
        <v>1762.2215000000001</v>
      </c>
      <c r="DK19" s="196">
        <f t="shared" si="73"/>
        <v>21378.985833333336</v>
      </c>
      <c r="DL19" s="197">
        <f t="shared" si="61"/>
        <v>3773.1199999999994</v>
      </c>
      <c r="DM19" s="197">
        <f t="shared" si="62"/>
        <v>42849.07499999999</v>
      </c>
      <c r="DN19" s="197">
        <f t="shared" si="63"/>
        <v>-21470.089166666665</v>
      </c>
      <c r="DO19" s="199">
        <f t="shared" si="64"/>
        <v>-17696.969166666669</v>
      </c>
    </row>
    <row r="20" spans="2:119" x14ac:dyDescent="0.3">
      <c r="B20" s="204">
        <f t="shared" si="65"/>
        <v>9</v>
      </c>
      <c r="C20" s="225">
        <f>'Energy NPV'!$D73</f>
        <v>11.617000000000001</v>
      </c>
      <c r="D20" s="197">
        <f>'Energy margins'!$S$12</f>
        <v>269.5</v>
      </c>
      <c r="E20" s="197">
        <f t="shared" si="13"/>
        <v>3130.7815000000001</v>
      </c>
      <c r="F20" s="197">
        <f>'Margins summary'!$U$14</f>
        <v>471.64</v>
      </c>
      <c r="G20" s="197">
        <f t="shared" si="14"/>
        <v>3602.4214999999999</v>
      </c>
      <c r="H20" s="197"/>
      <c r="I20" s="913">
        <f>'Energy NPV'!U73</f>
        <v>1840.1999999999998</v>
      </c>
      <c r="J20" s="197"/>
      <c r="K20" s="197">
        <f t="shared" si="15"/>
        <v>1840.1999999999998</v>
      </c>
      <c r="L20" s="197">
        <f t="shared" si="0"/>
        <v>1290.5815000000002</v>
      </c>
      <c r="M20" s="197">
        <f t="shared" si="1"/>
        <v>1762.2215000000001</v>
      </c>
      <c r="N20" s="196">
        <f t="shared" si="16"/>
        <v>2287.6313760514181</v>
      </c>
      <c r="O20" s="197">
        <f t="shared" si="17"/>
        <v>344.6227282871356</v>
      </c>
      <c r="P20" s="197">
        <f t="shared" si="18"/>
        <v>1344.6161152446505</v>
      </c>
      <c r="Q20" s="197">
        <f t="shared" si="19"/>
        <v>943.01526080676786</v>
      </c>
      <c r="R20" s="199">
        <f t="shared" si="20"/>
        <v>1287.6379890939033</v>
      </c>
      <c r="S20" s="196">
        <f t="shared" si="66"/>
        <v>20590.99730113069</v>
      </c>
      <c r="T20" s="197">
        <f t="shared" si="21"/>
        <v>3647.0717928216054</v>
      </c>
      <c r="U20" s="197">
        <f t="shared" si="21"/>
        <v>42267.412207641122</v>
      </c>
      <c r="V20" s="197">
        <f t="shared" si="21"/>
        <v>-21676.414906510428</v>
      </c>
      <c r="W20" s="199">
        <f t="shared" si="21"/>
        <v>-18029.343113688821</v>
      </c>
      <c r="Z20" s="204">
        <f t="shared" si="67"/>
        <v>9</v>
      </c>
      <c r="AA20" s="225">
        <f>'Energy NPV'!$D73</f>
        <v>11.617000000000001</v>
      </c>
      <c r="AB20" s="197">
        <f>'Energy margins'!$S$12</f>
        <v>269.5</v>
      </c>
      <c r="AC20" s="197">
        <f t="shared" si="22"/>
        <v>3130.7815000000001</v>
      </c>
      <c r="AD20" s="197">
        <f>'Margins summary'!$U$14</f>
        <v>471.64</v>
      </c>
      <c r="AE20" s="197">
        <f t="shared" si="23"/>
        <v>3602.4214999999999</v>
      </c>
      <c r="AF20" s="197"/>
      <c r="AG20" s="913">
        <f>'Energy NPV'!U73</f>
        <v>1840.1999999999998</v>
      </c>
      <c r="AH20" s="197"/>
      <c r="AI20" s="197">
        <f t="shared" si="24"/>
        <v>1840.1999999999998</v>
      </c>
      <c r="AJ20" s="197">
        <f t="shared" si="2"/>
        <v>1290.5815000000002</v>
      </c>
      <c r="AK20" s="197">
        <f t="shared" si="3"/>
        <v>1762.2215000000001</v>
      </c>
      <c r="AL20" s="196">
        <f t="shared" si="25"/>
        <v>1964.2910450681206</v>
      </c>
      <c r="AM20" s="197">
        <f t="shared" si="26"/>
        <v>295.91277081965904</v>
      </c>
      <c r="AN20" s="197">
        <f t="shared" si="27"/>
        <v>1154.5642457432291</v>
      </c>
      <c r="AO20" s="197">
        <f t="shared" si="28"/>
        <v>809.72679932489166</v>
      </c>
      <c r="AP20" s="199">
        <f t="shared" si="29"/>
        <v>1105.6395701445506</v>
      </c>
      <c r="AQ20" s="196">
        <f t="shared" si="68"/>
        <v>18976.546047250773</v>
      </c>
      <c r="AR20" s="197">
        <f t="shared" si="30"/>
        <v>3400.4271530056794</v>
      </c>
      <c r="AS20" s="197">
        <f t="shared" si="30"/>
        <v>41263.501045492274</v>
      </c>
      <c r="AT20" s="197">
        <f t="shared" si="30"/>
        <v>-22286.954998241494</v>
      </c>
      <c r="AU20" s="199">
        <f t="shared" si="30"/>
        <v>-18886.527845235818</v>
      </c>
      <c r="AX20" s="204">
        <f t="shared" si="69"/>
        <v>9</v>
      </c>
      <c r="AY20" s="225">
        <f>'Energy NPV'!$D73</f>
        <v>11.617000000000001</v>
      </c>
      <c r="AZ20" s="197">
        <f>'Energy margins'!$S$12</f>
        <v>269.5</v>
      </c>
      <c r="BA20" s="197">
        <f t="shared" si="4"/>
        <v>3130.7815000000001</v>
      </c>
      <c r="BB20" s="197">
        <f>'Margins summary'!$U$14</f>
        <v>471.64</v>
      </c>
      <c r="BC20" s="197">
        <f t="shared" si="5"/>
        <v>3602.4214999999999</v>
      </c>
      <c r="BD20" s="197"/>
      <c r="BE20" s="913">
        <f>'Energy NPV'!U73</f>
        <v>1840.1999999999998</v>
      </c>
      <c r="BF20" s="197"/>
      <c r="BG20" s="197">
        <f t="shared" si="6"/>
        <v>1840.1999999999998</v>
      </c>
      <c r="BH20" s="197">
        <f t="shared" si="7"/>
        <v>1290.5815000000002</v>
      </c>
      <c r="BI20" s="197">
        <f t="shared" si="8"/>
        <v>1762.2215000000001</v>
      </c>
      <c r="BJ20" s="196">
        <f t="shared" si="31"/>
        <v>2672.0918645501342</v>
      </c>
      <c r="BK20" s="197">
        <f t="shared" si="32"/>
        <v>402.54019866810421</v>
      </c>
      <c r="BL20" s="197">
        <f t="shared" si="33"/>
        <v>1570.5929810640432</v>
      </c>
      <c r="BM20" s="197">
        <f t="shared" si="34"/>
        <v>1101.4988834860912</v>
      </c>
      <c r="BN20" s="199">
        <f t="shared" si="35"/>
        <v>1504.0390821541953</v>
      </c>
      <c r="BO20" s="196">
        <f t="shared" si="36"/>
        <v>22422.908051488546</v>
      </c>
      <c r="BP20" s="197">
        <f t="shared" si="37"/>
        <v>3926.6300665947888</v>
      </c>
      <c r="BQ20" s="197">
        <f t="shared" si="38"/>
        <v>43401.923370865501</v>
      </c>
      <c r="BR20" s="197">
        <f t="shared" si="39"/>
        <v>-20979.015319376951</v>
      </c>
      <c r="BS20" s="199">
        <f t="shared" si="40"/>
        <v>-17052.385252782165</v>
      </c>
      <c r="BV20" s="204">
        <f t="shared" si="70"/>
        <v>9</v>
      </c>
      <c r="BW20" s="225">
        <f>'Energy NPV'!$D73</f>
        <v>11.617000000000001</v>
      </c>
      <c r="BX20" s="197">
        <f>'Energy margins'!$S$12</f>
        <v>269.5</v>
      </c>
      <c r="BY20" s="197">
        <f t="shared" si="41"/>
        <v>3130.7815000000001</v>
      </c>
      <c r="BZ20" s="197">
        <f>'Margins summary'!$U$14</f>
        <v>471.64</v>
      </c>
      <c r="CA20" s="197">
        <f t="shared" si="42"/>
        <v>3602.4214999999999</v>
      </c>
      <c r="CB20" s="197"/>
      <c r="CC20" s="913">
        <f>'Energy NPV'!U73</f>
        <v>1840.1999999999998</v>
      </c>
      <c r="CD20" s="197"/>
      <c r="CE20" s="197">
        <f t="shared" si="43"/>
        <v>1840.1999999999998</v>
      </c>
      <c r="CF20" s="197">
        <f t="shared" si="9"/>
        <v>1290.5815000000002</v>
      </c>
      <c r="CG20" s="197">
        <f t="shared" si="10"/>
        <v>1762.2215000000001</v>
      </c>
      <c r="CH20" s="196">
        <f t="shared" si="44"/>
        <v>1691.4638286244224</v>
      </c>
      <c r="CI20" s="197">
        <f t="shared" si="45"/>
        <v>254.81241668651185</v>
      </c>
      <c r="CJ20" s="197">
        <f t="shared" si="46"/>
        <v>994.20280126053569</v>
      </c>
      <c r="CK20" s="197">
        <f t="shared" si="47"/>
        <v>697.2610273638868</v>
      </c>
      <c r="CL20" s="199">
        <f t="shared" si="48"/>
        <v>952.07344405039851</v>
      </c>
      <c r="CM20" s="196">
        <f t="shared" si="71"/>
        <v>17548.343637965172</v>
      </c>
      <c r="CN20" s="197">
        <f t="shared" si="49"/>
        <v>3181.9847914186003</v>
      </c>
      <c r="CO20" s="197">
        <f t="shared" si="50"/>
        <v>40371.657542542343</v>
      </c>
      <c r="CP20" s="197">
        <f t="shared" si="51"/>
        <v>-22823.313904577168</v>
      </c>
      <c r="CQ20" s="199">
        <f t="shared" si="52"/>
        <v>-19641.329113158561</v>
      </c>
      <c r="CT20" s="204">
        <f t="shared" si="72"/>
        <v>9</v>
      </c>
      <c r="CU20" s="225">
        <f>'Energy NPV'!$D73</f>
        <v>11.617000000000001</v>
      </c>
      <c r="CV20" s="197">
        <f>'Energy margins'!$S$12</f>
        <v>269.5</v>
      </c>
      <c r="CW20" s="197">
        <f t="shared" si="53"/>
        <v>3130.7815000000001</v>
      </c>
      <c r="CX20" s="197">
        <f>'Margins summary'!$U$14</f>
        <v>471.64</v>
      </c>
      <c r="CY20" s="197">
        <f t="shared" si="54"/>
        <v>3602.4214999999999</v>
      </c>
      <c r="CZ20" s="197"/>
      <c r="DA20" s="913">
        <f>'Energy NPV'!U73</f>
        <v>1840.1999999999998</v>
      </c>
      <c r="DB20" s="197"/>
      <c r="DC20" s="197">
        <f t="shared" si="55"/>
        <v>1840.1999999999998</v>
      </c>
      <c r="DD20" s="197">
        <f t="shared" si="11"/>
        <v>1290.5815000000002</v>
      </c>
      <c r="DE20" s="197">
        <f t="shared" si="12"/>
        <v>1762.2215000000001</v>
      </c>
      <c r="DF20" s="196">
        <f t="shared" si="56"/>
        <v>3130.7815000000001</v>
      </c>
      <c r="DG20" s="197">
        <f t="shared" si="57"/>
        <v>471.64</v>
      </c>
      <c r="DH20" s="197">
        <f t="shared" si="58"/>
        <v>1840.1999999999998</v>
      </c>
      <c r="DI20" s="197">
        <f t="shared" si="59"/>
        <v>1290.5815000000002</v>
      </c>
      <c r="DJ20" s="199">
        <f t="shared" si="60"/>
        <v>1762.2215000000001</v>
      </c>
      <c r="DK20" s="196">
        <f t="shared" si="73"/>
        <v>24509.767333333337</v>
      </c>
      <c r="DL20" s="197">
        <f t="shared" si="61"/>
        <v>4244.7599999999993</v>
      </c>
      <c r="DM20" s="197">
        <f t="shared" si="62"/>
        <v>44689.274999999987</v>
      </c>
      <c r="DN20" s="197">
        <f t="shared" si="63"/>
        <v>-20179.507666666665</v>
      </c>
      <c r="DO20" s="199">
        <f t="shared" si="64"/>
        <v>-15934.74766666667</v>
      </c>
    </row>
    <row r="21" spans="2:119" x14ac:dyDescent="0.3">
      <c r="B21" s="204">
        <f t="shared" si="65"/>
        <v>10</v>
      </c>
      <c r="C21" s="225">
        <f>'Energy NPV'!$D74</f>
        <v>11.617000000000001</v>
      </c>
      <c r="D21" s="197">
        <f>'Energy margins'!$S$12</f>
        <v>269.5</v>
      </c>
      <c r="E21" s="197">
        <f t="shared" si="13"/>
        <v>3130.7815000000001</v>
      </c>
      <c r="F21" s="197">
        <f>'Margins summary'!$U$14</f>
        <v>471.64</v>
      </c>
      <c r="G21" s="197">
        <f t="shared" si="14"/>
        <v>3602.4214999999999</v>
      </c>
      <c r="H21" s="197"/>
      <c r="I21" s="913">
        <f>'Energy NPV'!U74</f>
        <v>1840.1999999999998</v>
      </c>
      <c r="J21" s="197"/>
      <c r="K21" s="197">
        <f t="shared" si="15"/>
        <v>1840.1999999999998</v>
      </c>
      <c r="L21" s="197">
        <f t="shared" si="0"/>
        <v>1290.5815000000002</v>
      </c>
      <c r="M21" s="197">
        <f t="shared" si="1"/>
        <v>1762.2215000000001</v>
      </c>
      <c r="N21" s="196">
        <f t="shared" si="16"/>
        <v>2199.6455538955943</v>
      </c>
      <c r="O21" s="197">
        <f t="shared" si="17"/>
        <v>331.36800796839958</v>
      </c>
      <c r="P21" s="197">
        <f t="shared" si="18"/>
        <v>1292.9001108121638</v>
      </c>
      <c r="Q21" s="197">
        <f t="shared" si="19"/>
        <v>906.74544308343059</v>
      </c>
      <c r="R21" s="199">
        <f t="shared" si="20"/>
        <v>1238.1134510518302</v>
      </c>
      <c r="S21" s="196">
        <f t="shared" si="66"/>
        <v>22790.642855026286</v>
      </c>
      <c r="T21" s="197">
        <f t="shared" si="21"/>
        <v>3978.4398007900049</v>
      </c>
      <c r="U21" s="197">
        <f t="shared" si="21"/>
        <v>43560.312318453289</v>
      </c>
      <c r="V21" s="197">
        <f t="shared" si="21"/>
        <v>-20769.669463426999</v>
      </c>
      <c r="W21" s="199">
        <f t="shared" si="21"/>
        <v>-16791.22966263699</v>
      </c>
      <c r="Z21" s="204">
        <f t="shared" si="67"/>
        <v>10</v>
      </c>
      <c r="AA21" s="225">
        <f>'Energy NPV'!$D74</f>
        <v>11.617000000000001</v>
      </c>
      <c r="AB21" s="197">
        <f>'Energy margins'!$S$12</f>
        <v>269.5</v>
      </c>
      <c r="AC21" s="197">
        <f t="shared" si="22"/>
        <v>3130.7815000000001</v>
      </c>
      <c r="AD21" s="197">
        <f>'Margins summary'!$U$14</f>
        <v>471.64</v>
      </c>
      <c r="AE21" s="197">
        <f t="shared" si="23"/>
        <v>3602.4214999999999</v>
      </c>
      <c r="AF21" s="197"/>
      <c r="AG21" s="913">
        <f>'Energy NPV'!U74</f>
        <v>1840.1999999999998</v>
      </c>
      <c r="AH21" s="197"/>
      <c r="AI21" s="197">
        <f t="shared" si="24"/>
        <v>1840.1999999999998</v>
      </c>
      <c r="AJ21" s="197">
        <f t="shared" si="2"/>
        <v>1290.5815000000002</v>
      </c>
      <c r="AK21" s="197">
        <f t="shared" si="3"/>
        <v>1762.2215000000001</v>
      </c>
      <c r="AL21" s="196">
        <f t="shared" si="25"/>
        <v>1853.1047594982269</v>
      </c>
      <c r="AM21" s="197">
        <f t="shared" si="26"/>
        <v>279.16299133930096</v>
      </c>
      <c r="AN21" s="197">
        <f t="shared" si="27"/>
        <v>1089.2115525879519</v>
      </c>
      <c r="AO21" s="197">
        <f t="shared" si="28"/>
        <v>763.89320691027513</v>
      </c>
      <c r="AP21" s="199">
        <f t="shared" si="29"/>
        <v>1043.056198249576</v>
      </c>
      <c r="AQ21" s="196">
        <f t="shared" si="68"/>
        <v>20829.650806748999</v>
      </c>
      <c r="AR21" s="197">
        <f t="shared" si="30"/>
        <v>3679.5901443449802</v>
      </c>
      <c r="AS21" s="197">
        <f t="shared" si="30"/>
        <v>42352.712598080223</v>
      </c>
      <c r="AT21" s="197">
        <f t="shared" si="30"/>
        <v>-21523.06179133122</v>
      </c>
      <c r="AU21" s="199">
        <f t="shared" si="30"/>
        <v>-17843.471646986243</v>
      </c>
      <c r="AX21" s="204">
        <f t="shared" si="69"/>
        <v>10</v>
      </c>
      <c r="AY21" s="225">
        <f>'Energy NPV'!$D74</f>
        <v>11.617000000000001</v>
      </c>
      <c r="AZ21" s="197">
        <f>'Energy margins'!$S$12</f>
        <v>269.5</v>
      </c>
      <c r="BA21" s="197">
        <f t="shared" si="4"/>
        <v>3130.7815000000001</v>
      </c>
      <c r="BB21" s="197">
        <f>'Margins summary'!$U$14</f>
        <v>471.64</v>
      </c>
      <c r="BC21" s="197">
        <f t="shared" si="5"/>
        <v>3602.4214999999999</v>
      </c>
      <c r="BD21" s="197"/>
      <c r="BE21" s="913">
        <f>'Energy NPV'!U74</f>
        <v>1840.1999999999998</v>
      </c>
      <c r="BF21" s="197"/>
      <c r="BG21" s="197">
        <f t="shared" si="6"/>
        <v>1840.1999999999998</v>
      </c>
      <c r="BH21" s="197">
        <f t="shared" si="7"/>
        <v>1290.5815000000002</v>
      </c>
      <c r="BI21" s="197">
        <f t="shared" si="8"/>
        <v>1762.2215000000001</v>
      </c>
      <c r="BJ21" s="196">
        <f t="shared" si="31"/>
        <v>2619.6979064217003</v>
      </c>
      <c r="BK21" s="197">
        <f t="shared" si="32"/>
        <v>394.64725359618063</v>
      </c>
      <c r="BL21" s="197">
        <f t="shared" si="33"/>
        <v>1539.797040258866</v>
      </c>
      <c r="BM21" s="197">
        <f t="shared" si="34"/>
        <v>1079.9008661628345</v>
      </c>
      <c r="BN21" s="199">
        <f t="shared" si="35"/>
        <v>1474.548119759015</v>
      </c>
      <c r="BO21" s="196">
        <f t="shared" si="36"/>
        <v>25042.605957910248</v>
      </c>
      <c r="BP21" s="197">
        <f t="shared" si="37"/>
        <v>4321.2773201909695</v>
      </c>
      <c r="BQ21" s="197">
        <f t="shared" si="38"/>
        <v>44941.72041112437</v>
      </c>
      <c r="BR21" s="197">
        <f t="shared" si="39"/>
        <v>-19899.114453214115</v>
      </c>
      <c r="BS21" s="199">
        <f t="shared" si="40"/>
        <v>-15577.837133023151</v>
      </c>
      <c r="BV21" s="204">
        <f t="shared" si="70"/>
        <v>10</v>
      </c>
      <c r="BW21" s="225">
        <f>'Energy NPV'!$D74</f>
        <v>11.617000000000001</v>
      </c>
      <c r="BX21" s="197">
        <f>'Energy margins'!$S$12</f>
        <v>269.5</v>
      </c>
      <c r="BY21" s="197">
        <f t="shared" si="41"/>
        <v>3130.7815000000001</v>
      </c>
      <c r="BZ21" s="197">
        <f>'Margins summary'!$U$14</f>
        <v>471.64</v>
      </c>
      <c r="CA21" s="197">
        <f t="shared" si="42"/>
        <v>3602.4214999999999</v>
      </c>
      <c r="CB21" s="197"/>
      <c r="CC21" s="913">
        <f>'Energy NPV'!U74</f>
        <v>1840.1999999999998</v>
      </c>
      <c r="CD21" s="197"/>
      <c r="CE21" s="197">
        <f t="shared" si="43"/>
        <v>1840.1999999999998</v>
      </c>
      <c r="CF21" s="197">
        <f t="shared" si="9"/>
        <v>1290.5815000000002</v>
      </c>
      <c r="CG21" s="197">
        <f t="shared" si="10"/>
        <v>1762.2215000000001</v>
      </c>
      <c r="CH21" s="196">
        <f t="shared" si="44"/>
        <v>1566.17021168928</v>
      </c>
      <c r="CI21" s="197">
        <f t="shared" si="45"/>
        <v>235.93742285788133</v>
      </c>
      <c r="CJ21" s="197">
        <f t="shared" si="46"/>
        <v>920.55814931531074</v>
      </c>
      <c r="CK21" s="197">
        <f t="shared" si="47"/>
        <v>645.61206237396914</v>
      </c>
      <c r="CL21" s="199">
        <f t="shared" si="48"/>
        <v>881.54948523185044</v>
      </c>
      <c r="CM21" s="196">
        <f t="shared" si="71"/>
        <v>19114.513849654453</v>
      </c>
      <c r="CN21" s="197">
        <f t="shared" si="49"/>
        <v>3417.9222142764816</v>
      </c>
      <c r="CO21" s="197">
        <f t="shared" si="50"/>
        <v>41292.215691857651</v>
      </c>
      <c r="CP21" s="197">
        <f t="shared" si="51"/>
        <v>-22177.701842203198</v>
      </c>
      <c r="CQ21" s="199">
        <f t="shared" si="52"/>
        <v>-18759.77962792671</v>
      </c>
      <c r="CT21" s="204">
        <f t="shared" si="72"/>
        <v>10</v>
      </c>
      <c r="CU21" s="225">
        <f>'Energy NPV'!$D74</f>
        <v>11.617000000000001</v>
      </c>
      <c r="CV21" s="197">
        <f>'Energy margins'!$S$12</f>
        <v>269.5</v>
      </c>
      <c r="CW21" s="197">
        <f t="shared" si="53"/>
        <v>3130.7815000000001</v>
      </c>
      <c r="CX21" s="197">
        <f>'Margins summary'!$U$14</f>
        <v>471.64</v>
      </c>
      <c r="CY21" s="197">
        <f t="shared" si="54"/>
        <v>3602.4214999999999</v>
      </c>
      <c r="CZ21" s="197"/>
      <c r="DA21" s="913">
        <f>'Energy NPV'!U74</f>
        <v>1840.1999999999998</v>
      </c>
      <c r="DB21" s="197"/>
      <c r="DC21" s="197">
        <f t="shared" si="55"/>
        <v>1840.1999999999998</v>
      </c>
      <c r="DD21" s="197">
        <f t="shared" si="11"/>
        <v>1290.5815000000002</v>
      </c>
      <c r="DE21" s="197">
        <f t="shared" si="12"/>
        <v>1762.2215000000001</v>
      </c>
      <c r="DF21" s="196">
        <f t="shared" si="56"/>
        <v>3130.7815000000001</v>
      </c>
      <c r="DG21" s="197">
        <f t="shared" si="57"/>
        <v>471.64</v>
      </c>
      <c r="DH21" s="197">
        <f t="shared" si="58"/>
        <v>1840.1999999999998</v>
      </c>
      <c r="DI21" s="197">
        <f t="shared" si="59"/>
        <v>1290.5815000000002</v>
      </c>
      <c r="DJ21" s="199">
        <f t="shared" si="60"/>
        <v>1762.2215000000001</v>
      </c>
      <c r="DK21" s="196">
        <f t="shared" si="73"/>
        <v>27640.548833333338</v>
      </c>
      <c r="DL21" s="197">
        <f t="shared" si="61"/>
        <v>4716.3999999999996</v>
      </c>
      <c r="DM21" s="197">
        <f t="shared" si="62"/>
        <v>46529.474999999984</v>
      </c>
      <c r="DN21" s="197">
        <f t="shared" si="63"/>
        <v>-18888.926166666664</v>
      </c>
      <c r="DO21" s="199">
        <f t="shared" si="64"/>
        <v>-14172.52616666667</v>
      </c>
    </row>
    <row r="22" spans="2:119" x14ac:dyDescent="0.3">
      <c r="B22" s="204">
        <f t="shared" si="65"/>
        <v>11</v>
      </c>
      <c r="C22" s="225">
        <f>'Energy NPV'!$D75</f>
        <v>11.617000000000001</v>
      </c>
      <c r="D22" s="197">
        <f>'Energy margins'!$S$12</f>
        <v>269.5</v>
      </c>
      <c r="E22" s="197">
        <f t="shared" si="13"/>
        <v>3130.7815000000001</v>
      </c>
      <c r="F22" s="197">
        <f>'Margins summary'!$U$14</f>
        <v>471.64</v>
      </c>
      <c r="G22" s="197">
        <f t="shared" si="14"/>
        <v>3602.4214999999999</v>
      </c>
      <c r="H22" s="197"/>
      <c r="I22" s="913">
        <f>'Energy NPV'!U75</f>
        <v>1840.1999999999998</v>
      </c>
      <c r="J22" s="197"/>
      <c r="K22" s="197">
        <f t="shared" si="15"/>
        <v>1840.1999999999998</v>
      </c>
      <c r="L22" s="197">
        <f t="shared" si="0"/>
        <v>1290.5815000000002</v>
      </c>
      <c r="M22" s="197">
        <f t="shared" si="1"/>
        <v>1762.2215000000001</v>
      </c>
      <c r="N22" s="196">
        <f t="shared" si="16"/>
        <v>2115.0438018226869</v>
      </c>
      <c r="O22" s="197">
        <f t="shared" si="17"/>
        <v>318.62308458499962</v>
      </c>
      <c r="P22" s="197">
        <f t="shared" si="18"/>
        <v>1243.1731834732343</v>
      </c>
      <c r="Q22" s="197">
        <f t="shared" si="19"/>
        <v>871.87061834945246</v>
      </c>
      <c r="R22" s="199">
        <f t="shared" si="20"/>
        <v>1190.4937029344521</v>
      </c>
      <c r="S22" s="196">
        <f t="shared" si="66"/>
        <v>24905.686656848971</v>
      </c>
      <c r="T22" s="197">
        <f t="shared" si="21"/>
        <v>4297.062885375005</v>
      </c>
      <c r="U22" s="197">
        <f t="shared" si="21"/>
        <v>44803.485501926523</v>
      </c>
      <c r="V22" s="197">
        <f t="shared" si="21"/>
        <v>-19897.798845077545</v>
      </c>
      <c r="W22" s="199">
        <f t="shared" si="21"/>
        <v>-15600.735959702537</v>
      </c>
      <c r="Z22" s="204">
        <f t="shared" si="67"/>
        <v>11</v>
      </c>
      <c r="AA22" s="225">
        <f>'Energy NPV'!$D75</f>
        <v>11.617000000000001</v>
      </c>
      <c r="AB22" s="197">
        <f>'Energy margins'!$S$12</f>
        <v>269.5</v>
      </c>
      <c r="AC22" s="197">
        <f t="shared" si="22"/>
        <v>3130.7815000000001</v>
      </c>
      <c r="AD22" s="197">
        <f>'Margins summary'!$U$14</f>
        <v>471.64</v>
      </c>
      <c r="AE22" s="197">
        <f t="shared" si="23"/>
        <v>3602.4214999999999</v>
      </c>
      <c r="AF22" s="197"/>
      <c r="AG22" s="913">
        <f>'Energy NPV'!U75</f>
        <v>1840.1999999999998</v>
      </c>
      <c r="AH22" s="197"/>
      <c r="AI22" s="197">
        <f t="shared" si="24"/>
        <v>1840.1999999999998</v>
      </c>
      <c r="AJ22" s="197">
        <f t="shared" si="2"/>
        <v>1290.5815000000002</v>
      </c>
      <c r="AK22" s="197">
        <f t="shared" si="3"/>
        <v>1762.2215000000001</v>
      </c>
      <c r="AL22" s="196">
        <f t="shared" si="25"/>
        <v>1748.2120372624781</v>
      </c>
      <c r="AM22" s="197">
        <f t="shared" si="26"/>
        <v>263.36131258424621</v>
      </c>
      <c r="AN22" s="197">
        <f t="shared" si="27"/>
        <v>1027.5580684791998</v>
      </c>
      <c r="AO22" s="197">
        <f t="shared" si="28"/>
        <v>720.65396878327829</v>
      </c>
      <c r="AP22" s="199">
        <f t="shared" si="29"/>
        <v>984.01528136752449</v>
      </c>
      <c r="AQ22" s="196">
        <f t="shared" si="68"/>
        <v>22577.862844011477</v>
      </c>
      <c r="AR22" s="197">
        <f t="shared" si="30"/>
        <v>3942.9514569292264</v>
      </c>
      <c r="AS22" s="197">
        <f t="shared" si="30"/>
        <v>43380.270666559423</v>
      </c>
      <c r="AT22" s="197">
        <f t="shared" si="30"/>
        <v>-20802.407822547942</v>
      </c>
      <c r="AU22" s="199">
        <f t="shared" si="30"/>
        <v>-16859.45636561872</v>
      </c>
      <c r="AX22" s="204">
        <f t="shared" si="69"/>
        <v>11</v>
      </c>
      <c r="AY22" s="225">
        <f>'Energy NPV'!$D75</f>
        <v>11.617000000000001</v>
      </c>
      <c r="AZ22" s="197">
        <f>'Energy margins'!$S$12</f>
        <v>269.5</v>
      </c>
      <c r="BA22" s="197">
        <f t="shared" si="4"/>
        <v>3130.7815000000001</v>
      </c>
      <c r="BB22" s="197">
        <f>'Margins summary'!$U$14</f>
        <v>471.64</v>
      </c>
      <c r="BC22" s="197">
        <f t="shared" si="5"/>
        <v>3602.4214999999999</v>
      </c>
      <c r="BD22" s="197"/>
      <c r="BE22" s="913">
        <f>'Energy NPV'!U75</f>
        <v>1840.1999999999998</v>
      </c>
      <c r="BF22" s="197"/>
      <c r="BG22" s="197">
        <f t="shared" si="6"/>
        <v>1840.1999999999998</v>
      </c>
      <c r="BH22" s="197">
        <f t="shared" si="7"/>
        <v>1290.5815000000002</v>
      </c>
      <c r="BI22" s="197">
        <f t="shared" si="8"/>
        <v>1762.2215000000001</v>
      </c>
      <c r="BJ22" s="196">
        <f t="shared" si="31"/>
        <v>2568.3312808055884</v>
      </c>
      <c r="BK22" s="197">
        <f t="shared" si="32"/>
        <v>386.90907215311825</v>
      </c>
      <c r="BL22" s="197">
        <f t="shared" si="33"/>
        <v>1509.6049414302606</v>
      </c>
      <c r="BM22" s="197">
        <f t="shared" si="34"/>
        <v>1058.7263393753278</v>
      </c>
      <c r="BN22" s="199">
        <f t="shared" si="35"/>
        <v>1445.635411528446</v>
      </c>
      <c r="BO22" s="196">
        <f t="shared" si="36"/>
        <v>27610.937238715836</v>
      </c>
      <c r="BP22" s="197">
        <f t="shared" si="37"/>
        <v>4708.1863923440878</v>
      </c>
      <c r="BQ22" s="197">
        <f t="shared" si="38"/>
        <v>46451.325352554632</v>
      </c>
      <c r="BR22" s="197">
        <f t="shared" si="39"/>
        <v>-18840.388113838788</v>
      </c>
      <c r="BS22" s="199">
        <f t="shared" si="40"/>
        <v>-14132.201721494705</v>
      </c>
      <c r="BV22" s="204">
        <f t="shared" si="70"/>
        <v>11</v>
      </c>
      <c r="BW22" s="225">
        <f>'Energy NPV'!$D75</f>
        <v>11.617000000000001</v>
      </c>
      <c r="BX22" s="197">
        <f>'Energy margins'!$S$12</f>
        <v>269.5</v>
      </c>
      <c r="BY22" s="197">
        <f t="shared" si="41"/>
        <v>3130.7815000000001</v>
      </c>
      <c r="BZ22" s="197">
        <f>'Margins summary'!$U$14</f>
        <v>471.64</v>
      </c>
      <c r="CA22" s="197">
        <f t="shared" si="42"/>
        <v>3602.4214999999999</v>
      </c>
      <c r="CB22" s="197"/>
      <c r="CC22" s="913">
        <f>'Energy NPV'!U75</f>
        <v>1840.1999999999998</v>
      </c>
      <c r="CD22" s="197"/>
      <c r="CE22" s="197">
        <f t="shared" si="43"/>
        <v>1840.1999999999998</v>
      </c>
      <c r="CF22" s="197">
        <f t="shared" si="9"/>
        <v>1290.5815000000002</v>
      </c>
      <c r="CG22" s="197">
        <f t="shared" si="10"/>
        <v>1762.2215000000001</v>
      </c>
      <c r="CH22" s="196">
        <f t="shared" si="44"/>
        <v>1450.157603416</v>
      </c>
      <c r="CI22" s="197">
        <f t="shared" si="45"/>
        <v>218.46057672026046</v>
      </c>
      <c r="CJ22" s="197">
        <f t="shared" si="46"/>
        <v>852.36865677343587</v>
      </c>
      <c r="CK22" s="197">
        <f t="shared" si="47"/>
        <v>597.78894664256404</v>
      </c>
      <c r="CL22" s="199">
        <f t="shared" si="48"/>
        <v>816.24952336282445</v>
      </c>
      <c r="CM22" s="196">
        <f t="shared" si="71"/>
        <v>20564.671453070452</v>
      </c>
      <c r="CN22" s="197">
        <f t="shared" si="49"/>
        <v>3636.3827909967422</v>
      </c>
      <c r="CO22" s="197">
        <f t="shared" si="50"/>
        <v>42144.584348631084</v>
      </c>
      <c r="CP22" s="197">
        <f t="shared" si="51"/>
        <v>-21579.912895560636</v>
      </c>
      <c r="CQ22" s="199">
        <f t="shared" si="52"/>
        <v>-17943.530104563884</v>
      </c>
      <c r="CT22" s="204">
        <f t="shared" si="72"/>
        <v>11</v>
      </c>
      <c r="CU22" s="225">
        <f>'Energy NPV'!$D75</f>
        <v>11.617000000000001</v>
      </c>
      <c r="CV22" s="197">
        <f>'Energy margins'!$S$12</f>
        <v>269.5</v>
      </c>
      <c r="CW22" s="197">
        <f t="shared" si="53"/>
        <v>3130.7815000000001</v>
      </c>
      <c r="CX22" s="197">
        <f>'Margins summary'!$U$14</f>
        <v>471.64</v>
      </c>
      <c r="CY22" s="197">
        <f t="shared" si="54"/>
        <v>3602.4214999999999</v>
      </c>
      <c r="CZ22" s="197"/>
      <c r="DA22" s="913">
        <f>'Energy NPV'!U75</f>
        <v>1840.1999999999998</v>
      </c>
      <c r="DB22" s="197"/>
      <c r="DC22" s="197">
        <f t="shared" si="55"/>
        <v>1840.1999999999998</v>
      </c>
      <c r="DD22" s="197">
        <f t="shared" si="11"/>
        <v>1290.5815000000002</v>
      </c>
      <c r="DE22" s="197">
        <f t="shared" si="12"/>
        <v>1762.2215000000001</v>
      </c>
      <c r="DF22" s="196">
        <f t="shared" si="56"/>
        <v>3130.7815000000001</v>
      </c>
      <c r="DG22" s="197">
        <f t="shared" si="57"/>
        <v>471.64</v>
      </c>
      <c r="DH22" s="197">
        <f t="shared" si="58"/>
        <v>1840.1999999999998</v>
      </c>
      <c r="DI22" s="197">
        <f t="shared" si="59"/>
        <v>1290.5815000000002</v>
      </c>
      <c r="DJ22" s="199">
        <f t="shared" si="60"/>
        <v>1762.2215000000001</v>
      </c>
      <c r="DK22" s="196">
        <f t="shared" si="73"/>
        <v>30771.330333333339</v>
      </c>
      <c r="DL22" s="197">
        <f t="shared" si="61"/>
        <v>5188.04</v>
      </c>
      <c r="DM22" s="197">
        <f t="shared" si="62"/>
        <v>48369.674999999981</v>
      </c>
      <c r="DN22" s="197">
        <f t="shared" si="63"/>
        <v>-17598.344666666664</v>
      </c>
      <c r="DO22" s="199">
        <f t="shared" si="64"/>
        <v>-12410.304666666671</v>
      </c>
    </row>
    <row r="23" spans="2:119" x14ac:dyDescent="0.3">
      <c r="B23" s="204">
        <f t="shared" si="65"/>
        <v>12</v>
      </c>
      <c r="C23" s="225">
        <f>'Energy NPV'!$D76</f>
        <v>11.617000000000001</v>
      </c>
      <c r="D23" s="197">
        <f>'Energy margins'!$S$12</f>
        <v>269.5</v>
      </c>
      <c r="E23" s="197">
        <f t="shared" si="13"/>
        <v>3130.7815000000001</v>
      </c>
      <c r="F23" s="197">
        <f>'Margins summary'!$U$14</f>
        <v>471.64</v>
      </c>
      <c r="G23" s="197">
        <f t="shared" si="14"/>
        <v>3602.4214999999999</v>
      </c>
      <c r="H23" s="197"/>
      <c r="I23" s="913">
        <f>'Energy NPV'!U76</f>
        <v>1840.1999999999998</v>
      </c>
      <c r="J23" s="197"/>
      <c r="K23" s="197">
        <f t="shared" si="15"/>
        <v>1840.1999999999998</v>
      </c>
      <c r="L23" s="197">
        <f t="shared" si="0"/>
        <v>1290.5815000000002</v>
      </c>
      <c r="M23" s="197">
        <f t="shared" si="1"/>
        <v>1762.2215000000001</v>
      </c>
      <c r="N23" s="196">
        <f t="shared" si="16"/>
        <v>2033.6959632910452</v>
      </c>
      <c r="O23" s="197">
        <f t="shared" si="17"/>
        <v>306.36835056249964</v>
      </c>
      <c r="P23" s="197">
        <f t="shared" si="18"/>
        <v>1195.3588302627254</v>
      </c>
      <c r="Q23" s="197">
        <f t="shared" si="19"/>
        <v>838.33713302831973</v>
      </c>
      <c r="R23" s="199">
        <f t="shared" si="20"/>
        <v>1144.7054835908193</v>
      </c>
      <c r="S23" s="196">
        <f t="shared" si="66"/>
        <v>26939.382620140015</v>
      </c>
      <c r="T23" s="197">
        <f t="shared" si="21"/>
        <v>4603.4312359375044</v>
      </c>
      <c r="U23" s="197">
        <f t="shared" si="21"/>
        <v>45998.844332189248</v>
      </c>
      <c r="V23" s="197">
        <f t="shared" si="21"/>
        <v>-19059.461712049226</v>
      </c>
      <c r="W23" s="199">
        <f t="shared" si="21"/>
        <v>-14456.030476111719</v>
      </c>
      <c r="Z23" s="204">
        <f t="shared" si="67"/>
        <v>12</v>
      </c>
      <c r="AA23" s="225">
        <f>'Energy NPV'!$D76</f>
        <v>11.617000000000001</v>
      </c>
      <c r="AB23" s="197">
        <f>'Energy margins'!$S$12</f>
        <v>269.5</v>
      </c>
      <c r="AC23" s="197">
        <f t="shared" si="22"/>
        <v>3130.7815000000001</v>
      </c>
      <c r="AD23" s="197">
        <f>'Margins summary'!$U$14</f>
        <v>471.64</v>
      </c>
      <c r="AE23" s="197">
        <f t="shared" si="23"/>
        <v>3602.4214999999999</v>
      </c>
      <c r="AF23" s="197"/>
      <c r="AG23" s="913">
        <f>'Energy NPV'!U76</f>
        <v>1840.1999999999998</v>
      </c>
      <c r="AH23" s="197"/>
      <c r="AI23" s="197">
        <f t="shared" si="24"/>
        <v>1840.1999999999998</v>
      </c>
      <c r="AJ23" s="197">
        <f t="shared" si="2"/>
        <v>1290.5815000000002</v>
      </c>
      <c r="AK23" s="197">
        <f t="shared" si="3"/>
        <v>1762.2215000000001</v>
      </c>
      <c r="AL23" s="196">
        <f t="shared" si="25"/>
        <v>1649.2566389268659</v>
      </c>
      <c r="AM23" s="197">
        <f t="shared" si="26"/>
        <v>248.45406847570391</v>
      </c>
      <c r="AN23" s="197">
        <f t="shared" si="27"/>
        <v>969.39440422566008</v>
      </c>
      <c r="AO23" s="197">
        <f t="shared" si="28"/>
        <v>679.86223470120592</v>
      </c>
      <c r="AP23" s="199">
        <f t="shared" si="29"/>
        <v>928.31630317690974</v>
      </c>
      <c r="AQ23" s="196">
        <f t="shared" si="68"/>
        <v>24227.119482938342</v>
      </c>
      <c r="AR23" s="197">
        <f t="shared" si="30"/>
        <v>4191.4055254049299</v>
      </c>
      <c r="AS23" s="197">
        <f t="shared" si="30"/>
        <v>44349.665070785086</v>
      </c>
      <c r="AT23" s="197">
        <f t="shared" si="30"/>
        <v>-20122.545587846736</v>
      </c>
      <c r="AU23" s="199">
        <f t="shared" si="30"/>
        <v>-15931.140062441811</v>
      </c>
      <c r="AX23" s="204">
        <f t="shared" si="69"/>
        <v>12</v>
      </c>
      <c r="AY23" s="225">
        <f>'Energy NPV'!$D76</f>
        <v>11.617000000000001</v>
      </c>
      <c r="AZ23" s="197">
        <f>'Energy margins'!$S$12</f>
        <v>269.5</v>
      </c>
      <c r="BA23" s="197">
        <f t="shared" si="4"/>
        <v>3130.7815000000001</v>
      </c>
      <c r="BB23" s="197">
        <f>'Margins summary'!$U$14</f>
        <v>471.64</v>
      </c>
      <c r="BC23" s="197">
        <f t="shared" si="5"/>
        <v>3602.4214999999999</v>
      </c>
      <c r="BD23" s="197"/>
      <c r="BE23" s="913">
        <f>'Energy NPV'!U76</f>
        <v>1840.1999999999998</v>
      </c>
      <c r="BF23" s="197"/>
      <c r="BG23" s="197">
        <f t="shared" si="6"/>
        <v>1840.1999999999998</v>
      </c>
      <c r="BH23" s="197">
        <f t="shared" si="7"/>
        <v>1290.5815000000002</v>
      </c>
      <c r="BI23" s="197">
        <f t="shared" si="8"/>
        <v>1762.2215000000001</v>
      </c>
      <c r="BJ23" s="196">
        <f t="shared" si="31"/>
        <v>2517.9718439270482</v>
      </c>
      <c r="BK23" s="197">
        <f t="shared" si="32"/>
        <v>379.3226197579591</v>
      </c>
      <c r="BL23" s="197">
        <f t="shared" si="33"/>
        <v>1480.0048445394714</v>
      </c>
      <c r="BM23" s="197">
        <f t="shared" si="34"/>
        <v>1037.9669993875766</v>
      </c>
      <c r="BN23" s="199">
        <f t="shared" si="35"/>
        <v>1417.2896191455357</v>
      </c>
      <c r="BO23" s="196">
        <f t="shared" si="36"/>
        <v>30128.909082642884</v>
      </c>
      <c r="BP23" s="197">
        <f t="shared" si="37"/>
        <v>5087.5090121020467</v>
      </c>
      <c r="BQ23" s="197">
        <f t="shared" si="38"/>
        <v>47931.330197094103</v>
      </c>
      <c r="BR23" s="197">
        <f t="shared" si="39"/>
        <v>-17802.421114451212</v>
      </c>
      <c r="BS23" s="199">
        <f t="shared" si="40"/>
        <v>-12714.912102349168</v>
      </c>
      <c r="BV23" s="204">
        <f t="shared" si="70"/>
        <v>12</v>
      </c>
      <c r="BW23" s="225">
        <f>'Energy NPV'!$D76</f>
        <v>11.617000000000001</v>
      </c>
      <c r="BX23" s="197">
        <f>'Energy margins'!$S$12</f>
        <v>269.5</v>
      </c>
      <c r="BY23" s="197">
        <f t="shared" si="41"/>
        <v>3130.7815000000001</v>
      </c>
      <c r="BZ23" s="197">
        <f>'Margins summary'!$U$14</f>
        <v>471.64</v>
      </c>
      <c r="CA23" s="197">
        <f t="shared" si="42"/>
        <v>3602.4214999999999</v>
      </c>
      <c r="CB23" s="197"/>
      <c r="CC23" s="913">
        <f>'Energy NPV'!U76</f>
        <v>1840.1999999999998</v>
      </c>
      <c r="CD23" s="197"/>
      <c r="CE23" s="197">
        <f t="shared" si="43"/>
        <v>1840.1999999999998</v>
      </c>
      <c r="CF23" s="197">
        <f t="shared" si="9"/>
        <v>1290.5815000000002</v>
      </c>
      <c r="CG23" s="197">
        <f t="shared" si="10"/>
        <v>1762.2215000000001</v>
      </c>
      <c r="CH23" s="196">
        <f t="shared" si="44"/>
        <v>1342.7385216814814</v>
      </c>
      <c r="CI23" s="197">
        <f t="shared" si="45"/>
        <v>202.27831177801897</v>
      </c>
      <c r="CJ23" s="197">
        <f t="shared" si="46"/>
        <v>789.23023775318143</v>
      </c>
      <c r="CK23" s="197">
        <f t="shared" si="47"/>
        <v>553.50828392829999</v>
      </c>
      <c r="CL23" s="199">
        <f t="shared" si="48"/>
        <v>755.78659570631896</v>
      </c>
      <c r="CM23" s="196">
        <f t="shared" si="71"/>
        <v>21907.409974751932</v>
      </c>
      <c r="CN23" s="197">
        <f t="shared" si="49"/>
        <v>3838.6611027747613</v>
      </c>
      <c r="CO23" s="197">
        <f t="shared" si="50"/>
        <v>42933.814586384266</v>
      </c>
      <c r="CP23" s="197">
        <f t="shared" si="51"/>
        <v>-21026.404611632337</v>
      </c>
      <c r="CQ23" s="199">
        <f t="shared" si="52"/>
        <v>-17187.743508857566</v>
      </c>
      <c r="CT23" s="204">
        <f t="shared" si="72"/>
        <v>12</v>
      </c>
      <c r="CU23" s="225">
        <f>'Energy NPV'!$D76</f>
        <v>11.617000000000001</v>
      </c>
      <c r="CV23" s="197">
        <f>'Energy margins'!$S$12</f>
        <v>269.5</v>
      </c>
      <c r="CW23" s="197">
        <f t="shared" si="53"/>
        <v>3130.7815000000001</v>
      </c>
      <c r="CX23" s="197">
        <f>'Margins summary'!$U$14</f>
        <v>471.64</v>
      </c>
      <c r="CY23" s="197">
        <f t="shared" si="54"/>
        <v>3602.4214999999999</v>
      </c>
      <c r="CZ23" s="197"/>
      <c r="DA23" s="913">
        <f>'Energy NPV'!U76</f>
        <v>1840.1999999999998</v>
      </c>
      <c r="DB23" s="197"/>
      <c r="DC23" s="197">
        <f t="shared" si="55"/>
        <v>1840.1999999999998</v>
      </c>
      <c r="DD23" s="197">
        <f t="shared" si="11"/>
        <v>1290.5815000000002</v>
      </c>
      <c r="DE23" s="197">
        <f t="shared" si="12"/>
        <v>1762.2215000000001</v>
      </c>
      <c r="DF23" s="196">
        <f t="shared" si="56"/>
        <v>3130.7815000000001</v>
      </c>
      <c r="DG23" s="197">
        <f t="shared" si="57"/>
        <v>471.64</v>
      </c>
      <c r="DH23" s="197">
        <f t="shared" si="58"/>
        <v>1840.1999999999998</v>
      </c>
      <c r="DI23" s="197">
        <f t="shared" si="59"/>
        <v>1290.5815000000002</v>
      </c>
      <c r="DJ23" s="199">
        <f t="shared" si="60"/>
        <v>1762.2215000000001</v>
      </c>
      <c r="DK23" s="196">
        <f t="shared" si="73"/>
        <v>33902.111833333336</v>
      </c>
      <c r="DL23" s="197">
        <f t="shared" si="61"/>
        <v>5659.68</v>
      </c>
      <c r="DM23" s="197">
        <f t="shared" si="62"/>
        <v>50209.874999999978</v>
      </c>
      <c r="DN23" s="197">
        <f t="shared" si="63"/>
        <v>-16307.763166666664</v>
      </c>
      <c r="DO23" s="199">
        <f t="shared" si="64"/>
        <v>-10648.083166666671</v>
      </c>
    </row>
    <row r="24" spans="2:119" x14ac:dyDescent="0.3">
      <c r="B24" s="204">
        <f t="shared" si="65"/>
        <v>13</v>
      </c>
      <c r="C24" s="225">
        <f>'Energy NPV'!$D77</f>
        <v>11.617000000000001</v>
      </c>
      <c r="D24" s="197">
        <f>'Energy margins'!$S$12</f>
        <v>269.5</v>
      </c>
      <c r="E24" s="197">
        <f t="shared" si="13"/>
        <v>3130.7815000000001</v>
      </c>
      <c r="F24" s="197">
        <f>'Margins summary'!$U$14</f>
        <v>471.64</v>
      </c>
      <c r="G24" s="197">
        <f t="shared" si="14"/>
        <v>3602.4214999999999</v>
      </c>
      <c r="H24" s="197"/>
      <c r="I24" s="913">
        <f>'Energy NPV'!U77</f>
        <v>1840.1999999999998</v>
      </c>
      <c r="J24" s="197"/>
      <c r="K24" s="197">
        <f t="shared" si="15"/>
        <v>1840.1999999999998</v>
      </c>
      <c r="L24" s="197">
        <f t="shared" si="0"/>
        <v>1290.5815000000002</v>
      </c>
      <c r="M24" s="197">
        <f t="shared" si="1"/>
        <v>1762.2215000000001</v>
      </c>
      <c r="N24" s="196">
        <f t="shared" si="16"/>
        <v>1955.4768877798508</v>
      </c>
      <c r="O24" s="197">
        <f t="shared" si="17"/>
        <v>294.58495246394193</v>
      </c>
      <c r="P24" s="197">
        <f t="shared" si="18"/>
        <v>1149.3834906372358</v>
      </c>
      <c r="Q24" s="197">
        <f t="shared" si="19"/>
        <v>806.093397142615</v>
      </c>
      <c r="R24" s="199">
        <f t="shared" si="20"/>
        <v>1100.6783496065568</v>
      </c>
      <c r="S24" s="196">
        <f t="shared" si="66"/>
        <v>28894.859507919868</v>
      </c>
      <c r="T24" s="197">
        <f t="shared" si="21"/>
        <v>4898.016188401446</v>
      </c>
      <c r="U24" s="197">
        <f t="shared" si="21"/>
        <v>47148.227822826484</v>
      </c>
      <c r="V24" s="197">
        <f t="shared" si="21"/>
        <v>-18253.368314906609</v>
      </c>
      <c r="W24" s="199">
        <f t="shared" si="21"/>
        <v>-13355.352126505162</v>
      </c>
      <c r="Z24" s="204">
        <f t="shared" si="67"/>
        <v>13</v>
      </c>
      <c r="AA24" s="225">
        <f>'Energy NPV'!$D77</f>
        <v>11.617000000000001</v>
      </c>
      <c r="AB24" s="197">
        <f>'Energy margins'!$S$12</f>
        <v>269.5</v>
      </c>
      <c r="AC24" s="197">
        <f t="shared" si="22"/>
        <v>3130.7815000000001</v>
      </c>
      <c r="AD24" s="197">
        <f>'Margins summary'!$U$14</f>
        <v>471.64</v>
      </c>
      <c r="AE24" s="197">
        <f t="shared" si="23"/>
        <v>3602.4214999999999</v>
      </c>
      <c r="AF24" s="197"/>
      <c r="AG24" s="913">
        <f>'Energy NPV'!U77</f>
        <v>1840.1999999999998</v>
      </c>
      <c r="AH24" s="197"/>
      <c r="AI24" s="197">
        <f t="shared" si="24"/>
        <v>1840.1999999999998</v>
      </c>
      <c r="AJ24" s="197">
        <f t="shared" si="2"/>
        <v>1290.5815000000002</v>
      </c>
      <c r="AK24" s="197">
        <f t="shared" si="3"/>
        <v>1762.2215000000001</v>
      </c>
      <c r="AL24" s="196">
        <f t="shared" si="25"/>
        <v>1555.902489553647</v>
      </c>
      <c r="AM24" s="197">
        <f t="shared" si="26"/>
        <v>234.3906306374565</v>
      </c>
      <c r="AN24" s="197">
        <f t="shared" si="27"/>
        <v>914.52302285439623</v>
      </c>
      <c r="AO24" s="197">
        <f t="shared" si="28"/>
        <v>641.37946669925077</v>
      </c>
      <c r="AP24" s="199">
        <f t="shared" si="29"/>
        <v>875.77009733670718</v>
      </c>
      <c r="AQ24" s="196">
        <f t="shared" si="68"/>
        <v>25783.021972491988</v>
      </c>
      <c r="AR24" s="197">
        <f t="shared" si="30"/>
        <v>4425.7961560423864</v>
      </c>
      <c r="AS24" s="197">
        <f t="shared" si="30"/>
        <v>45264.188093639481</v>
      </c>
      <c r="AT24" s="197">
        <f t="shared" si="30"/>
        <v>-19481.166121147486</v>
      </c>
      <c r="AU24" s="199">
        <f t="shared" si="30"/>
        <v>-15055.369965105105</v>
      </c>
      <c r="AX24" s="204">
        <f t="shared" si="69"/>
        <v>13</v>
      </c>
      <c r="AY24" s="225">
        <f>'Energy NPV'!$D77</f>
        <v>11.617000000000001</v>
      </c>
      <c r="AZ24" s="197">
        <f>'Energy margins'!$S$12</f>
        <v>269.5</v>
      </c>
      <c r="BA24" s="197">
        <f t="shared" si="4"/>
        <v>3130.7815000000001</v>
      </c>
      <c r="BB24" s="197">
        <f>'Margins summary'!$U$14</f>
        <v>471.64</v>
      </c>
      <c r="BC24" s="197">
        <f t="shared" si="5"/>
        <v>3602.4214999999999</v>
      </c>
      <c r="BD24" s="197"/>
      <c r="BE24" s="913">
        <f>'Energy NPV'!U77</f>
        <v>1840.1999999999998</v>
      </c>
      <c r="BF24" s="197"/>
      <c r="BG24" s="197">
        <f t="shared" si="6"/>
        <v>1840.1999999999998</v>
      </c>
      <c r="BH24" s="197">
        <f t="shared" si="7"/>
        <v>1290.5815000000002</v>
      </c>
      <c r="BI24" s="197">
        <f t="shared" si="8"/>
        <v>1762.2215000000001</v>
      </c>
      <c r="BJ24" s="196">
        <f t="shared" si="31"/>
        <v>2468.5998469873016</v>
      </c>
      <c r="BK24" s="197">
        <f t="shared" si="32"/>
        <v>371.88492133133241</v>
      </c>
      <c r="BL24" s="197">
        <f t="shared" si="33"/>
        <v>1450.985141705364</v>
      </c>
      <c r="BM24" s="197">
        <f t="shared" si="34"/>
        <v>1017.6147052819376</v>
      </c>
      <c r="BN24" s="199">
        <f t="shared" si="35"/>
        <v>1389.49962661327</v>
      </c>
      <c r="BO24" s="196">
        <f t="shared" si="36"/>
        <v>32597.508929630185</v>
      </c>
      <c r="BP24" s="197">
        <f t="shared" si="37"/>
        <v>5459.3939334333791</v>
      </c>
      <c r="BQ24" s="197">
        <f t="shared" si="38"/>
        <v>49382.315338799468</v>
      </c>
      <c r="BR24" s="197">
        <f t="shared" si="39"/>
        <v>-16784.806409169276</v>
      </c>
      <c r="BS24" s="199">
        <f t="shared" si="40"/>
        <v>-11325.412475735899</v>
      </c>
      <c r="BV24" s="204">
        <f t="shared" si="70"/>
        <v>13</v>
      </c>
      <c r="BW24" s="225">
        <f>'Energy NPV'!$D77</f>
        <v>11.617000000000001</v>
      </c>
      <c r="BX24" s="197">
        <f>'Energy margins'!$S$12</f>
        <v>269.5</v>
      </c>
      <c r="BY24" s="197">
        <f t="shared" si="41"/>
        <v>3130.7815000000001</v>
      </c>
      <c r="BZ24" s="197">
        <f>'Margins summary'!$U$14</f>
        <v>471.64</v>
      </c>
      <c r="CA24" s="197">
        <f t="shared" si="42"/>
        <v>3602.4214999999999</v>
      </c>
      <c r="CB24" s="197"/>
      <c r="CC24" s="913">
        <f>'Energy NPV'!U77</f>
        <v>1840.1999999999998</v>
      </c>
      <c r="CD24" s="197"/>
      <c r="CE24" s="197">
        <f t="shared" si="43"/>
        <v>1840.1999999999998</v>
      </c>
      <c r="CF24" s="197">
        <f t="shared" si="9"/>
        <v>1290.5815000000002</v>
      </c>
      <c r="CG24" s="197">
        <f t="shared" si="10"/>
        <v>1762.2215000000001</v>
      </c>
      <c r="CH24" s="196">
        <f t="shared" si="44"/>
        <v>1243.2764089643345</v>
      </c>
      <c r="CI24" s="197">
        <f t="shared" si="45"/>
        <v>187.29473312779533</v>
      </c>
      <c r="CJ24" s="197">
        <f t="shared" si="46"/>
        <v>730.76873866035305</v>
      </c>
      <c r="CK24" s="197">
        <f t="shared" si="47"/>
        <v>512.50767030398151</v>
      </c>
      <c r="CL24" s="199">
        <f t="shared" si="48"/>
        <v>699.80240343177672</v>
      </c>
      <c r="CM24" s="196">
        <f t="shared" si="71"/>
        <v>23150.686383716267</v>
      </c>
      <c r="CN24" s="197">
        <f t="shared" si="49"/>
        <v>4025.9558359025568</v>
      </c>
      <c r="CO24" s="197">
        <f t="shared" si="50"/>
        <v>43664.583325044616</v>
      </c>
      <c r="CP24" s="197">
        <f t="shared" si="51"/>
        <v>-20513.896941328356</v>
      </c>
      <c r="CQ24" s="199">
        <f t="shared" si="52"/>
        <v>-16487.941105425791</v>
      </c>
      <c r="CT24" s="204">
        <f t="shared" si="72"/>
        <v>13</v>
      </c>
      <c r="CU24" s="225">
        <f>'Energy NPV'!$D77</f>
        <v>11.617000000000001</v>
      </c>
      <c r="CV24" s="197">
        <f>'Energy margins'!$S$12</f>
        <v>269.5</v>
      </c>
      <c r="CW24" s="197">
        <f t="shared" si="53"/>
        <v>3130.7815000000001</v>
      </c>
      <c r="CX24" s="197">
        <f>'Margins summary'!$U$14</f>
        <v>471.64</v>
      </c>
      <c r="CY24" s="197">
        <f t="shared" si="54"/>
        <v>3602.4214999999999</v>
      </c>
      <c r="CZ24" s="197"/>
      <c r="DA24" s="913">
        <f>'Energy NPV'!U77</f>
        <v>1840.1999999999998</v>
      </c>
      <c r="DB24" s="197"/>
      <c r="DC24" s="197">
        <f t="shared" si="55"/>
        <v>1840.1999999999998</v>
      </c>
      <c r="DD24" s="197">
        <f t="shared" si="11"/>
        <v>1290.5815000000002</v>
      </c>
      <c r="DE24" s="197">
        <f t="shared" si="12"/>
        <v>1762.2215000000001</v>
      </c>
      <c r="DF24" s="196">
        <f t="shared" si="56"/>
        <v>3130.7815000000001</v>
      </c>
      <c r="DG24" s="197">
        <f t="shared" si="57"/>
        <v>471.64</v>
      </c>
      <c r="DH24" s="197">
        <f t="shared" si="58"/>
        <v>1840.1999999999998</v>
      </c>
      <c r="DI24" s="197">
        <f t="shared" si="59"/>
        <v>1290.5815000000002</v>
      </c>
      <c r="DJ24" s="199">
        <f t="shared" si="60"/>
        <v>1762.2215000000001</v>
      </c>
      <c r="DK24" s="196">
        <f t="shared" si="73"/>
        <v>37032.893333333333</v>
      </c>
      <c r="DL24" s="197">
        <f t="shared" si="61"/>
        <v>6131.3200000000006</v>
      </c>
      <c r="DM24" s="197">
        <f t="shared" si="62"/>
        <v>52050.074999999975</v>
      </c>
      <c r="DN24" s="197">
        <f t="shared" si="63"/>
        <v>-15017.181666666664</v>
      </c>
      <c r="DO24" s="199">
        <f t="shared" si="64"/>
        <v>-8885.8616666666712</v>
      </c>
    </row>
    <row r="25" spans="2:119" x14ac:dyDescent="0.3">
      <c r="B25" s="204">
        <f t="shared" si="65"/>
        <v>14</v>
      </c>
      <c r="C25" s="225">
        <f>'Energy NPV'!$D78</f>
        <v>11.617000000000001</v>
      </c>
      <c r="D25" s="197">
        <f>'Energy margins'!$S$12</f>
        <v>269.5</v>
      </c>
      <c r="E25" s="197">
        <f t="shared" si="13"/>
        <v>3130.7815000000001</v>
      </c>
      <c r="F25" s="197">
        <f>'Margins summary'!$U$14</f>
        <v>471.64</v>
      </c>
      <c r="G25" s="197">
        <f t="shared" si="14"/>
        <v>3602.4214999999999</v>
      </c>
      <c r="H25" s="197"/>
      <c r="I25" s="913">
        <f>'Energy NPV'!U78</f>
        <v>1840.1999999999998</v>
      </c>
      <c r="J25" s="197"/>
      <c r="K25" s="197">
        <f t="shared" si="15"/>
        <v>1840.1999999999998</v>
      </c>
      <c r="L25" s="197">
        <f t="shared" si="0"/>
        <v>1290.5815000000002</v>
      </c>
      <c r="M25" s="197">
        <f t="shared" si="1"/>
        <v>1762.2215000000001</v>
      </c>
      <c r="N25" s="196">
        <f t="shared" si="16"/>
        <v>1880.2662382498565</v>
      </c>
      <c r="O25" s="197">
        <f t="shared" si="17"/>
        <v>283.25476198455954</v>
      </c>
      <c r="P25" s="197">
        <f t="shared" si="18"/>
        <v>1105.1764333050344</v>
      </c>
      <c r="Q25" s="197">
        <f t="shared" si="19"/>
        <v>775.08980494482205</v>
      </c>
      <c r="R25" s="199">
        <f t="shared" si="20"/>
        <v>1058.3445669293815</v>
      </c>
      <c r="S25" s="196">
        <f t="shared" si="66"/>
        <v>30775.125746169724</v>
      </c>
      <c r="T25" s="197">
        <f t="shared" si="21"/>
        <v>5181.270950386006</v>
      </c>
      <c r="U25" s="197">
        <f t="shared" si="21"/>
        <v>48253.404256131522</v>
      </c>
      <c r="V25" s="197">
        <f t="shared" si="21"/>
        <v>-17478.278509961787</v>
      </c>
      <c r="W25" s="199">
        <f t="shared" si="21"/>
        <v>-12297.007559575781</v>
      </c>
      <c r="Z25" s="204">
        <f t="shared" si="67"/>
        <v>14</v>
      </c>
      <c r="AA25" s="225">
        <f>'Energy NPV'!$D78</f>
        <v>11.617000000000001</v>
      </c>
      <c r="AB25" s="197">
        <f>'Energy margins'!$S$12</f>
        <v>269.5</v>
      </c>
      <c r="AC25" s="197">
        <f t="shared" si="22"/>
        <v>3130.7815000000001</v>
      </c>
      <c r="AD25" s="197">
        <f>'Margins summary'!$U$14</f>
        <v>471.64</v>
      </c>
      <c r="AE25" s="197">
        <f t="shared" si="23"/>
        <v>3602.4214999999999</v>
      </c>
      <c r="AF25" s="197"/>
      <c r="AG25" s="913">
        <f>'Energy NPV'!U78</f>
        <v>1840.1999999999998</v>
      </c>
      <c r="AH25" s="197"/>
      <c r="AI25" s="197">
        <f t="shared" si="24"/>
        <v>1840.1999999999998</v>
      </c>
      <c r="AJ25" s="197">
        <f t="shared" si="2"/>
        <v>1290.5815000000002</v>
      </c>
      <c r="AK25" s="197">
        <f t="shared" si="3"/>
        <v>1762.2215000000001</v>
      </c>
      <c r="AL25" s="196">
        <f t="shared" si="25"/>
        <v>1467.8325373147611</v>
      </c>
      <c r="AM25" s="197">
        <f t="shared" si="26"/>
        <v>221.12323645043065</v>
      </c>
      <c r="AN25" s="197">
        <f t="shared" si="27"/>
        <v>862.75756873056241</v>
      </c>
      <c r="AO25" s="197">
        <f t="shared" si="28"/>
        <v>605.07496858419881</v>
      </c>
      <c r="AP25" s="199">
        <f t="shared" si="29"/>
        <v>826.19820503462938</v>
      </c>
      <c r="AQ25" s="196">
        <f t="shared" si="68"/>
        <v>27250.854509806748</v>
      </c>
      <c r="AR25" s="197">
        <f t="shared" si="30"/>
        <v>4646.9193924928168</v>
      </c>
      <c r="AS25" s="197">
        <f t="shared" si="30"/>
        <v>46126.945662370046</v>
      </c>
      <c r="AT25" s="197">
        <f t="shared" si="30"/>
        <v>-18876.091152563287</v>
      </c>
      <c r="AU25" s="199">
        <f t="shared" si="30"/>
        <v>-14229.171760070476</v>
      </c>
      <c r="AX25" s="204">
        <f t="shared" si="69"/>
        <v>14</v>
      </c>
      <c r="AY25" s="225">
        <f>'Energy NPV'!$D78</f>
        <v>11.617000000000001</v>
      </c>
      <c r="AZ25" s="197">
        <f>'Energy margins'!$S$12</f>
        <v>269.5</v>
      </c>
      <c r="BA25" s="197">
        <f t="shared" si="4"/>
        <v>3130.7815000000001</v>
      </c>
      <c r="BB25" s="197">
        <f>'Margins summary'!$U$14</f>
        <v>471.64</v>
      </c>
      <c r="BC25" s="197">
        <f t="shared" si="5"/>
        <v>3602.4214999999999</v>
      </c>
      <c r="BD25" s="197"/>
      <c r="BE25" s="913">
        <f>'Energy NPV'!U78</f>
        <v>1840.1999999999998</v>
      </c>
      <c r="BF25" s="197"/>
      <c r="BG25" s="197">
        <f t="shared" si="6"/>
        <v>1840.1999999999998</v>
      </c>
      <c r="BH25" s="197">
        <f t="shared" si="7"/>
        <v>1290.5815000000002</v>
      </c>
      <c r="BI25" s="197">
        <f t="shared" si="8"/>
        <v>1762.2215000000001</v>
      </c>
      <c r="BJ25" s="196">
        <f t="shared" si="31"/>
        <v>2420.1959284189234</v>
      </c>
      <c r="BK25" s="197">
        <f t="shared" si="32"/>
        <v>364.59306012875732</v>
      </c>
      <c r="BL25" s="197">
        <f t="shared" si="33"/>
        <v>1422.5344526523177</v>
      </c>
      <c r="BM25" s="197">
        <f t="shared" si="34"/>
        <v>997.66147576660558</v>
      </c>
      <c r="BN25" s="199">
        <f t="shared" si="35"/>
        <v>1362.2545358953628</v>
      </c>
      <c r="BO25" s="196">
        <f t="shared" si="36"/>
        <v>35017.70485804911</v>
      </c>
      <c r="BP25" s="197">
        <f t="shared" si="37"/>
        <v>5823.9869935621364</v>
      </c>
      <c r="BQ25" s="197">
        <f t="shared" si="38"/>
        <v>50804.849791451787</v>
      </c>
      <c r="BR25" s="197">
        <f t="shared" si="39"/>
        <v>-15787.144933402671</v>
      </c>
      <c r="BS25" s="199">
        <f t="shared" si="40"/>
        <v>-9963.1579398405356</v>
      </c>
      <c r="BV25" s="204">
        <f t="shared" si="70"/>
        <v>14</v>
      </c>
      <c r="BW25" s="225">
        <f>'Energy NPV'!$D78</f>
        <v>11.617000000000001</v>
      </c>
      <c r="BX25" s="197">
        <f>'Energy margins'!$S$12</f>
        <v>269.5</v>
      </c>
      <c r="BY25" s="197">
        <f t="shared" si="41"/>
        <v>3130.7815000000001</v>
      </c>
      <c r="BZ25" s="197">
        <f>'Margins summary'!$U$14</f>
        <v>471.64</v>
      </c>
      <c r="CA25" s="197">
        <f t="shared" si="42"/>
        <v>3602.4214999999999</v>
      </c>
      <c r="CB25" s="197"/>
      <c r="CC25" s="913">
        <f>'Energy NPV'!U78</f>
        <v>1840.1999999999998</v>
      </c>
      <c r="CD25" s="197"/>
      <c r="CE25" s="197">
        <f t="shared" si="43"/>
        <v>1840.1999999999998</v>
      </c>
      <c r="CF25" s="197">
        <f t="shared" si="9"/>
        <v>1290.5815000000002</v>
      </c>
      <c r="CG25" s="197">
        <f t="shared" si="10"/>
        <v>1762.2215000000001</v>
      </c>
      <c r="CH25" s="196">
        <f t="shared" si="44"/>
        <v>1151.1818601521616</v>
      </c>
      <c r="CI25" s="197">
        <f t="shared" si="45"/>
        <v>173.42104919240307</v>
      </c>
      <c r="CJ25" s="197">
        <f t="shared" si="46"/>
        <v>676.63772098180834</v>
      </c>
      <c r="CK25" s="197">
        <f t="shared" si="47"/>
        <v>474.54413917035322</v>
      </c>
      <c r="CL25" s="199">
        <f t="shared" si="48"/>
        <v>647.96518836275629</v>
      </c>
      <c r="CM25" s="196">
        <f t="shared" si="71"/>
        <v>24301.86824386843</v>
      </c>
      <c r="CN25" s="197">
        <f t="shared" si="49"/>
        <v>4199.37688509496</v>
      </c>
      <c r="CO25" s="197">
        <f t="shared" si="50"/>
        <v>44341.221046026425</v>
      </c>
      <c r="CP25" s="197">
        <f t="shared" si="51"/>
        <v>-20039.352802158002</v>
      </c>
      <c r="CQ25" s="199">
        <f t="shared" si="52"/>
        <v>-15839.975917063035</v>
      </c>
      <c r="CT25" s="204">
        <f t="shared" si="72"/>
        <v>14</v>
      </c>
      <c r="CU25" s="225">
        <f>'Energy NPV'!$D78</f>
        <v>11.617000000000001</v>
      </c>
      <c r="CV25" s="197">
        <f>'Energy margins'!$S$12</f>
        <v>269.5</v>
      </c>
      <c r="CW25" s="197">
        <f t="shared" si="53"/>
        <v>3130.7815000000001</v>
      </c>
      <c r="CX25" s="197">
        <f>'Margins summary'!$U$14</f>
        <v>471.64</v>
      </c>
      <c r="CY25" s="197">
        <f t="shared" si="54"/>
        <v>3602.4214999999999</v>
      </c>
      <c r="CZ25" s="197"/>
      <c r="DA25" s="913">
        <f>'Energy NPV'!U78</f>
        <v>1840.1999999999998</v>
      </c>
      <c r="DB25" s="197"/>
      <c r="DC25" s="197">
        <f t="shared" si="55"/>
        <v>1840.1999999999998</v>
      </c>
      <c r="DD25" s="197">
        <f t="shared" si="11"/>
        <v>1290.5815000000002</v>
      </c>
      <c r="DE25" s="197">
        <f t="shared" si="12"/>
        <v>1762.2215000000001</v>
      </c>
      <c r="DF25" s="196">
        <f t="shared" si="56"/>
        <v>3130.7815000000001</v>
      </c>
      <c r="DG25" s="197">
        <f t="shared" si="57"/>
        <v>471.64</v>
      </c>
      <c r="DH25" s="197">
        <f t="shared" si="58"/>
        <v>1840.1999999999998</v>
      </c>
      <c r="DI25" s="197">
        <f t="shared" si="59"/>
        <v>1290.5815000000002</v>
      </c>
      <c r="DJ25" s="199">
        <f t="shared" si="60"/>
        <v>1762.2215000000001</v>
      </c>
      <c r="DK25" s="196">
        <f t="shared" si="73"/>
        <v>40163.674833333331</v>
      </c>
      <c r="DL25" s="197">
        <f t="shared" si="61"/>
        <v>6602.9600000000009</v>
      </c>
      <c r="DM25" s="197">
        <f t="shared" si="62"/>
        <v>53890.274999999972</v>
      </c>
      <c r="DN25" s="197">
        <f t="shared" si="63"/>
        <v>-13726.600166666663</v>
      </c>
      <c r="DO25" s="199">
        <f t="shared" si="64"/>
        <v>-7123.6401666666716</v>
      </c>
    </row>
    <row r="26" spans="2:119" x14ac:dyDescent="0.3">
      <c r="B26" s="204">
        <f t="shared" si="65"/>
        <v>15</v>
      </c>
      <c r="C26" s="225">
        <f>'Energy NPV'!$D79</f>
        <v>11.617000000000001</v>
      </c>
      <c r="D26" s="197">
        <f>'Energy margins'!$S$12</f>
        <v>269.5</v>
      </c>
      <c r="E26" s="197">
        <f t="shared" si="13"/>
        <v>3130.7815000000001</v>
      </c>
      <c r="F26" s="197">
        <f>'Margins summary'!$U$14</f>
        <v>471.64</v>
      </c>
      <c r="G26" s="197">
        <f t="shared" si="14"/>
        <v>3602.4214999999999</v>
      </c>
      <c r="H26" s="197"/>
      <c r="I26" s="913">
        <f>'Energy NPV'!U79</f>
        <v>1840.1999999999998</v>
      </c>
      <c r="J26" s="197"/>
      <c r="K26" s="197">
        <f t="shared" si="15"/>
        <v>1840.1999999999998</v>
      </c>
      <c r="L26" s="197">
        <f t="shared" si="0"/>
        <v>1290.5815000000002</v>
      </c>
      <c r="M26" s="197">
        <f t="shared" si="1"/>
        <v>1762.2215000000001</v>
      </c>
      <c r="N26" s="196">
        <f t="shared" si="16"/>
        <v>1807.9483060094774</v>
      </c>
      <c r="O26" s="197">
        <f t="shared" si="17"/>
        <v>272.36034806207647</v>
      </c>
      <c r="P26" s="197">
        <f t="shared" si="18"/>
        <v>1062.6696474086868</v>
      </c>
      <c r="Q26" s="197">
        <f t="shared" si="19"/>
        <v>745.27865860079044</v>
      </c>
      <c r="R26" s="199">
        <f t="shared" si="20"/>
        <v>1017.6390066628669</v>
      </c>
      <c r="S26" s="196">
        <f t="shared" si="66"/>
        <v>32583.074052179203</v>
      </c>
      <c r="T26" s="197">
        <f t="shared" si="21"/>
        <v>5453.6312984480828</v>
      </c>
      <c r="U26" s="197">
        <f t="shared" si="21"/>
        <v>49316.073903540208</v>
      </c>
      <c r="V26" s="197">
        <f t="shared" si="21"/>
        <v>-16732.999851360997</v>
      </c>
      <c r="W26" s="199">
        <f t="shared" si="21"/>
        <v>-11279.368552912914</v>
      </c>
      <c r="Z26" s="204">
        <f t="shared" si="67"/>
        <v>15</v>
      </c>
      <c r="AA26" s="225">
        <f>'Energy NPV'!$D79</f>
        <v>11.617000000000001</v>
      </c>
      <c r="AB26" s="197">
        <f>'Energy margins'!$S$12</f>
        <v>269.5</v>
      </c>
      <c r="AC26" s="197">
        <f t="shared" si="22"/>
        <v>3130.7815000000001</v>
      </c>
      <c r="AD26" s="197">
        <f>'Margins summary'!$U$14</f>
        <v>471.64</v>
      </c>
      <c r="AE26" s="197">
        <f t="shared" si="23"/>
        <v>3602.4214999999999</v>
      </c>
      <c r="AF26" s="197"/>
      <c r="AG26" s="913">
        <f>'Energy NPV'!U79</f>
        <v>1840.1999999999998</v>
      </c>
      <c r="AH26" s="197"/>
      <c r="AI26" s="197">
        <f t="shared" si="24"/>
        <v>1840.1999999999998</v>
      </c>
      <c r="AJ26" s="197">
        <f t="shared" si="2"/>
        <v>1290.5815000000002</v>
      </c>
      <c r="AK26" s="197">
        <f t="shared" si="3"/>
        <v>1762.2215000000001</v>
      </c>
      <c r="AL26" s="196">
        <f t="shared" si="25"/>
        <v>1384.7476767120388</v>
      </c>
      <c r="AM26" s="197">
        <f t="shared" si="26"/>
        <v>208.60682684002893</v>
      </c>
      <c r="AN26" s="197">
        <f t="shared" si="27"/>
        <v>813.92223465147401</v>
      </c>
      <c r="AO26" s="197">
        <f t="shared" si="28"/>
        <v>570.82544206056491</v>
      </c>
      <c r="AP26" s="199">
        <f t="shared" si="29"/>
        <v>779.43226890059384</v>
      </c>
      <c r="AQ26" s="196">
        <f t="shared" si="68"/>
        <v>28635.602186518787</v>
      </c>
      <c r="AR26" s="197">
        <f t="shared" si="30"/>
        <v>4855.5262193328454</v>
      </c>
      <c r="AS26" s="197">
        <f t="shared" si="30"/>
        <v>46940.867897021519</v>
      </c>
      <c r="AT26" s="197">
        <f t="shared" si="30"/>
        <v>-18305.265710502721</v>
      </c>
      <c r="AU26" s="199">
        <f t="shared" si="30"/>
        <v>-13449.739491169883</v>
      </c>
      <c r="AX26" s="204">
        <f t="shared" si="69"/>
        <v>15</v>
      </c>
      <c r="AY26" s="225">
        <f>'Energy NPV'!$D79</f>
        <v>11.617000000000001</v>
      </c>
      <c r="AZ26" s="197">
        <f>'Energy margins'!$S$12</f>
        <v>269.5</v>
      </c>
      <c r="BA26" s="197">
        <f t="shared" si="4"/>
        <v>3130.7815000000001</v>
      </c>
      <c r="BB26" s="197">
        <f>'Margins summary'!$U$14</f>
        <v>471.64</v>
      </c>
      <c r="BC26" s="197">
        <f t="shared" si="5"/>
        <v>3602.4214999999999</v>
      </c>
      <c r="BD26" s="197"/>
      <c r="BE26" s="913">
        <f>'Energy NPV'!U79</f>
        <v>1840.1999999999998</v>
      </c>
      <c r="BF26" s="197"/>
      <c r="BG26" s="197">
        <f t="shared" si="6"/>
        <v>1840.1999999999998</v>
      </c>
      <c r="BH26" s="197">
        <f t="shared" si="7"/>
        <v>1290.5815000000002</v>
      </c>
      <c r="BI26" s="197">
        <f t="shared" si="8"/>
        <v>1762.2215000000001</v>
      </c>
      <c r="BJ26" s="196">
        <f t="shared" si="31"/>
        <v>2372.7411062930619</v>
      </c>
      <c r="BK26" s="197">
        <f t="shared" si="32"/>
        <v>357.44417659682085</v>
      </c>
      <c r="BL26" s="197">
        <f t="shared" si="33"/>
        <v>1394.6416202473702</v>
      </c>
      <c r="BM26" s="197">
        <f t="shared" si="34"/>
        <v>978.09948604569172</v>
      </c>
      <c r="BN26" s="199">
        <f t="shared" si="35"/>
        <v>1335.5436626425123</v>
      </c>
      <c r="BO26" s="196">
        <f t="shared" si="36"/>
        <v>37390.445964342172</v>
      </c>
      <c r="BP26" s="197">
        <f t="shared" si="37"/>
        <v>6181.4311701589577</v>
      </c>
      <c r="BQ26" s="197">
        <f t="shared" si="38"/>
        <v>52199.491411699157</v>
      </c>
      <c r="BR26" s="197">
        <f t="shared" si="39"/>
        <v>-14809.045447356979</v>
      </c>
      <c r="BS26" s="199">
        <f t="shared" si="40"/>
        <v>-8627.614277198023</v>
      </c>
      <c r="BV26" s="204">
        <f t="shared" si="70"/>
        <v>15</v>
      </c>
      <c r="BW26" s="225">
        <f>'Energy NPV'!$D79</f>
        <v>11.617000000000001</v>
      </c>
      <c r="BX26" s="197">
        <f>'Energy margins'!$S$12</f>
        <v>269.5</v>
      </c>
      <c r="BY26" s="197">
        <f t="shared" si="41"/>
        <v>3130.7815000000001</v>
      </c>
      <c r="BZ26" s="197">
        <f>'Margins summary'!$U$14</f>
        <v>471.64</v>
      </c>
      <c r="CA26" s="197">
        <f t="shared" si="42"/>
        <v>3602.4214999999999</v>
      </c>
      <c r="CB26" s="197"/>
      <c r="CC26" s="913">
        <f>'Energy NPV'!U79</f>
        <v>1840.1999999999998</v>
      </c>
      <c r="CD26" s="197"/>
      <c r="CE26" s="197">
        <f t="shared" si="43"/>
        <v>1840.1999999999998</v>
      </c>
      <c r="CF26" s="197">
        <f t="shared" si="9"/>
        <v>1290.5815000000002</v>
      </c>
      <c r="CG26" s="197">
        <f t="shared" si="10"/>
        <v>1762.2215000000001</v>
      </c>
      <c r="CH26" s="196">
        <f t="shared" si="44"/>
        <v>1065.9091297705197</v>
      </c>
      <c r="CI26" s="197">
        <f t="shared" si="45"/>
        <v>160.57504554852133</v>
      </c>
      <c r="CJ26" s="197">
        <f t="shared" si="46"/>
        <v>626.51640831648911</v>
      </c>
      <c r="CK26" s="197">
        <f t="shared" si="47"/>
        <v>439.39272145403066</v>
      </c>
      <c r="CL26" s="199">
        <f t="shared" si="48"/>
        <v>599.96776700255202</v>
      </c>
      <c r="CM26" s="196">
        <f t="shared" si="71"/>
        <v>25367.77737363895</v>
      </c>
      <c r="CN26" s="197">
        <f t="shared" si="49"/>
        <v>4359.9519306434813</v>
      </c>
      <c r="CO26" s="197">
        <f t="shared" si="50"/>
        <v>44967.737454342918</v>
      </c>
      <c r="CP26" s="197">
        <f t="shared" si="51"/>
        <v>-19599.960080703971</v>
      </c>
      <c r="CQ26" s="199">
        <f t="shared" si="52"/>
        <v>-15240.008150060483</v>
      </c>
      <c r="CT26" s="204">
        <f t="shared" si="72"/>
        <v>15</v>
      </c>
      <c r="CU26" s="225">
        <f>'Energy NPV'!$D79</f>
        <v>11.617000000000001</v>
      </c>
      <c r="CV26" s="197">
        <f>'Energy margins'!$S$12</f>
        <v>269.5</v>
      </c>
      <c r="CW26" s="197">
        <f t="shared" si="53"/>
        <v>3130.7815000000001</v>
      </c>
      <c r="CX26" s="197">
        <f>'Margins summary'!$U$14</f>
        <v>471.64</v>
      </c>
      <c r="CY26" s="197">
        <f t="shared" si="54"/>
        <v>3602.4214999999999</v>
      </c>
      <c r="CZ26" s="197"/>
      <c r="DA26" s="913">
        <f>'Energy NPV'!U79</f>
        <v>1840.1999999999998</v>
      </c>
      <c r="DB26" s="197"/>
      <c r="DC26" s="197">
        <f t="shared" si="55"/>
        <v>1840.1999999999998</v>
      </c>
      <c r="DD26" s="197">
        <f t="shared" si="11"/>
        <v>1290.5815000000002</v>
      </c>
      <c r="DE26" s="197">
        <f t="shared" si="12"/>
        <v>1762.2215000000001</v>
      </c>
      <c r="DF26" s="196">
        <f t="shared" si="56"/>
        <v>3130.7815000000001</v>
      </c>
      <c r="DG26" s="197">
        <f t="shared" si="57"/>
        <v>471.64</v>
      </c>
      <c r="DH26" s="197">
        <f t="shared" si="58"/>
        <v>1840.1999999999998</v>
      </c>
      <c r="DI26" s="197">
        <f t="shared" si="59"/>
        <v>1290.5815000000002</v>
      </c>
      <c r="DJ26" s="199">
        <f t="shared" si="60"/>
        <v>1762.2215000000001</v>
      </c>
      <c r="DK26" s="196">
        <f t="shared" si="73"/>
        <v>43294.456333333328</v>
      </c>
      <c r="DL26" s="197">
        <f t="shared" si="61"/>
        <v>7074.6000000000013</v>
      </c>
      <c r="DM26" s="197">
        <f t="shared" si="62"/>
        <v>55730.474999999969</v>
      </c>
      <c r="DN26" s="197">
        <f t="shared" si="63"/>
        <v>-12436.018666666663</v>
      </c>
      <c r="DO26" s="199">
        <f t="shared" si="64"/>
        <v>-5361.4186666666719</v>
      </c>
    </row>
    <row r="27" spans="2:119" x14ac:dyDescent="0.3">
      <c r="B27" s="206">
        <f t="shared" si="65"/>
        <v>16</v>
      </c>
      <c r="C27" s="226">
        <f>'Energy NPV'!$D80</f>
        <v>11.617000000000001</v>
      </c>
      <c r="D27" s="207">
        <f>'Energy margins'!$S$12</f>
        <v>269.5</v>
      </c>
      <c r="E27" s="207">
        <f t="shared" si="13"/>
        <v>3130.7815000000001</v>
      </c>
      <c r="F27" s="207">
        <f>'Margins summary'!$U$14</f>
        <v>471.64</v>
      </c>
      <c r="G27" s="207">
        <f t="shared" si="14"/>
        <v>3602.4214999999999</v>
      </c>
      <c r="H27" s="207"/>
      <c r="I27" s="914">
        <f>'Energy NPV'!U80</f>
        <v>1350.1999999999998</v>
      </c>
      <c r="J27" s="207">
        <f>'Energy margins'!$X$67</f>
        <v>500</v>
      </c>
      <c r="K27" s="207">
        <f t="shared" si="15"/>
        <v>1850.1999999999998</v>
      </c>
      <c r="L27" s="207">
        <f t="shared" si="0"/>
        <v>1280.5815000000002</v>
      </c>
      <c r="M27" s="207">
        <f t="shared" si="1"/>
        <v>1752.2215000000001</v>
      </c>
      <c r="N27" s="208">
        <f t="shared" si="16"/>
        <v>1738.4118327014205</v>
      </c>
      <c r="O27" s="207">
        <f t="shared" si="17"/>
        <v>261.88495005968895</v>
      </c>
      <c r="P27" s="207">
        <f t="shared" si="18"/>
        <v>1027.3503829201009</v>
      </c>
      <c r="Q27" s="207">
        <f t="shared" si="19"/>
        <v>711.06144978131965</v>
      </c>
      <c r="R27" s="209">
        <f>M27/((1+$B$4)^(B27-1))</f>
        <v>972.94639984100854</v>
      </c>
      <c r="S27" s="208">
        <f t="shared" si="66"/>
        <v>34321.485884880625</v>
      </c>
      <c r="T27" s="207">
        <f t="shared" si="21"/>
        <v>5715.5162485077717</v>
      </c>
      <c r="U27" s="207">
        <f t="shared" si="21"/>
        <v>50343.424286460307</v>
      </c>
      <c r="V27" s="207">
        <f t="shared" si="21"/>
        <v>-16021.938401579677</v>
      </c>
      <c r="W27" s="209">
        <f t="shared" si="21"/>
        <v>-10306.422153071906</v>
      </c>
      <c r="Z27" s="206">
        <f t="shared" si="67"/>
        <v>16</v>
      </c>
      <c r="AA27" s="226">
        <f>'Energy NPV'!$D80</f>
        <v>11.617000000000001</v>
      </c>
      <c r="AB27" s="207">
        <f>'Energy margins'!$S$12</f>
        <v>269.5</v>
      </c>
      <c r="AC27" s="207">
        <f>AA27*AB27</f>
        <v>3130.7815000000001</v>
      </c>
      <c r="AD27" s="207">
        <f>'Margins summary'!$U$14</f>
        <v>471.64</v>
      </c>
      <c r="AE27" s="207">
        <f t="shared" si="23"/>
        <v>3602.4214999999999</v>
      </c>
      <c r="AF27" s="207"/>
      <c r="AG27" s="914">
        <f>'Energy NPV'!U80</f>
        <v>1350.1999999999998</v>
      </c>
      <c r="AH27" s="207">
        <f>'Energy margins'!$X$67</f>
        <v>500</v>
      </c>
      <c r="AI27" s="207">
        <f t="shared" si="24"/>
        <v>1850.1999999999998</v>
      </c>
      <c r="AJ27" s="207">
        <f t="shared" si="2"/>
        <v>1280.5815000000002</v>
      </c>
      <c r="AK27" s="207">
        <f t="shared" si="3"/>
        <v>1752.2215000000001</v>
      </c>
      <c r="AL27" s="208">
        <f t="shared" si="25"/>
        <v>1306.365732747206</v>
      </c>
      <c r="AM27" s="207">
        <f t="shared" si="26"/>
        <v>196.79889324531024</v>
      </c>
      <c r="AN27" s="207">
        <f t="shared" si="27"/>
        <v>772.02381537289671</v>
      </c>
      <c r="AO27" s="207">
        <f t="shared" si="28"/>
        <v>534.34191737430945</v>
      </c>
      <c r="AP27" s="209">
        <f>AK27/((1+$C$4)^(Z27-1))</f>
        <v>731.14081061961963</v>
      </c>
      <c r="AQ27" s="208">
        <f t="shared" si="68"/>
        <v>29941.967919265993</v>
      </c>
      <c r="AR27" s="207">
        <f t="shared" si="30"/>
        <v>5052.3251125781553</v>
      </c>
      <c r="AS27" s="207">
        <f t="shared" si="30"/>
        <v>47712.891712394412</v>
      </c>
      <c r="AT27" s="207">
        <f t="shared" si="30"/>
        <v>-17770.923793128411</v>
      </c>
      <c r="AU27" s="209">
        <f t="shared" si="30"/>
        <v>-12718.598680550263</v>
      </c>
      <c r="AX27" s="206">
        <f t="shared" si="69"/>
        <v>16</v>
      </c>
      <c r="AY27" s="226">
        <f>'Energy NPV'!$D80</f>
        <v>11.617000000000001</v>
      </c>
      <c r="AZ27" s="207">
        <f>'Energy margins'!$S$12</f>
        <v>269.5</v>
      </c>
      <c r="BA27" s="207">
        <f t="shared" si="4"/>
        <v>3130.7815000000001</v>
      </c>
      <c r="BB27" s="207">
        <f>'Margins summary'!$U$14</f>
        <v>471.64</v>
      </c>
      <c r="BC27" s="207">
        <f t="shared" si="5"/>
        <v>3602.4214999999999</v>
      </c>
      <c r="BD27" s="207"/>
      <c r="BE27" s="914">
        <f>'Energy NPV'!U80</f>
        <v>1350.1999999999998</v>
      </c>
      <c r="BF27" s="207">
        <f>'Energy margins'!$X$67</f>
        <v>500</v>
      </c>
      <c r="BG27" s="207">
        <f t="shared" si="6"/>
        <v>1850.1999999999998</v>
      </c>
      <c r="BH27" s="207">
        <f t="shared" si="7"/>
        <v>1280.5815000000002</v>
      </c>
      <c r="BI27" s="207">
        <f t="shared" si="8"/>
        <v>1752.2215000000001</v>
      </c>
      <c r="BJ27" s="208">
        <f t="shared" si="31"/>
        <v>2326.2167708755514</v>
      </c>
      <c r="BK27" s="207">
        <f t="shared" si="32"/>
        <v>350.43546725178521</v>
      </c>
      <c r="BL27" s="207">
        <f t="shared" si="33"/>
        <v>1374.7258534247583</v>
      </c>
      <c r="BM27" s="207">
        <f t="shared" si="34"/>
        <v>951.49091745079318</v>
      </c>
      <c r="BN27" s="209">
        <f t="shared" si="35"/>
        <v>1301.9263847025784</v>
      </c>
      <c r="BO27" s="208">
        <f t="shared" si="36"/>
        <v>39716.662735217724</v>
      </c>
      <c r="BP27" s="207">
        <f t="shared" si="37"/>
        <v>6531.8666374107434</v>
      </c>
      <c r="BQ27" s="207">
        <f t="shared" si="38"/>
        <v>53574.217265123916</v>
      </c>
      <c r="BR27" s="207">
        <f t="shared" si="39"/>
        <v>-13857.554529906185</v>
      </c>
      <c r="BS27" s="209">
        <f t="shared" si="40"/>
        <v>-7325.6878924954444</v>
      </c>
      <c r="BV27" s="206">
        <f t="shared" si="70"/>
        <v>16</v>
      </c>
      <c r="BW27" s="226">
        <f>'Energy NPV'!$D80</f>
        <v>11.617000000000001</v>
      </c>
      <c r="BX27" s="207">
        <f>'Energy margins'!$S$12</f>
        <v>269.5</v>
      </c>
      <c r="BY27" s="207">
        <f t="shared" si="41"/>
        <v>3130.7815000000001</v>
      </c>
      <c r="BZ27" s="207">
        <f>'Margins summary'!$U$14</f>
        <v>471.64</v>
      </c>
      <c r="CA27" s="207">
        <f t="shared" si="42"/>
        <v>3602.4214999999999</v>
      </c>
      <c r="CB27" s="207"/>
      <c r="CC27" s="914">
        <f>'Energy NPV'!U80</f>
        <v>1350.1999999999998</v>
      </c>
      <c r="CD27" s="207">
        <f>'Energy margins'!$X$67</f>
        <v>500</v>
      </c>
      <c r="CE27" s="207">
        <f t="shared" si="43"/>
        <v>1850.1999999999998</v>
      </c>
      <c r="CF27" s="207">
        <f t="shared" si="9"/>
        <v>1280.5815000000002</v>
      </c>
      <c r="CG27" s="207">
        <f t="shared" si="10"/>
        <v>1752.2215000000001</v>
      </c>
      <c r="CH27" s="208">
        <f t="shared" si="44"/>
        <v>986.95289793566644</v>
      </c>
      <c r="CI27" s="207">
        <f t="shared" si="45"/>
        <v>148.68059773011234</v>
      </c>
      <c r="CJ27" s="207">
        <f t="shared" si="46"/>
        <v>583.26020252788953</v>
      </c>
      <c r="CK27" s="207">
        <f t="shared" si="47"/>
        <v>403.69269540777691</v>
      </c>
      <c r="CL27" s="209">
        <f t="shared" si="48"/>
        <v>552.37329313788916</v>
      </c>
      <c r="CM27" s="208">
        <f t="shared" si="71"/>
        <v>26354.730271574615</v>
      </c>
      <c r="CN27" s="207">
        <f t="shared" si="49"/>
        <v>4508.6325283735932</v>
      </c>
      <c r="CO27" s="207">
        <f t="shared" si="50"/>
        <v>45550.997656870808</v>
      </c>
      <c r="CP27" s="207">
        <f t="shared" si="51"/>
        <v>-19196.267385296196</v>
      </c>
      <c r="CQ27" s="209">
        <f t="shared" si="52"/>
        <v>-14687.634856922594</v>
      </c>
      <c r="CT27" s="206">
        <f t="shared" si="72"/>
        <v>16</v>
      </c>
      <c r="CU27" s="226">
        <f>'Energy NPV'!$D80</f>
        <v>11.617000000000001</v>
      </c>
      <c r="CV27" s="207">
        <f>'Energy margins'!$S$12</f>
        <v>269.5</v>
      </c>
      <c r="CW27" s="207">
        <f t="shared" si="53"/>
        <v>3130.7815000000001</v>
      </c>
      <c r="CX27" s="207">
        <f>'Margins summary'!$U$14</f>
        <v>471.64</v>
      </c>
      <c r="CY27" s="207">
        <f t="shared" si="54"/>
        <v>3602.4214999999999</v>
      </c>
      <c r="CZ27" s="207"/>
      <c r="DA27" s="914">
        <f>'Energy NPV'!U80</f>
        <v>1350.1999999999998</v>
      </c>
      <c r="DB27" s="207">
        <f>'Energy margins'!$X$67</f>
        <v>500</v>
      </c>
      <c r="DC27" s="207">
        <f t="shared" si="55"/>
        <v>1850.1999999999998</v>
      </c>
      <c r="DD27" s="207">
        <f t="shared" si="11"/>
        <v>1280.5815000000002</v>
      </c>
      <c r="DE27" s="207">
        <f t="shared" si="12"/>
        <v>1752.2215000000001</v>
      </c>
      <c r="DF27" s="208">
        <f t="shared" si="56"/>
        <v>3130.7815000000001</v>
      </c>
      <c r="DG27" s="207">
        <f t="shared" si="57"/>
        <v>471.64</v>
      </c>
      <c r="DH27" s="207">
        <f t="shared" si="58"/>
        <v>1850.1999999999998</v>
      </c>
      <c r="DI27" s="207">
        <f t="shared" si="59"/>
        <v>1280.5815000000002</v>
      </c>
      <c r="DJ27" s="209">
        <f t="shared" si="60"/>
        <v>1752.2215000000001</v>
      </c>
      <c r="DK27" s="208">
        <f t="shared" si="73"/>
        <v>46425.237833333325</v>
      </c>
      <c r="DL27" s="207">
        <f t="shared" si="61"/>
        <v>7546.2400000000016</v>
      </c>
      <c r="DM27" s="207">
        <f t="shared" si="62"/>
        <v>57580.674999999967</v>
      </c>
      <c r="DN27" s="207">
        <f t="shared" si="63"/>
        <v>-11155.437166666663</v>
      </c>
      <c r="DO27" s="209">
        <f t="shared" si="64"/>
        <v>-3609.1971666666718</v>
      </c>
    </row>
    <row r="34" spans="2:119" x14ac:dyDescent="0.3">
      <c r="B34" s="228" t="s">
        <v>95</v>
      </c>
      <c r="C34" s="760" t="s">
        <v>412</v>
      </c>
      <c r="D34" s="269" t="s">
        <v>397</v>
      </c>
      <c r="E34" s="194"/>
      <c r="F34" s="193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Z34" s="228" t="s">
        <v>95</v>
      </c>
      <c r="AA34" s="268" t="s">
        <v>398</v>
      </c>
      <c r="AB34" s="269"/>
      <c r="AC34" s="194"/>
      <c r="AD34" s="193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X34" s="228" t="s">
        <v>95</v>
      </c>
      <c r="AY34" s="268" t="s">
        <v>399</v>
      </c>
      <c r="AZ34" s="269"/>
      <c r="BA34" s="194"/>
      <c r="BB34" s="193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  <c r="BR34" s="102"/>
      <c r="BS34" s="102"/>
      <c r="BV34" s="228" t="s">
        <v>95</v>
      </c>
      <c r="BW34" s="268" t="s">
        <v>400</v>
      </c>
      <c r="BX34" s="269"/>
      <c r="BY34" s="194"/>
      <c r="BZ34" s="193"/>
      <c r="CA34" s="102"/>
      <c r="CB34" s="102"/>
      <c r="CC34" s="102"/>
      <c r="CD34" s="102"/>
      <c r="CE34" s="102"/>
      <c r="CF34" s="102"/>
      <c r="CG34" s="102"/>
      <c r="CH34" s="102"/>
      <c r="CI34" s="102"/>
      <c r="CJ34" s="102"/>
      <c r="CK34" s="102"/>
      <c r="CL34" s="102"/>
      <c r="CM34" s="102"/>
      <c r="CN34" s="102"/>
      <c r="CO34" s="102"/>
      <c r="CP34" s="102"/>
      <c r="CQ34" s="102"/>
      <c r="CT34" s="228" t="s">
        <v>95</v>
      </c>
      <c r="CU34" s="1093" t="s">
        <v>401</v>
      </c>
      <c r="CV34" s="1094"/>
      <c r="CW34" s="194"/>
      <c r="CX34" s="193"/>
      <c r="CY34" s="102"/>
      <c r="CZ34" s="102"/>
      <c r="DA34" s="102"/>
      <c r="DB34" s="102"/>
      <c r="DC34" s="102"/>
      <c r="DD34" s="102"/>
      <c r="DE34" s="102"/>
      <c r="DF34" s="102"/>
      <c r="DG34" s="102"/>
      <c r="DH34" s="102"/>
      <c r="DI34" s="102"/>
      <c r="DJ34" s="102"/>
      <c r="DK34" s="102"/>
      <c r="DL34" s="102"/>
      <c r="DM34" s="102"/>
      <c r="DN34" s="102"/>
      <c r="DO34" s="102"/>
    </row>
    <row r="35" spans="2:119" x14ac:dyDescent="0.3">
      <c r="B35" s="203"/>
      <c r="C35" s="148"/>
      <c r="D35" s="148"/>
      <c r="E35" s="1082"/>
      <c r="F35" s="1082"/>
      <c r="G35" s="1082"/>
      <c r="H35" s="148"/>
      <c r="I35" s="926"/>
      <c r="J35" s="1082"/>
      <c r="K35" s="1082"/>
      <c r="L35" s="148"/>
      <c r="M35" s="148"/>
      <c r="N35" s="1083" t="s">
        <v>273</v>
      </c>
      <c r="O35" s="1084"/>
      <c r="P35" s="1084"/>
      <c r="Q35" s="1084"/>
      <c r="R35" s="1085"/>
      <c r="S35" s="1083" t="s">
        <v>274</v>
      </c>
      <c r="T35" s="1084"/>
      <c r="U35" s="1084"/>
      <c r="V35" s="1084"/>
      <c r="W35" s="1085"/>
      <c r="Z35" s="203"/>
      <c r="AA35" s="148"/>
      <c r="AB35" s="148"/>
      <c r="AC35" s="985"/>
      <c r="AD35" s="985"/>
      <c r="AE35" s="985"/>
      <c r="AF35" s="148"/>
      <c r="AG35" s="926"/>
      <c r="AH35" s="985"/>
      <c r="AI35" s="985"/>
      <c r="AJ35" s="148"/>
      <c r="AK35" s="148"/>
      <c r="AL35" s="986" t="s">
        <v>273</v>
      </c>
      <c r="AM35" s="987"/>
      <c r="AN35" s="987"/>
      <c r="AO35" s="987"/>
      <c r="AP35" s="988"/>
      <c r="AQ35" s="986" t="s">
        <v>274</v>
      </c>
      <c r="AR35" s="987"/>
      <c r="AS35" s="987"/>
      <c r="AT35" s="987"/>
      <c r="AU35" s="988"/>
      <c r="AX35" s="203"/>
      <c r="AY35" s="148"/>
      <c r="AZ35" s="148"/>
      <c r="BA35" s="985"/>
      <c r="BB35" s="985"/>
      <c r="BC35" s="985"/>
      <c r="BD35" s="148"/>
      <c r="BE35" s="926"/>
      <c r="BF35" s="985"/>
      <c r="BG35" s="985"/>
      <c r="BH35" s="148"/>
      <c r="BI35" s="148"/>
      <c r="BJ35" s="986" t="s">
        <v>273</v>
      </c>
      <c r="BK35" s="987"/>
      <c r="BL35" s="987"/>
      <c r="BM35" s="987"/>
      <c r="BN35" s="988"/>
      <c r="BO35" s="986" t="s">
        <v>274</v>
      </c>
      <c r="BP35" s="987"/>
      <c r="BQ35" s="987"/>
      <c r="BR35" s="987"/>
      <c r="BS35" s="988"/>
      <c r="BV35" s="203"/>
      <c r="BW35" s="148"/>
      <c r="BX35" s="148"/>
      <c r="BY35" s="985"/>
      <c r="BZ35" s="985"/>
      <c r="CA35" s="985"/>
      <c r="CB35" s="148"/>
      <c r="CC35" s="926"/>
      <c r="CD35" s="985"/>
      <c r="CE35" s="985"/>
      <c r="CF35" s="148"/>
      <c r="CG35" s="148"/>
      <c r="CH35" s="986" t="s">
        <v>273</v>
      </c>
      <c r="CI35" s="987"/>
      <c r="CJ35" s="987"/>
      <c r="CK35" s="987"/>
      <c r="CL35" s="988"/>
      <c r="CM35" s="986" t="s">
        <v>274</v>
      </c>
      <c r="CN35" s="987"/>
      <c r="CO35" s="987"/>
      <c r="CP35" s="987"/>
      <c r="CQ35" s="988"/>
      <c r="CT35" s="203"/>
      <c r="CU35" s="148"/>
      <c r="CV35" s="148"/>
      <c r="CW35" s="985"/>
      <c r="CX35" s="985"/>
      <c r="CY35" s="985"/>
      <c r="CZ35" s="148"/>
      <c r="DA35" s="926"/>
      <c r="DB35" s="985"/>
      <c r="DC35" s="985"/>
      <c r="DD35" s="148"/>
      <c r="DE35" s="148"/>
      <c r="DF35" s="986" t="s">
        <v>273</v>
      </c>
      <c r="DG35" s="987"/>
      <c r="DH35" s="987"/>
      <c r="DI35" s="987"/>
      <c r="DJ35" s="988"/>
      <c r="DK35" s="986" t="s">
        <v>274</v>
      </c>
      <c r="DL35" s="987"/>
      <c r="DM35" s="987"/>
      <c r="DN35" s="987"/>
      <c r="DO35" s="988"/>
    </row>
    <row r="36" spans="2:119" ht="51" x14ac:dyDescent="0.3">
      <c r="B36" s="204" t="s">
        <v>275</v>
      </c>
      <c r="C36" s="205" t="s">
        <v>293</v>
      </c>
      <c r="D36" s="205" t="s">
        <v>294</v>
      </c>
      <c r="E36" s="171" t="s">
        <v>622</v>
      </c>
      <c r="F36" s="171" t="s">
        <v>591</v>
      </c>
      <c r="G36" s="171" t="s">
        <v>623</v>
      </c>
      <c r="H36" s="205" t="s">
        <v>291</v>
      </c>
      <c r="I36" s="930" t="s">
        <v>292</v>
      </c>
      <c r="J36" s="205" t="s">
        <v>295</v>
      </c>
      <c r="K36" s="171" t="s">
        <v>279</v>
      </c>
      <c r="L36" s="171" t="s">
        <v>624</v>
      </c>
      <c r="M36" s="171" t="s">
        <v>625</v>
      </c>
      <c r="N36" s="195" t="s">
        <v>280</v>
      </c>
      <c r="O36" s="171" t="s">
        <v>626</v>
      </c>
      <c r="P36" s="171" t="s">
        <v>281</v>
      </c>
      <c r="Q36" s="171" t="s">
        <v>627</v>
      </c>
      <c r="R36" s="198" t="s">
        <v>282</v>
      </c>
      <c r="S36" s="195" t="s">
        <v>283</v>
      </c>
      <c r="T36" s="171" t="s">
        <v>628</v>
      </c>
      <c r="U36" s="171" t="s">
        <v>284</v>
      </c>
      <c r="V36" s="171" t="s">
        <v>629</v>
      </c>
      <c r="W36" s="198" t="s">
        <v>285</v>
      </c>
      <c r="Z36" s="204" t="s">
        <v>275</v>
      </c>
      <c r="AA36" s="205" t="s">
        <v>293</v>
      </c>
      <c r="AB36" s="205" t="s">
        <v>294</v>
      </c>
      <c r="AC36" s="171" t="s">
        <v>622</v>
      </c>
      <c r="AD36" s="171" t="s">
        <v>591</v>
      </c>
      <c r="AE36" s="171" t="s">
        <v>623</v>
      </c>
      <c r="AF36" s="205" t="s">
        <v>291</v>
      </c>
      <c r="AG36" s="930" t="s">
        <v>292</v>
      </c>
      <c r="AH36" s="205" t="s">
        <v>295</v>
      </c>
      <c r="AI36" s="171" t="s">
        <v>279</v>
      </c>
      <c r="AJ36" s="171" t="s">
        <v>624</v>
      </c>
      <c r="AK36" s="171" t="s">
        <v>625</v>
      </c>
      <c r="AL36" s="195" t="s">
        <v>280</v>
      </c>
      <c r="AM36" s="171" t="s">
        <v>626</v>
      </c>
      <c r="AN36" s="171" t="s">
        <v>281</v>
      </c>
      <c r="AO36" s="171" t="s">
        <v>627</v>
      </c>
      <c r="AP36" s="198" t="s">
        <v>282</v>
      </c>
      <c r="AQ36" s="195" t="s">
        <v>283</v>
      </c>
      <c r="AR36" s="171" t="s">
        <v>628</v>
      </c>
      <c r="AS36" s="171" t="s">
        <v>284</v>
      </c>
      <c r="AT36" s="171" t="s">
        <v>629</v>
      </c>
      <c r="AU36" s="198" t="s">
        <v>285</v>
      </c>
      <c r="AX36" s="204" t="s">
        <v>275</v>
      </c>
      <c r="AY36" s="205" t="s">
        <v>293</v>
      </c>
      <c r="AZ36" s="205" t="s">
        <v>294</v>
      </c>
      <c r="BA36" s="171" t="s">
        <v>622</v>
      </c>
      <c r="BB36" s="171" t="s">
        <v>591</v>
      </c>
      <c r="BC36" s="171" t="s">
        <v>623</v>
      </c>
      <c r="BD36" s="205" t="s">
        <v>291</v>
      </c>
      <c r="BE36" s="930" t="s">
        <v>292</v>
      </c>
      <c r="BF36" s="205" t="s">
        <v>295</v>
      </c>
      <c r="BG36" s="171" t="s">
        <v>279</v>
      </c>
      <c r="BH36" s="171" t="s">
        <v>624</v>
      </c>
      <c r="BI36" s="171" t="s">
        <v>625</v>
      </c>
      <c r="BJ36" s="195" t="s">
        <v>280</v>
      </c>
      <c r="BK36" s="171" t="s">
        <v>626</v>
      </c>
      <c r="BL36" s="171" t="s">
        <v>281</v>
      </c>
      <c r="BM36" s="171" t="s">
        <v>627</v>
      </c>
      <c r="BN36" s="198" t="s">
        <v>282</v>
      </c>
      <c r="BO36" s="195" t="s">
        <v>283</v>
      </c>
      <c r="BP36" s="171" t="s">
        <v>628</v>
      </c>
      <c r="BQ36" s="171" t="s">
        <v>284</v>
      </c>
      <c r="BR36" s="171" t="s">
        <v>629</v>
      </c>
      <c r="BS36" s="198" t="s">
        <v>285</v>
      </c>
      <c r="BV36" s="204" t="s">
        <v>275</v>
      </c>
      <c r="BW36" s="205" t="s">
        <v>293</v>
      </c>
      <c r="BX36" s="205" t="s">
        <v>294</v>
      </c>
      <c r="BY36" s="171" t="s">
        <v>622</v>
      </c>
      <c r="BZ36" s="171" t="s">
        <v>591</v>
      </c>
      <c r="CA36" s="171" t="s">
        <v>623</v>
      </c>
      <c r="CB36" s="205" t="s">
        <v>291</v>
      </c>
      <c r="CC36" s="930" t="s">
        <v>292</v>
      </c>
      <c r="CD36" s="205" t="s">
        <v>295</v>
      </c>
      <c r="CE36" s="171" t="s">
        <v>279</v>
      </c>
      <c r="CF36" s="171" t="s">
        <v>624</v>
      </c>
      <c r="CG36" s="171" t="s">
        <v>625</v>
      </c>
      <c r="CH36" s="195" t="s">
        <v>280</v>
      </c>
      <c r="CI36" s="171" t="s">
        <v>626</v>
      </c>
      <c r="CJ36" s="171" t="s">
        <v>281</v>
      </c>
      <c r="CK36" s="171" t="s">
        <v>627</v>
      </c>
      <c r="CL36" s="198" t="s">
        <v>282</v>
      </c>
      <c r="CM36" s="195" t="s">
        <v>283</v>
      </c>
      <c r="CN36" s="171" t="s">
        <v>628</v>
      </c>
      <c r="CO36" s="171" t="s">
        <v>284</v>
      </c>
      <c r="CP36" s="171" t="s">
        <v>629</v>
      </c>
      <c r="CQ36" s="198" t="s">
        <v>285</v>
      </c>
      <c r="CT36" s="204" t="s">
        <v>275</v>
      </c>
      <c r="CU36" s="205" t="s">
        <v>293</v>
      </c>
      <c r="CV36" s="205" t="s">
        <v>294</v>
      </c>
      <c r="CW36" s="171" t="s">
        <v>622</v>
      </c>
      <c r="CX36" s="171" t="s">
        <v>591</v>
      </c>
      <c r="CY36" s="171" t="s">
        <v>623</v>
      </c>
      <c r="CZ36" s="205" t="s">
        <v>291</v>
      </c>
      <c r="DA36" s="930" t="s">
        <v>292</v>
      </c>
      <c r="DB36" s="205" t="s">
        <v>295</v>
      </c>
      <c r="DC36" s="171" t="s">
        <v>279</v>
      </c>
      <c r="DD36" s="171" t="s">
        <v>624</v>
      </c>
      <c r="DE36" s="171" t="s">
        <v>625</v>
      </c>
      <c r="DF36" s="195" t="s">
        <v>280</v>
      </c>
      <c r="DG36" s="171" t="s">
        <v>626</v>
      </c>
      <c r="DH36" s="171" t="s">
        <v>281</v>
      </c>
      <c r="DI36" s="171" t="s">
        <v>627</v>
      </c>
      <c r="DJ36" s="198" t="s">
        <v>282</v>
      </c>
      <c r="DK36" s="195" t="s">
        <v>283</v>
      </c>
      <c r="DL36" s="171" t="s">
        <v>628</v>
      </c>
      <c r="DM36" s="171" t="s">
        <v>284</v>
      </c>
      <c r="DN36" s="171" t="s">
        <v>629</v>
      </c>
      <c r="DO36" s="198" t="s">
        <v>285</v>
      </c>
    </row>
    <row r="37" spans="2:119" x14ac:dyDescent="0.3">
      <c r="B37" s="173"/>
      <c r="C37" s="226" t="s">
        <v>336</v>
      </c>
      <c r="D37" s="226" t="s">
        <v>573</v>
      </c>
      <c r="E37" s="201" t="s">
        <v>571</v>
      </c>
      <c r="F37" s="201" t="s">
        <v>571</v>
      </c>
      <c r="G37" s="201" t="s">
        <v>571</v>
      </c>
      <c r="H37" s="201" t="s">
        <v>571</v>
      </c>
      <c r="I37" s="964" t="s">
        <v>571</v>
      </c>
      <c r="J37" s="201" t="s">
        <v>571</v>
      </c>
      <c r="K37" s="201" t="s">
        <v>571</v>
      </c>
      <c r="L37" s="201" t="s">
        <v>571</v>
      </c>
      <c r="M37" s="202" t="s">
        <v>571</v>
      </c>
      <c r="N37" s="201" t="s">
        <v>571</v>
      </c>
      <c r="O37" s="201" t="s">
        <v>571</v>
      </c>
      <c r="P37" s="201" t="s">
        <v>571</v>
      </c>
      <c r="Q37" s="201" t="s">
        <v>571</v>
      </c>
      <c r="R37" s="202" t="s">
        <v>571</v>
      </c>
      <c r="S37" s="201" t="s">
        <v>571</v>
      </c>
      <c r="T37" s="201" t="s">
        <v>571</v>
      </c>
      <c r="U37" s="201" t="s">
        <v>571</v>
      </c>
      <c r="V37" s="201" t="s">
        <v>571</v>
      </c>
      <c r="W37" s="202" t="s">
        <v>571</v>
      </c>
      <c r="Z37" s="173"/>
      <c r="AA37" s="226" t="s">
        <v>336</v>
      </c>
      <c r="AB37" s="226" t="s">
        <v>573</v>
      </c>
      <c r="AC37" s="201" t="s">
        <v>571</v>
      </c>
      <c r="AD37" s="201" t="s">
        <v>571</v>
      </c>
      <c r="AE37" s="201" t="s">
        <v>571</v>
      </c>
      <c r="AF37" s="201" t="s">
        <v>571</v>
      </c>
      <c r="AG37" s="964" t="s">
        <v>571</v>
      </c>
      <c r="AH37" s="201" t="s">
        <v>571</v>
      </c>
      <c r="AI37" s="201" t="s">
        <v>571</v>
      </c>
      <c r="AJ37" s="201" t="s">
        <v>571</v>
      </c>
      <c r="AK37" s="202" t="s">
        <v>571</v>
      </c>
      <c r="AL37" s="201" t="s">
        <v>571</v>
      </c>
      <c r="AM37" s="201" t="s">
        <v>571</v>
      </c>
      <c r="AN37" s="201" t="s">
        <v>571</v>
      </c>
      <c r="AO37" s="201" t="s">
        <v>571</v>
      </c>
      <c r="AP37" s="202" t="s">
        <v>571</v>
      </c>
      <c r="AQ37" s="201" t="s">
        <v>571</v>
      </c>
      <c r="AR37" s="201" t="s">
        <v>571</v>
      </c>
      <c r="AS37" s="201" t="s">
        <v>571</v>
      </c>
      <c r="AT37" s="201" t="s">
        <v>571</v>
      </c>
      <c r="AU37" s="202" t="s">
        <v>571</v>
      </c>
      <c r="AX37" s="173"/>
      <c r="AY37" s="226" t="s">
        <v>336</v>
      </c>
      <c r="AZ37" s="226" t="s">
        <v>573</v>
      </c>
      <c r="BA37" s="201" t="s">
        <v>571</v>
      </c>
      <c r="BB37" s="201" t="s">
        <v>571</v>
      </c>
      <c r="BC37" s="201" t="s">
        <v>571</v>
      </c>
      <c r="BD37" s="201" t="s">
        <v>571</v>
      </c>
      <c r="BE37" s="964" t="s">
        <v>571</v>
      </c>
      <c r="BF37" s="201" t="s">
        <v>571</v>
      </c>
      <c r="BG37" s="201" t="s">
        <v>571</v>
      </c>
      <c r="BH37" s="201" t="s">
        <v>571</v>
      </c>
      <c r="BI37" s="202" t="s">
        <v>571</v>
      </c>
      <c r="BJ37" s="201" t="s">
        <v>571</v>
      </c>
      <c r="BK37" s="201" t="s">
        <v>571</v>
      </c>
      <c r="BL37" s="201" t="s">
        <v>571</v>
      </c>
      <c r="BM37" s="201" t="s">
        <v>571</v>
      </c>
      <c r="BN37" s="202" t="s">
        <v>571</v>
      </c>
      <c r="BO37" s="201" t="s">
        <v>571</v>
      </c>
      <c r="BP37" s="201" t="s">
        <v>571</v>
      </c>
      <c r="BQ37" s="201" t="s">
        <v>571</v>
      </c>
      <c r="BR37" s="201" t="s">
        <v>571</v>
      </c>
      <c r="BS37" s="202" t="s">
        <v>571</v>
      </c>
      <c r="BV37" s="173"/>
      <c r="BW37" s="226" t="s">
        <v>336</v>
      </c>
      <c r="BX37" s="226" t="s">
        <v>573</v>
      </c>
      <c r="BY37" s="201" t="s">
        <v>571</v>
      </c>
      <c r="BZ37" s="201" t="s">
        <v>571</v>
      </c>
      <c r="CA37" s="201" t="s">
        <v>571</v>
      </c>
      <c r="CB37" s="201" t="s">
        <v>571</v>
      </c>
      <c r="CC37" s="964" t="s">
        <v>571</v>
      </c>
      <c r="CD37" s="201" t="s">
        <v>571</v>
      </c>
      <c r="CE37" s="201" t="s">
        <v>571</v>
      </c>
      <c r="CF37" s="201" t="s">
        <v>571</v>
      </c>
      <c r="CG37" s="202" t="s">
        <v>571</v>
      </c>
      <c r="CH37" s="201" t="s">
        <v>571</v>
      </c>
      <c r="CI37" s="201" t="s">
        <v>571</v>
      </c>
      <c r="CJ37" s="201" t="s">
        <v>571</v>
      </c>
      <c r="CK37" s="201" t="s">
        <v>571</v>
      </c>
      <c r="CL37" s="202" t="s">
        <v>571</v>
      </c>
      <c r="CM37" s="201" t="s">
        <v>571</v>
      </c>
      <c r="CN37" s="201" t="s">
        <v>571</v>
      </c>
      <c r="CO37" s="201" t="s">
        <v>571</v>
      </c>
      <c r="CP37" s="201" t="s">
        <v>571</v>
      </c>
      <c r="CQ37" s="202" t="s">
        <v>571</v>
      </c>
      <c r="CT37" s="173"/>
      <c r="CU37" s="226" t="s">
        <v>336</v>
      </c>
      <c r="CV37" s="226" t="s">
        <v>573</v>
      </c>
      <c r="CW37" s="201" t="s">
        <v>571</v>
      </c>
      <c r="CX37" s="201" t="s">
        <v>571</v>
      </c>
      <c r="CY37" s="201" t="s">
        <v>571</v>
      </c>
      <c r="CZ37" s="201" t="s">
        <v>571</v>
      </c>
      <c r="DA37" s="964" t="s">
        <v>571</v>
      </c>
      <c r="DB37" s="201" t="s">
        <v>571</v>
      </c>
      <c r="DC37" s="201" t="s">
        <v>571</v>
      </c>
      <c r="DD37" s="201" t="s">
        <v>571</v>
      </c>
      <c r="DE37" s="202" t="s">
        <v>571</v>
      </c>
      <c r="DF37" s="201" t="s">
        <v>571</v>
      </c>
      <c r="DG37" s="201" t="s">
        <v>571</v>
      </c>
      <c r="DH37" s="201" t="s">
        <v>571</v>
      </c>
      <c r="DI37" s="201" t="s">
        <v>571</v>
      </c>
      <c r="DJ37" s="202" t="s">
        <v>571</v>
      </c>
      <c r="DK37" s="201" t="s">
        <v>571</v>
      </c>
      <c r="DL37" s="201" t="s">
        <v>571</v>
      </c>
      <c r="DM37" s="201" t="s">
        <v>571</v>
      </c>
      <c r="DN37" s="201" t="s">
        <v>571</v>
      </c>
      <c r="DO37" s="202" t="s">
        <v>571</v>
      </c>
    </row>
    <row r="38" spans="2:119" x14ac:dyDescent="0.3">
      <c r="B38" s="204">
        <v>1</v>
      </c>
      <c r="C38" s="197">
        <f>'Energy NPV'!$D91</f>
        <v>0</v>
      </c>
      <c r="D38" s="197">
        <f>'Energy margins'!$Z$12</f>
        <v>269.5</v>
      </c>
      <c r="E38" s="197">
        <f>C38*D38</f>
        <v>0</v>
      </c>
      <c r="F38" s="197">
        <f>'Margins summary'!$W$14</f>
        <v>471.64</v>
      </c>
      <c r="G38" s="197">
        <f>E38+F38</f>
        <v>471.64</v>
      </c>
      <c r="H38" s="197">
        <f>'Margins summary'!$V$20</f>
        <v>10887.875</v>
      </c>
      <c r="I38" s="913">
        <f>'Energy NPV'!U91</f>
        <v>0</v>
      </c>
      <c r="J38" s="197"/>
      <c r="K38" s="197">
        <f>H38+I38+J38</f>
        <v>10887.875</v>
      </c>
      <c r="L38" s="197">
        <f t="shared" ref="L38:L53" si="74">E38-K38</f>
        <v>-10887.875</v>
      </c>
      <c r="M38" s="197">
        <f t="shared" ref="M38:M53" si="75">G38-K38</f>
        <v>-10416.235000000001</v>
      </c>
      <c r="N38" s="1014">
        <f>E38/(1+$B$4)^(B38-1)</f>
        <v>0</v>
      </c>
      <c r="O38" s="213">
        <f>F38/(1+$B$4)^(B38-1)</f>
        <v>471.64</v>
      </c>
      <c r="P38" s="213">
        <f>K38/(1+$B$4)^(B38-1)</f>
        <v>10887.875</v>
      </c>
      <c r="Q38" s="213">
        <f>L38/(1+$B$4)^(B38-1)</f>
        <v>-10887.875</v>
      </c>
      <c r="R38" s="924">
        <f>M38/(1+$B$4)^(B38-1)</f>
        <v>-10416.235000000001</v>
      </c>
      <c r="S38" s="196">
        <f>N38</f>
        <v>0</v>
      </c>
      <c r="T38" s="197">
        <f>O38</f>
        <v>471.64</v>
      </c>
      <c r="U38" s="197">
        <f>P38</f>
        <v>10887.875</v>
      </c>
      <c r="V38" s="197">
        <f>Q38</f>
        <v>-10887.875</v>
      </c>
      <c r="W38" s="199">
        <f>R38</f>
        <v>-10416.235000000001</v>
      </c>
      <c r="Z38" s="204">
        <v>1</v>
      </c>
      <c r="AA38" s="197">
        <f>'Energy NPV'!$D91</f>
        <v>0</v>
      </c>
      <c r="AB38" s="197">
        <f>'Energy margins'!$Z$12</f>
        <v>269.5</v>
      </c>
      <c r="AC38" s="197">
        <f>AA38*AB38</f>
        <v>0</v>
      </c>
      <c r="AD38" s="197">
        <f>'Margins summary'!$W$14</f>
        <v>471.64</v>
      </c>
      <c r="AE38" s="197">
        <f>AC38+AD38</f>
        <v>471.64</v>
      </c>
      <c r="AF38" s="197">
        <f>'Margins summary'!$V$20</f>
        <v>10887.875</v>
      </c>
      <c r="AG38" s="913">
        <f>'Energy NPV'!U91</f>
        <v>0</v>
      </c>
      <c r="AH38" s="197"/>
      <c r="AI38" s="197">
        <f>AF38+AG38+AH38</f>
        <v>10887.875</v>
      </c>
      <c r="AJ38" s="197">
        <f t="shared" ref="AJ38:AJ53" si="76">AC38-AI38</f>
        <v>-10887.875</v>
      </c>
      <c r="AK38" s="197">
        <f t="shared" ref="AK38:AK53" si="77">AE38-AI38</f>
        <v>-10416.235000000001</v>
      </c>
      <c r="AL38" s="1014">
        <f>AC38/(1+$C$4)^(Z38-1)</f>
        <v>0</v>
      </c>
      <c r="AM38" s="213">
        <f>AD38/(1+$C$4)^(Z38-1)</f>
        <v>471.64</v>
      </c>
      <c r="AN38" s="213">
        <f>AI38/(1+$C$4)^(Z38-1)</f>
        <v>10887.875</v>
      </c>
      <c r="AO38" s="213">
        <f>AJ38/(1+$C$4)^(Z38-1)</f>
        <v>-10887.875</v>
      </c>
      <c r="AP38" s="924">
        <f>AK38/(1+$C$4)^(Z38-1)</f>
        <v>-10416.235000000001</v>
      </c>
      <c r="AQ38" s="196">
        <f>AL38</f>
        <v>0</v>
      </c>
      <c r="AR38" s="197">
        <f>AM38</f>
        <v>471.64</v>
      </c>
      <c r="AS38" s="197">
        <f>AN38</f>
        <v>10887.875</v>
      </c>
      <c r="AT38" s="197">
        <f>AO38</f>
        <v>-10887.875</v>
      </c>
      <c r="AU38" s="199">
        <f>AP38</f>
        <v>-10416.235000000001</v>
      </c>
      <c r="AX38" s="204">
        <v>1</v>
      </c>
      <c r="AY38" s="197">
        <f>'Energy NPV'!$D91</f>
        <v>0</v>
      </c>
      <c r="AZ38" s="197">
        <f>'Energy margins'!$Z$12</f>
        <v>269.5</v>
      </c>
      <c r="BA38" s="197">
        <f>AY38*AZ38</f>
        <v>0</v>
      </c>
      <c r="BB38" s="197">
        <f>'Margins summary'!$W$14</f>
        <v>471.64</v>
      </c>
      <c r="BC38" s="197">
        <f>BA38+BB38</f>
        <v>471.64</v>
      </c>
      <c r="BD38" s="197">
        <f>'Margins summary'!$V$20</f>
        <v>10887.875</v>
      </c>
      <c r="BE38" s="913">
        <f>'Energy NPV'!U91</f>
        <v>0</v>
      </c>
      <c r="BF38" s="197"/>
      <c r="BG38" s="197">
        <f>BD38+BE38+BF38</f>
        <v>10887.875</v>
      </c>
      <c r="BH38" s="197">
        <f t="shared" ref="BH38:BH53" si="78">BA38-BG38</f>
        <v>-10887.875</v>
      </c>
      <c r="BI38" s="197">
        <f t="shared" ref="BI38:BI53" si="79">BC38-BG38</f>
        <v>-10416.235000000001</v>
      </c>
      <c r="BJ38" s="1014">
        <f>BA38/(1+$D$4)^(AX38-1)</f>
        <v>0</v>
      </c>
      <c r="BK38" s="213">
        <f>BB38/(1+$D$4)^(AX38-1)</f>
        <v>471.64</v>
      </c>
      <c r="BL38" s="213">
        <f>BG38/(1+$D$4)^(AX38-1)</f>
        <v>10887.875</v>
      </c>
      <c r="BM38" s="213">
        <f>BH38/(1+$D$4)^(AX38-1)</f>
        <v>-10887.875</v>
      </c>
      <c r="BN38" s="924">
        <f>BI38/(1+$D$4)^(AX38-1)</f>
        <v>-10416.235000000001</v>
      </c>
      <c r="BO38" s="196">
        <f>BJ38</f>
        <v>0</v>
      </c>
      <c r="BP38" s="197">
        <f>BK38</f>
        <v>471.64</v>
      </c>
      <c r="BQ38" s="197">
        <f>BL38</f>
        <v>10887.875</v>
      </c>
      <c r="BR38" s="197">
        <f>BM38</f>
        <v>-10887.875</v>
      </c>
      <c r="BS38" s="199">
        <f>BN38</f>
        <v>-10416.235000000001</v>
      </c>
      <c r="BV38" s="204">
        <v>1</v>
      </c>
      <c r="BW38" s="197">
        <f>'Energy NPV'!$D91</f>
        <v>0</v>
      </c>
      <c r="BX38" s="197">
        <f>'Energy margins'!$Z$12</f>
        <v>269.5</v>
      </c>
      <c r="BY38" s="197">
        <f>BW38*BX38</f>
        <v>0</v>
      </c>
      <c r="BZ38" s="197">
        <f>'Margins summary'!$W$14</f>
        <v>471.64</v>
      </c>
      <c r="CA38" s="197">
        <f>BY38+BZ38</f>
        <v>471.64</v>
      </c>
      <c r="CB38" s="197">
        <f>'Margins summary'!$V$20</f>
        <v>10887.875</v>
      </c>
      <c r="CC38" s="913">
        <f>'Energy NPV'!U91</f>
        <v>0</v>
      </c>
      <c r="CD38" s="197"/>
      <c r="CE38" s="197">
        <f>CB38+CC38+CD38</f>
        <v>10887.875</v>
      </c>
      <c r="CF38" s="197">
        <f t="shared" ref="CF38:CF53" si="80">BY38-CE38</f>
        <v>-10887.875</v>
      </c>
      <c r="CG38" s="197">
        <f t="shared" ref="CG38:CG53" si="81">CA38-CE38</f>
        <v>-10416.235000000001</v>
      </c>
      <c r="CH38" s="1014">
        <f>BY38/(1+$E$4)^(BV38-1)</f>
        <v>0</v>
      </c>
      <c r="CI38" s="213">
        <f>BZ38/(1+$E$4)^(BV38-1)</f>
        <v>471.64</v>
      </c>
      <c r="CJ38" s="213">
        <f>CE38/(1+$E$4)^(BV38-1)</f>
        <v>10887.875</v>
      </c>
      <c r="CK38" s="213">
        <f>CF38/(1+$E$4)^(BV38-1)</f>
        <v>-10887.875</v>
      </c>
      <c r="CL38" s="924">
        <f>CG38/(1+$E$4)^(BV38-1)</f>
        <v>-10416.235000000001</v>
      </c>
      <c r="CM38" s="196">
        <f>CH38</f>
        <v>0</v>
      </c>
      <c r="CN38" s="197">
        <f>CI38</f>
        <v>471.64</v>
      </c>
      <c r="CO38" s="197">
        <f>CJ38</f>
        <v>10887.875</v>
      </c>
      <c r="CP38" s="197">
        <f>CK38</f>
        <v>-10887.875</v>
      </c>
      <c r="CQ38" s="199">
        <f>CL38</f>
        <v>-10416.235000000001</v>
      </c>
      <c r="CT38" s="204">
        <v>1</v>
      </c>
      <c r="CU38" s="197">
        <f>'Energy NPV'!$D91</f>
        <v>0</v>
      </c>
      <c r="CV38" s="197">
        <f>'Energy margins'!$Z$12</f>
        <v>269.5</v>
      </c>
      <c r="CW38" s="197">
        <f>CU38*CV38</f>
        <v>0</v>
      </c>
      <c r="CX38" s="197">
        <f>'Margins summary'!$W$14</f>
        <v>471.64</v>
      </c>
      <c r="CY38" s="197">
        <f>CW38+CX38</f>
        <v>471.64</v>
      </c>
      <c r="CZ38" s="197">
        <f>'Margins summary'!$V$20</f>
        <v>10887.875</v>
      </c>
      <c r="DA38" s="913">
        <f>'Energy NPV'!U91</f>
        <v>0</v>
      </c>
      <c r="DB38" s="197"/>
      <c r="DC38" s="197">
        <f>CZ38+DA38+DB38</f>
        <v>10887.875</v>
      </c>
      <c r="DD38" s="197">
        <f t="shared" ref="DD38:DD53" si="82">CW38-DC38</f>
        <v>-10887.875</v>
      </c>
      <c r="DE38" s="197">
        <f t="shared" ref="DE38:DE53" si="83">CY38-DC38</f>
        <v>-10416.235000000001</v>
      </c>
      <c r="DF38" s="1014">
        <f>CW38/(1+$F$4)^(CT38-1)</f>
        <v>0</v>
      </c>
      <c r="DG38" s="213">
        <f>CX38/(1+$F$4)^(CT38-1)</f>
        <v>471.64</v>
      </c>
      <c r="DH38" s="213">
        <f>DC38/(1+$F$4)^(CT38-1)</f>
        <v>10887.875</v>
      </c>
      <c r="DI38" s="213">
        <f>DD38/(1+$F$4)^(CT38-1)</f>
        <v>-10887.875</v>
      </c>
      <c r="DJ38" s="924">
        <f>DE38/(1+$F$4)^(CT38-1)</f>
        <v>-10416.235000000001</v>
      </c>
      <c r="DK38" s="196">
        <f>DF38</f>
        <v>0</v>
      </c>
      <c r="DL38" s="197">
        <f>DG38</f>
        <v>471.64</v>
      </c>
      <c r="DM38" s="197">
        <f>DH38</f>
        <v>10887.875</v>
      </c>
      <c r="DN38" s="197">
        <f>DI38</f>
        <v>-10887.875</v>
      </c>
      <c r="DO38" s="199">
        <f>DJ38</f>
        <v>-10416.235000000001</v>
      </c>
    </row>
    <row r="39" spans="2:119" x14ac:dyDescent="0.3">
      <c r="B39" s="204">
        <v>2</v>
      </c>
      <c r="C39" s="197">
        <f>'Energy NPV'!$D92</f>
        <v>9.9333333333333336</v>
      </c>
      <c r="D39" s="197">
        <f>'Energy margins'!$Z$12</f>
        <v>269.5</v>
      </c>
      <c r="E39" s="197">
        <f>C39*D39</f>
        <v>2677.0333333333333</v>
      </c>
      <c r="F39" s="197">
        <f>'Margins summary'!$W$14</f>
        <v>471.64</v>
      </c>
      <c r="G39" s="197">
        <f t="shared" ref="G39:G53" si="84">E39+F39</f>
        <v>3148.6733333333332</v>
      </c>
      <c r="H39" s="197"/>
      <c r="I39" s="913">
        <f>'Energy NPV'!U92</f>
        <v>2996.6</v>
      </c>
      <c r="J39" s="197"/>
      <c r="K39" s="197">
        <f t="shared" ref="K39:K53" si="85">H39+I39+J39</f>
        <v>2996.6</v>
      </c>
      <c r="L39" s="197">
        <f t="shared" si="74"/>
        <v>-319.56666666666661</v>
      </c>
      <c r="M39" s="197">
        <f t="shared" si="75"/>
        <v>152.07333333333327</v>
      </c>
      <c r="N39" s="196">
        <f t="shared" ref="N39:N53" si="86">E39/(1+$B$4)^(B39-1)</f>
        <v>2574.0705128205127</v>
      </c>
      <c r="O39" s="197">
        <f t="shared" ref="O39:O53" si="87">F39/(1+$B$4)^(B39-1)</f>
        <v>453.49999999999994</v>
      </c>
      <c r="P39" s="197">
        <f t="shared" ref="P39:P53" si="88">K39/(1+$B$4)^(B39-1)</f>
        <v>2881.3461538461538</v>
      </c>
      <c r="Q39" s="197">
        <f t="shared" ref="Q39:Q53" si="89">L39/(1+$B$4)^(B39-1)</f>
        <v>-307.27564102564094</v>
      </c>
      <c r="R39" s="199">
        <f t="shared" ref="R39:R52" si="90">M39/(1+$B$4)^(B39-1)</f>
        <v>146.22435897435889</v>
      </c>
      <c r="S39" s="196">
        <f>S38+N39</f>
        <v>2574.0705128205127</v>
      </c>
      <c r="T39" s="197">
        <f t="shared" ref="T39:W53" si="91">T38+O39</f>
        <v>925.13999999999987</v>
      </c>
      <c r="U39" s="197">
        <f t="shared" si="91"/>
        <v>13769.221153846154</v>
      </c>
      <c r="V39" s="197">
        <f t="shared" si="91"/>
        <v>-11195.150641025641</v>
      </c>
      <c r="W39" s="199">
        <f t="shared" si="91"/>
        <v>-10270.010641025641</v>
      </c>
      <c r="Z39" s="204">
        <v>2</v>
      </c>
      <c r="AA39" s="197">
        <f>'Energy NPV'!$D92</f>
        <v>9.9333333333333336</v>
      </c>
      <c r="AB39" s="197">
        <f>'Energy margins'!$Z$12</f>
        <v>269.5</v>
      </c>
      <c r="AC39" s="197">
        <f>AA39*AB39</f>
        <v>2677.0333333333333</v>
      </c>
      <c r="AD39" s="197">
        <f>'Margins summary'!$W$14</f>
        <v>471.64</v>
      </c>
      <c r="AE39" s="197">
        <f t="shared" ref="AE39:AE53" si="92">AC39+AD39</f>
        <v>3148.6733333333332</v>
      </c>
      <c r="AF39" s="197"/>
      <c r="AG39" s="913">
        <f>'Energy NPV'!U92</f>
        <v>2996.6</v>
      </c>
      <c r="AH39" s="197"/>
      <c r="AI39" s="197">
        <f t="shared" ref="AI39:AI53" si="93">AF39+AG39+AH39</f>
        <v>2996.6</v>
      </c>
      <c r="AJ39" s="197">
        <f t="shared" si="76"/>
        <v>-319.56666666666661</v>
      </c>
      <c r="AK39" s="197">
        <f t="shared" si="77"/>
        <v>152.07333333333327</v>
      </c>
      <c r="AL39" s="196">
        <f t="shared" ref="AL39:AL53" si="94">AC39/(1+$C$4)^(Z39-1)</f>
        <v>2525.5031446540879</v>
      </c>
      <c r="AM39" s="197">
        <f t="shared" ref="AM39:AM53" si="95">AD39/(1+$C$4)^(Z39-1)</f>
        <v>444.94339622641508</v>
      </c>
      <c r="AN39" s="197">
        <f t="shared" ref="AN39:AN53" si="96">AI39/(1+$C$4)^(Z39-1)</f>
        <v>2826.9811320754716</v>
      </c>
      <c r="AO39" s="197">
        <f t="shared" ref="AO39:AO53" si="97">AJ39/(1+$C$4)^(Z39-1)</f>
        <v>-301.4779874213836</v>
      </c>
      <c r="AP39" s="199">
        <f t="shared" ref="AP39:AP53" si="98">AK39/(1+$C$4)^(Z39-1)</f>
        <v>143.46540880503139</v>
      </c>
      <c r="AQ39" s="196">
        <f>AQ38+AL39</f>
        <v>2525.5031446540879</v>
      </c>
      <c r="AR39" s="197">
        <f t="shared" ref="AR39:AU53" si="99">AR38+AM39</f>
        <v>916.58339622641506</v>
      </c>
      <c r="AS39" s="197">
        <f t="shared" si="99"/>
        <v>13714.856132075471</v>
      </c>
      <c r="AT39" s="197">
        <f t="shared" si="99"/>
        <v>-11189.352987421384</v>
      </c>
      <c r="AU39" s="199">
        <f t="shared" si="99"/>
        <v>-10272.769591194969</v>
      </c>
      <c r="AX39" s="204">
        <v>2</v>
      </c>
      <c r="AY39" s="197">
        <f>'Energy NPV'!$D92</f>
        <v>9.9333333333333336</v>
      </c>
      <c r="AZ39" s="197">
        <f>'Energy margins'!$Z$12</f>
        <v>269.5</v>
      </c>
      <c r="BA39" s="197">
        <f>AY39*AZ39</f>
        <v>2677.0333333333333</v>
      </c>
      <c r="BB39" s="197">
        <f>'Margins summary'!$W$14</f>
        <v>471.64</v>
      </c>
      <c r="BC39" s="197">
        <f t="shared" ref="BC39:BC53" si="100">BA39+BB39</f>
        <v>3148.6733333333332</v>
      </c>
      <c r="BD39" s="197"/>
      <c r="BE39" s="913">
        <f>'Energy NPV'!U92</f>
        <v>2996.6</v>
      </c>
      <c r="BF39" s="197"/>
      <c r="BG39" s="197">
        <f t="shared" ref="BG39:BG53" si="101">BD39+BE39+BF39</f>
        <v>2996.6</v>
      </c>
      <c r="BH39" s="197">
        <f t="shared" si="78"/>
        <v>-319.56666666666661</v>
      </c>
      <c r="BI39" s="197">
        <f t="shared" si="79"/>
        <v>152.07333333333327</v>
      </c>
      <c r="BJ39" s="196">
        <f t="shared" ref="BJ39:BJ53" si="102">BA39/(1+$D$4)^(AX39-1)</f>
        <v>2624.5424836601305</v>
      </c>
      <c r="BK39" s="197">
        <f t="shared" ref="BK39:BK53" si="103">BB39/(1+$D$4)^(AX39-1)</f>
        <v>462.39215686274508</v>
      </c>
      <c r="BL39" s="197">
        <f t="shared" ref="BL39:BL53" si="104">BG39/(1+$D$4)^(AX39-1)</f>
        <v>2937.8431372549016</v>
      </c>
      <c r="BM39" s="197">
        <f t="shared" ref="BM39:BM53" si="105">BH39/(1+$D$4)^(AX39-1)</f>
        <v>-313.30065359477118</v>
      </c>
      <c r="BN39" s="199">
        <f t="shared" ref="BN39:BN53" si="106">BI39/(1+$D$4)^(AX39-1)</f>
        <v>149.09150326797379</v>
      </c>
      <c r="BO39" s="196">
        <f>BO38+BJ39</f>
        <v>2624.5424836601305</v>
      </c>
      <c r="BP39" s="197">
        <f t="shared" ref="BP39:BP53" si="107">BP38+BK39</f>
        <v>934.03215686274507</v>
      </c>
      <c r="BQ39" s="197">
        <f t="shared" ref="BQ39:BQ53" si="108">BQ38+BL39</f>
        <v>13825.718137254902</v>
      </c>
      <c r="BR39" s="197">
        <f t="shared" ref="BR39:BR53" si="109">BR38+BM39</f>
        <v>-11201.175653594772</v>
      </c>
      <c r="BS39" s="199">
        <f t="shared" ref="BS39:BS53" si="110">BS38+BN39</f>
        <v>-10267.143496732027</v>
      </c>
      <c r="BV39" s="204">
        <v>2</v>
      </c>
      <c r="BW39" s="197">
        <f>'Energy NPV'!$D92</f>
        <v>9.9333333333333336</v>
      </c>
      <c r="BX39" s="197">
        <f>'Energy margins'!$Z$12</f>
        <v>269.5</v>
      </c>
      <c r="BY39" s="197">
        <f>BW39*BX39</f>
        <v>2677.0333333333333</v>
      </c>
      <c r="BZ39" s="197">
        <f>'Margins summary'!$W$14</f>
        <v>471.64</v>
      </c>
      <c r="CA39" s="197">
        <f t="shared" ref="CA39:CA53" si="111">BY39+BZ39</f>
        <v>3148.6733333333332</v>
      </c>
      <c r="CB39" s="197"/>
      <c r="CC39" s="913">
        <f>'Energy NPV'!U92</f>
        <v>2996.6</v>
      </c>
      <c r="CD39" s="197"/>
      <c r="CE39" s="197">
        <f t="shared" ref="CE39:CE53" si="112">CB39+CC39+CD39</f>
        <v>2996.6</v>
      </c>
      <c r="CF39" s="197">
        <f t="shared" si="80"/>
        <v>-319.56666666666661</v>
      </c>
      <c r="CG39" s="197">
        <f t="shared" si="81"/>
        <v>152.07333333333327</v>
      </c>
      <c r="CH39" s="196">
        <f t="shared" ref="CH39:CH53" si="113">BY39/(1+$E$4)^(BV39-1)</f>
        <v>2478.7345679012342</v>
      </c>
      <c r="CI39" s="197">
        <f t="shared" ref="CI39:CI53" si="114">BZ39/(1+$E$4)^(BV39-1)</f>
        <v>436.70370370370364</v>
      </c>
      <c r="CJ39" s="197">
        <f t="shared" ref="CJ39:CJ53" si="115">CE39/(1+$E$4)^(BV39-1)</f>
        <v>2774.6296296296296</v>
      </c>
      <c r="CK39" s="197">
        <f t="shared" ref="CK39:CK53" si="116">CF39/(1+$E$4)^(BV39-1)</f>
        <v>-295.89506172839498</v>
      </c>
      <c r="CL39" s="199">
        <f t="shared" ref="CL39:CL53" si="117">CG39/(1+$E$4)^(BV39-1)</f>
        <v>140.80864197530857</v>
      </c>
      <c r="CM39" s="196">
        <f>CM38+CH39</f>
        <v>2478.7345679012342</v>
      </c>
      <c r="CN39" s="197">
        <f t="shared" ref="CN39:CN53" si="118">CN38+CI39</f>
        <v>908.34370370370357</v>
      </c>
      <c r="CO39" s="197">
        <f t="shared" ref="CO39:CO53" si="119">CO38+CJ39</f>
        <v>13662.50462962963</v>
      </c>
      <c r="CP39" s="197">
        <f t="shared" ref="CP39:CP53" si="120">CP38+CK39</f>
        <v>-11183.770061728395</v>
      </c>
      <c r="CQ39" s="199">
        <f t="shared" ref="CQ39:CQ53" si="121">CQ38+CL39</f>
        <v>-10275.426358024692</v>
      </c>
      <c r="CT39" s="204">
        <f>CT38+1</f>
        <v>2</v>
      </c>
      <c r="CU39" s="197">
        <f>'Energy NPV'!$D92</f>
        <v>9.9333333333333336</v>
      </c>
      <c r="CV39" s="197">
        <f>'Energy margins'!$Z$12</f>
        <v>269.5</v>
      </c>
      <c r="CW39" s="197">
        <f>CU39*CV39</f>
        <v>2677.0333333333333</v>
      </c>
      <c r="CX39" s="197">
        <f>'Margins summary'!$W$14</f>
        <v>471.64</v>
      </c>
      <c r="CY39" s="197">
        <f t="shared" ref="CY39:CY53" si="122">CW39+CX39</f>
        <v>3148.6733333333332</v>
      </c>
      <c r="CZ39" s="197"/>
      <c r="DA39" s="913">
        <f>'Energy NPV'!U92</f>
        <v>2996.6</v>
      </c>
      <c r="DB39" s="197"/>
      <c r="DC39" s="197">
        <f t="shared" ref="DC39:DC53" si="123">CZ39+DA39+DB39</f>
        <v>2996.6</v>
      </c>
      <c r="DD39" s="197">
        <f t="shared" si="82"/>
        <v>-319.56666666666661</v>
      </c>
      <c r="DE39" s="197">
        <f t="shared" si="83"/>
        <v>152.07333333333327</v>
      </c>
      <c r="DF39" s="196">
        <f t="shared" ref="DF39:DF53" si="124">CW39/(1+$F$4)^(CT39-1)</f>
        <v>2677.0333333333333</v>
      </c>
      <c r="DG39" s="197">
        <f t="shared" ref="DG39:DG53" si="125">CX39/(1+$F$4)^(CT39-1)</f>
        <v>471.64</v>
      </c>
      <c r="DH39" s="197">
        <f t="shared" ref="DH39:DH53" si="126">DC39/(1+$F$4)^(CT39-1)</f>
        <v>2996.6</v>
      </c>
      <c r="DI39" s="197">
        <f t="shared" ref="DI39:DI53" si="127">DD39/(1+$F$4)^(CT39-1)</f>
        <v>-319.56666666666661</v>
      </c>
      <c r="DJ39" s="199">
        <f t="shared" ref="DJ39:DJ53" si="128">DE39/(1+$F$4)^(CT39-1)</f>
        <v>152.07333333333327</v>
      </c>
      <c r="DK39" s="196">
        <f>DK38+DF39</f>
        <v>2677.0333333333333</v>
      </c>
      <c r="DL39" s="197">
        <f t="shared" ref="DL39:DL53" si="129">DL38+DG39</f>
        <v>943.28</v>
      </c>
      <c r="DM39" s="197">
        <f t="shared" ref="DM39:DM53" si="130">DM38+DH39</f>
        <v>13884.475</v>
      </c>
      <c r="DN39" s="197">
        <f t="shared" ref="DN39:DN53" si="131">DN38+DI39</f>
        <v>-11207.441666666666</v>
      </c>
      <c r="DO39" s="199">
        <f t="shared" ref="DO39:DO53" si="132">DO38+DJ39</f>
        <v>-10264.161666666667</v>
      </c>
    </row>
    <row r="40" spans="2:119" x14ac:dyDescent="0.3">
      <c r="B40" s="204">
        <f t="shared" ref="B40:B53" si="133">B39+1</f>
        <v>3</v>
      </c>
      <c r="C40" s="197">
        <f>'Energy NPV'!$D93</f>
        <v>14.700000000000001</v>
      </c>
      <c r="D40" s="197">
        <f>'Energy margins'!$Z$12</f>
        <v>269.5</v>
      </c>
      <c r="E40" s="197">
        <f t="shared" ref="E40:E53" si="134">C40*D40</f>
        <v>3961.65</v>
      </c>
      <c r="F40" s="197">
        <f>'Margins summary'!$W$14</f>
        <v>471.64</v>
      </c>
      <c r="G40" s="197">
        <f t="shared" si="84"/>
        <v>4433.29</v>
      </c>
      <c r="H40" s="197"/>
      <c r="I40" s="913">
        <f>'Energy NPV'!U93</f>
        <v>2996.6</v>
      </c>
      <c r="J40" s="197"/>
      <c r="K40" s="197">
        <f t="shared" si="85"/>
        <v>2996.6</v>
      </c>
      <c r="L40" s="197">
        <f t="shared" si="74"/>
        <v>965.05000000000018</v>
      </c>
      <c r="M40" s="197">
        <f t="shared" si="75"/>
        <v>1436.69</v>
      </c>
      <c r="N40" s="196">
        <f t="shared" si="86"/>
        <v>3662.768121301775</v>
      </c>
      <c r="O40" s="197">
        <f t="shared" si="87"/>
        <v>436.05769230769226</v>
      </c>
      <c r="P40" s="197">
        <f t="shared" si="88"/>
        <v>2770.5251479289936</v>
      </c>
      <c r="Q40" s="197">
        <f t="shared" si="89"/>
        <v>892.24297337278119</v>
      </c>
      <c r="R40" s="199">
        <f t="shared" si="90"/>
        <v>1328.3006656804732</v>
      </c>
      <c r="S40" s="196">
        <f t="shared" ref="S40:S53" si="135">S39+N40</f>
        <v>6236.8386341222877</v>
      </c>
      <c r="T40" s="197">
        <f t="shared" si="91"/>
        <v>1361.1976923076923</v>
      </c>
      <c r="U40" s="197">
        <f t="shared" si="91"/>
        <v>16539.746301775147</v>
      </c>
      <c r="V40" s="197">
        <f t="shared" si="91"/>
        <v>-10302.90766765286</v>
      </c>
      <c r="W40" s="199">
        <f t="shared" si="91"/>
        <v>-8941.7099753451675</v>
      </c>
      <c r="Z40" s="204">
        <f t="shared" ref="Z40:Z53" si="136">Z39+1</f>
        <v>3</v>
      </c>
      <c r="AA40" s="197">
        <f>'Energy NPV'!$D93</f>
        <v>14.700000000000001</v>
      </c>
      <c r="AB40" s="197">
        <f>'Energy margins'!$Z$12</f>
        <v>269.5</v>
      </c>
      <c r="AC40" s="197">
        <f t="shared" ref="AC40:AC53" si="137">AA40*AB40</f>
        <v>3961.65</v>
      </c>
      <c r="AD40" s="197">
        <f>'Margins summary'!$W$14</f>
        <v>471.64</v>
      </c>
      <c r="AE40" s="197">
        <f t="shared" si="92"/>
        <v>4433.29</v>
      </c>
      <c r="AF40" s="197"/>
      <c r="AG40" s="913">
        <f>'Energy NPV'!U93</f>
        <v>2996.6</v>
      </c>
      <c r="AH40" s="197"/>
      <c r="AI40" s="197">
        <f t="shared" si="93"/>
        <v>2996.6</v>
      </c>
      <c r="AJ40" s="197">
        <f t="shared" si="76"/>
        <v>965.05000000000018</v>
      </c>
      <c r="AK40" s="197">
        <f t="shared" si="77"/>
        <v>1436.69</v>
      </c>
      <c r="AL40" s="196">
        <f t="shared" si="94"/>
        <v>3525.8543965824133</v>
      </c>
      <c r="AM40" s="197">
        <f t="shared" si="95"/>
        <v>419.75792096831606</v>
      </c>
      <c r="AN40" s="197">
        <f t="shared" si="96"/>
        <v>2666.9633321466708</v>
      </c>
      <c r="AO40" s="197">
        <f t="shared" si="97"/>
        <v>858.89106443574235</v>
      </c>
      <c r="AP40" s="199">
        <f t="shared" si="98"/>
        <v>1278.6489854040583</v>
      </c>
      <c r="AQ40" s="196">
        <f t="shared" ref="AQ40:AQ53" si="138">AQ39+AL40</f>
        <v>6051.3575412365008</v>
      </c>
      <c r="AR40" s="197">
        <f t="shared" si="99"/>
        <v>1336.3413171947311</v>
      </c>
      <c r="AS40" s="197">
        <f t="shared" si="99"/>
        <v>16381.819464222142</v>
      </c>
      <c r="AT40" s="197">
        <f t="shared" si="99"/>
        <v>-10330.461922985642</v>
      </c>
      <c r="AU40" s="199">
        <f t="shared" si="99"/>
        <v>-8994.1206057909112</v>
      </c>
      <c r="AX40" s="204">
        <f t="shared" ref="AX40:AX53" si="139">AX39+1</f>
        <v>3</v>
      </c>
      <c r="AY40" s="197">
        <f>'Energy NPV'!$D93</f>
        <v>14.700000000000001</v>
      </c>
      <c r="AZ40" s="197">
        <f>'Energy margins'!$Z$12</f>
        <v>269.5</v>
      </c>
      <c r="BA40" s="197">
        <f t="shared" ref="BA40:BA53" si="140">AY40*AZ40</f>
        <v>3961.65</v>
      </c>
      <c r="BB40" s="197">
        <f>'Margins summary'!$W$14</f>
        <v>471.64</v>
      </c>
      <c r="BC40" s="197">
        <f t="shared" si="100"/>
        <v>4433.29</v>
      </c>
      <c r="BD40" s="197"/>
      <c r="BE40" s="913">
        <f>'Energy NPV'!U93</f>
        <v>2996.6</v>
      </c>
      <c r="BF40" s="197"/>
      <c r="BG40" s="197">
        <f t="shared" si="101"/>
        <v>2996.6</v>
      </c>
      <c r="BH40" s="197">
        <f t="shared" si="78"/>
        <v>965.05000000000018</v>
      </c>
      <c r="BI40" s="197">
        <f t="shared" si="79"/>
        <v>1436.69</v>
      </c>
      <c r="BJ40" s="196">
        <f t="shared" si="102"/>
        <v>3807.8143021914648</v>
      </c>
      <c r="BK40" s="197">
        <f t="shared" si="103"/>
        <v>453.32564398308341</v>
      </c>
      <c r="BL40" s="197">
        <f t="shared" si="104"/>
        <v>2880.2383698577469</v>
      </c>
      <c r="BM40" s="197">
        <f t="shared" si="105"/>
        <v>927.57593233371801</v>
      </c>
      <c r="BN40" s="199">
        <f t="shared" si="106"/>
        <v>1380.9015763168013</v>
      </c>
      <c r="BO40" s="196">
        <f t="shared" ref="BO40:BO53" si="141">BO39+BJ40</f>
        <v>6432.3567858515953</v>
      </c>
      <c r="BP40" s="197">
        <f t="shared" si="107"/>
        <v>1387.3578008458285</v>
      </c>
      <c r="BQ40" s="197">
        <f t="shared" si="108"/>
        <v>16705.956507112649</v>
      </c>
      <c r="BR40" s="197">
        <f t="shared" si="109"/>
        <v>-10273.599721261053</v>
      </c>
      <c r="BS40" s="199">
        <f t="shared" si="110"/>
        <v>-8886.2419204152266</v>
      </c>
      <c r="BV40" s="204">
        <f t="shared" ref="BV40:BV53" si="142">BV39+1</f>
        <v>3</v>
      </c>
      <c r="BW40" s="197">
        <f>'Energy NPV'!$D93</f>
        <v>14.700000000000001</v>
      </c>
      <c r="BX40" s="197">
        <f>'Energy margins'!$Z$12</f>
        <v>269.5</v>
      </c>
      <c r="BY40" s="197">
        <f t="shared" ref="BY40:BY53" si="143">BW40*BX40</f>
        <v>3961.65</v>
      </c>
      <c r="BZ40" s="197">
        <f>'Margins summary'!$W$14</f>
        <v>471.64</v>
      </c>
      <c r="CA40" s="197">
        <f t="shared" si="111"/>
        <v>4433.29</v>
      </c>
      <c r="CB40" s="197"/>
      <c r="CC40" s="913">
        <f>'Energy NPV'!U93</f>
        <v>2996.6</v>
      </c>
      <c r="CD40" s="197"/>
      <c r="CE40" s="197">
        <f t="shared" si="112"/>
        <v>2996.6</v>
      </c>
      <c r="CF40" s="197">
        <f t="shared" si="80"/>
        <v>965.05000000000018</v>
      </c>
      <c r="CG40" s="197">
        <f t="shared" si="81"/>
        <v>1436.69</v>
      </c>
      <c r="CH40" s="196">
        <f t="shared" si="113"/>
        <v>3396.4763374485597</v>
      </c>
      <c r="CI40" s="197">
        <f t="shared" si="114"/>
        <v>404.35528120713303</v>
      </c>
      <c r="CJ40" s="197">
        <f t="shared" si="115"/>
        <v>2569.1015089163234</v>
      </c>
      <c r="CK40" s="197">
        <f t="shared" si="116"/>
        <v>827.37482853223605</v>
      </c>
      <c r="CL40" s="199">
        <f t="shared" si="117"/>
        <v>1231.730109739369</v>
      </c>
      <c r="CM40" s="196">
        <f t="shared" ref="CM40:CM53" si="144">CM39+CH40</f>
        <v>5875.2109053497934</v>
      </c>
      <c r="CN40" s="197">
        <f t="shared" si="118"/>
        <v>1312.6989849108365</v>
      </c>
      <c r="CO40" s="197">
        <f t="shared" si="119"/>
        <v>16231.606138545952</v>
      </c>
      <c r="CP40" s="197">
        <f t="shared" si="120"/>
        <v>-10356.395233196159</v>
      </c>
      <c r="CQ40" s="199">
        <f t="shared" si="121"/>
        <v>-9043.6962482853232</v>
      </c>
      <c r="CT40" s="204">
        <f t="shared" ref="CT40:CT53" si="145">CT39+1</f>
        <v>3</v>
      </c>
      <c r="CU40" s="197">
        <f>'Energy NPV'!$D93</f>
        <v>14.700000000000001</v>
      </c>
      <c r="CV40" s="197">
        <f>'Energy margins'!$Z$12</f>
        <v>269.5</v>
      </c>
      <c r="CW40" s="197">
        <f t="shared" ref="CW40:CW53" si="146">CU40*CV40</f>
        <v>3961.65</v>
      </c>
      <c r="CX40" s="197">
        <f>'Margins summary'!$W$14</f>
        <v>471.64</v>
      </c>
      <c r="CY40" s="197">
        <f t="shared" si="122"/>
        <v>4433.29</v>
      </c>
      <c r="CZ40" s="197"/>
      <c r="DA40" s="913">
        <f>'Energy NPV'!U93</f>
        <v>2996.6</v>
      </c>
      <c r="DB40" s="197"/>
      <c r="DC40" s="197">
        <f t="shared" si="123"/>
        <v>2996.6</v>
      </c>
      <c r="DD40" s="197">
        <f t="shared" si="82"/>
        <v>965.05000000000018</v>
      </c>
      <c r="DE40" s="197">
        <f t="shared" si="83"/>
        <v>1436.69</v>
      </c>
      <c r="DF40" s="196">
        <f t="shared" si="124"/>
        <v>3961.65</v>
      </c>
      <c r="DG40" s="197">
        <f t="shared" si="125"/>
        <v>471.64</v>
      </c>
      <c r="DH40" s="197">
        <f t="shared" si="126"/>
        <v>2996.6</v>
      </c>
      <c r="DI40" s="197">
        <f t="shared" si="127"/>
        <v>965.05000000000018</v>
      </c>
      <c r="DJ40" s="199">
        <f t="shared" si="128"/>
        <v>1436.69</v>
      </c>
      <c r="DK40" s="196">
        <f t="shared" ref="DK40:DK53" si="147">DK39+DF40</f>
        <v>6638.6833333333334</v>
      </c>
      <c r="DL40" s="197">
        <f t="shared" si="129"/>
        <v>1414.92</v>
      </c>
      <c r="DM40" s="197">
        <f t="shared" si="130"/>
        <v>16881.075000000001</v>
      </c>
      <c r="DN40" s="197">
        <f t="shared" si="131"/>
        <v>-10242.391666666666</v>
      </c>
      <c r="DO40" s="199">
        <f t="shared" si="132"/>
        <v>-8827.4716666666664</v>
      </c>
    </row>
    <row r="41" spans="2:119" x14ac:dyDescent="0.3">
      <c r="B41" s="204">
        <f t="shared" si="133"/>
        <v>4</v>
      </c>
      <c r="C41" s="197">
        <f>'Energy NPV'!$D94</f>
        <v>15.733333333333334</v>
      </c>
      <c r="D41" s="197">
        <f>'Energy margins'!$Z$12</f>
        <v>269.5</v>
      </c>
      <c r="E41" s="197">
        <f t="shared" si="134"/>
        <v>4240.1333333333332</v>
      </c>
      <c r="F41" s="197">
        <f>'Margins summary'!$W$14</f>
        <v>471.64</v>
      </c>
      <c r="G41" s="197">
        <f t="shared" si="84"/>
        <v>4711.7733333333335</v>
      </c>
      <c r="H41" s="197"/>
      <c r="I41" s="913">
        <f>'Energy NPV'!U94</f>
        <v>2207.6999999999998</v>
      </c>
      <c r="J41" s="197"/>
      <c r="K41" s="197">
        <f t="shared" si="85"/>
        <v>2207.6999999999998</v>
      </c>
      <c r="L41" s="197">
        <f t="shared" si="74"/>
        <v>2032.4333333333334</v>
      </c>
      <c r="M41" s="197">
        <f t="shared" si="75"/>
        <v>2504.0733333333337</v>
      </c>
      <c r="N41" s="196">
        <f t="shared" si="86"/>
        <v>3769.4630936125013</v>
      </c>
      <c r="O41" s="197">
        <f t="shared" si="87"/>
        <v>419.28624260355025</v>
      </c>
      <c r="P41" s="197">
        <f t="shared" si="88"/>
        <v>1962.6372610377784</v>
      </c>
      <c r="Q41" s="197">
        <f t="shared" si="89"/>
        <v>1806.8258325747231</v>
      </c>
      <c r="R41" s="199">
        <f t="shared" si="90"/>
        <v>2226.1120751782737</v>
      </c>
      <c r="S41" s="196">
        <f t="shared" si="135"/>
        <v>10006.30172773479</v>
      </c>
      <c r="T41" s="197">
        <f t="shared" si="91"/>
        <v>1780.4839349112426</v>
      </c>
      <c r="U41" s="197">
        <f t="shared" si="91"/>
        <v>18502.383562812924</v>
      </c>
      <c r="V41" s="197">
        <f t="shared" si="91"/>
        <v>-8496.0818350781374</v>
      </c>
      <c r="W41" s="199">
        <f t="shared" si="91"/>
        <v>-6715.5979001668939</v>
      </c>
      <c r="Z41" s="204">
        <f t="shared" si="136"/>
        <v>4</v>
      </c>
      <c r="AA41" s="197">
        <f>'Energy NPV'!$D94</f>
        <v>15.733333333333334</v>
      </c>
      <c r="AB41" s="197">
        <f>'Energy margins'!$Z$12</f>
        <v>269.5</v>
      </c>
      <c r="AC41" s="197">
        <f t="shared" si="137"/>
        <v>4240.1333333333332</v>
      </c>
      <c r="AD41" s="197">
        <f>'Margins summary'!$W$14</f>
        <v>471.64</v>
      </c>
      <c r="AE41" s="197">
        <f t="shared" si="92"/>
        <v>4711.7733333333335</v>
      </c>
      <c r="AF41" s="197"/>
      <c r="AG41" s="913">
        <f>'Energy NPV'!U94</f>
        <v>2207.6999999999998</v>
      </c>
      <c r="AH41" s="197"/>
      <c r="AI41" s="197">
        <f t="shared" si="93"/>
        <v>2207.6999999999998</v>
      </c>
      <c r="AJ41" s="197">
        <f t="shared" si="76"/>
        <v>2032.4333333333334</v>
      </c>
      <c r="AK41" s="197">
        <f t="shared" si="77"/>
        <v>2504.0733333333337</v>
      </c>
      <c r="AL41" s="196">
        <f t="shared" si="94"/>
        <v>3560.0977092946964</v>
      </c>
      <c r="AM41" s="197">
        <f t="shared" si="95"/>
        <v>395.99803864935473</v>
      </c>
      <c r="AN41" s="197">
        <f t="shared" si="96"/>
        <v>1853.6274911504122</v>
      </c>
      <c r="AO41" s="197">
        <f t="shared" si="97"/>
        <v>1706.4702181442842</v>
      </c>
      <c r="AP41" s="199">
        <f t="shared" si="98"/>
        <v>2102.4682567936393</v>
      </c>
      <c r="AQ41" s="196">
        <f t="shared" si="138"/>
        <v>9611.4552505311967</v>
      </c>
      <c r="AR41" s="197">
        <f t="shared" si="99"/>
        <v>1732.3393558440857</v>
      </c>
      <c r="AS41" s="197">
        <f t="shared" si="99"/>
        <v>18235.446955372554</v>
      </c>
      <c r="AT41" s="197">
        <f t="shared" si="99"/>
        <v>-8623.9917048413572</v>
      </c>
      <c r="AU41" s="199">
        <f t="shared" si="99"/>
        <v>-6891.6523489972715</v>
      </c>
      <c r="AX41" s="204">
        <f t="shared" si="139"/>
        <v>4</v>
      </c>
      <c r="AY41" s="197">
        <f>'Energy NPV'!$D94</f>
        <v>15.733333333333334</v>
      </c>
      <c r="AZ41" s="197">
        <f>'Energy margins'!$Z$12</f>
        <v>269.5</v>
      </c>
      <c r="BA41" s="197">
        <f t="shared" si="140"/>
        <v>4240.1333333333332</v>
      </c>
      <c r="BB41" s="197">
        <f>'Margins summary'!$W$14</f>
        <v>471.64</v>
      </c>
      <c r="BC41" s="197">
        <f t="shared" si="100"/>
        <v>4711.7733333333335</v>
      </c>
      <c r="BD41" s="197"/>
      <c r="BE41" s="913">
        <f>'Energy NPV'!U94</f>
        <v>2207.6999999999998</v>
      </c>
      <c r="BF41" s="197"/>
      <c r="BG41" s="197">
        <f t="shared" si="101"/>
        <v>2207.6999999999998</v>
      </c>
      <c r="BH41" s="197">
        <f t="shared" si="78"/>
        <v>2032.4333333333334</v>
      </c>
      <c r="BI41" s="197">
        <f t="shared" si="79"/>
        <v>2504.0733333333337</v>
      </c>
      <c r="BJ41" s="196">
        <f t="shared" si="102"/>
        <v>3995.5723414574086</v>
      </c>
      <c r="BK41" s="197">
        <f t="shared" si="103"/>
        <v>444.4369058657681</v>
      </c>
      <c r="BL41" s="197">
        <f t="shared" si="104"/>
        <v>2080.36501797951</v>
      </c>
      <c r="BM41" s="197">
        <f t="shared" si="105"/>
        <v>1915.2073234778984</v>
      </c>
      <c r="BN41" s="199">
        <f t="shared" si="106"/>
        <v>2359.6442293436667</v>
      </c>
      <c r="BO41" s="196">
        <f t="shared" si="141"/>
        <v>10427.929127309004</v>
      </c>
      <c r="BP41" s="197">
        <f t="shared" si="107"/>
        <v>1831.7947067115965</v>
      </c>
      <c r="BQ41" s="197">
        <f t="shared" si="108"/>
        <v>18786.32152509216</v>
      </c>
      <c r="BR41" s="197">
        <f t="shared" si="109"/>
        <v>-8358.3923977831546</v>
      </c>
      <c r="BS41" s="199">
        <f t="shared" si="110"/>
        <v>-6526.5976910715599</v>
      </c>
      <c r="BV41" s="204">
        <f t="shared" si="142"/>
        <v>4</v>
      </c>
      <c r="BW41" s="197">
        <f>'Energy NPV'!$D94</f>
        <v>15.733333333333334</v>
      </c>
      <c r="BX41" s="197">
        <f>'Energy margins'!$Z$12</f>
        <v>269.5</v>
      </c>
      <c r="BY41" s="197">
        <f t="shared" si="143"/>
        <v>4240.1333333333332</v>
      </c>
      <c r="BZ41" s="197">
        <f>'Margins summary'!$W$14</f>
        <v>471.64</v>
      </c>
      <c r="CA41" s="197">
        <f t="shared" si="111"/>
        <v>4711.7733333333335</v>
      </c>
      <c r="CB41" s="197"/>
      <c r="CC41" s="913">
        <f>'Energy NPV'!U94</f>
        <v>2207.6999999999998</v>
      </c>
      <c r="CD41" s="197"/>
      <c r="CE41" s="197">
        <f t="shared" si="112"/>
        <v>2207.6999999999998</v>
      </c>
      <c r="CF41" s="197">
        <f t="shared" si="80"/>
        <v>2032.4333333333334</v>
      </c>
      <c r="CG41" s="197">
        <f t="shared" si="81"/>
        <v>2504.0733333333337</v>
      </c>
      <c r="CH41" s="196">
        <f t="shared" si="113"/>
        <v>3365.9545462243218</v>
      </c>
      <c r="CI41" s="197">
        <f t="shared" si="114"/>
        <v>374.40303815475278</v>
      </c>
      <c r="CJ41" s="197">
        <f t="shared" si="115"/>
        <v>1752.5434385002281</v>
      </c>
      <c r="CK41" s="197">
        <f t="shared" si="116"/>
        <v>1613.4111077240934</v>
      </c>
      <c r="CL41" s="199">
        <f t="shared" si="117"/>
        <v>1987.8141458788464</v>
      </c>
      <c r="CM41" s="196">
        <f t="shared" si="144"/>
        <v>9241.1654515741157</v>
      </c>
      <c r="CN41" s="197">
        <f t="shared" si="118"/>
        <v>1687.1020230655893</v>
      </c>
      <c r="CO41" s="197">
        <f t="shared" si="119"/>
        <v>17984.149577046181</v>
      </c>
      <c r="CP41" s="197">
        <f t="shared" si="120"/>
        <v>-8742.984125472065</v>
      </c>
      <c r="CQ41" s="199">
        <f t="shared" si="121"/>
        <v>-7055.8821024064764</v>
      </c>
      <c r="CT41" s="204">
        <f t="shared" si="145"/>
        <v>4</v>
      </c>
      <c r="CU41" s="197">
        <f>'Energy NPV'!$D94</f>
        <v>15.733333333333334</v>
      </c>
      <c r="CV41" s="197">
        <f>'Energy margins'!$Z$12</f>
        <v>269.5</v>
      </c>
      <c r="CW41" s="197">
        <f t="shared" si="146"/>
        <v>4240.1333333333332</v>
      </c>
      <c r="CX41" s="197">
        <f>'Margins summary'!$W$14</f>
        <v>471.64</v>
      </c>
      <c r="CY41" s="197">
        <f t="shared" si="122"/>
        <v>4711.7733333333335</v>
      </c>
      <c r="CZ41" s="197"/>
      <c r="DA41" s="913">
        <f>'Energy NPV'!U94</f>
        <v>2207.6999999999998</v>
      </c>
      <c r="DB41" s="197"/>
      <c r="DC41" s="197">
        <f t="shared" si="123"/>
        <v>2207.6999999999998</v>
      </c>
      <c r="DD41" s="197">
        <f t="shared" si="82"/>
        <v>2032.4333333333334</v>
      </c>
      <c r="DE41" s="197">
        <f t="shared" si="83"/>
        <v>2504.0733333333337</v>
      </c>
      <c r="DF41" s="196">
        <f t="shared" si="124"/>
        <v>4240.1333333333332</v>
      </c>
      <c r="DG41" s="197">
        <f t="shared" si="125"/>
        <v>471.64</v>
      </c>
      <c r="DH41" s="197">
        <f t="shared" si="126"/>
        <v>2207.6999999999998</v>
      </c>
      <c r="DI41" s="197">
        <f t="shared" si="127"/>
        <v>2032.4333333333334</v>
      </c>
      <c r="DJ41" s="199">
        <f t="shared" si="128"/>
        <v>2504.0733333333337</v>
      </c>
      <c r="DK41" s="196">
        <f t="shared" si="147"/>
        <v>10878.816666666666</v>
      </c>
      <c r="DL41" s="197">
        <f t="shared" si="129"/>
        <v>1886.56</v>
      </c>
      <c r="DM41" s="197">
        <f t="shared" si="130"/>
        <v>19088.775000000001</v>
      </c>
      <c r="DN41" s="197">
        <f t="shared" si="131"/>
        <v>-8209.9583333333321</v>
      </c>
      <c r="DO41" s="199">
        <f t="shared" si="132"/>
        <v>-6323.3983333333326</v>
      </c>
    </row>
    <row r="42" spans="2:119" x14ac:dyDescent="0.3">
      <c r="B42" s="204">
        <f t="shared" si="133"/>
        <v>5</v>
      </c>
      <c r="C42" s="197">
        <f>'Energy NPV'!$D95</f>
        <v>16.3</v>
      </c>
      <c r="D42" s="197">
        <f>'Energy margins'!$Z$12</f>
        <v>269.5</v>
      </c>
      <c r="E42" s="197">
        <f t="shared" si="134"/>
        <v>4392.8500000000004</v>
      </c>
      <c r="F42" s="197">
        <f>'Margins summary'!$W$14</f>
        <v>471.64</v>
      </c>
      <c r="G42" s="197">
        <f t="shared" si="84"/>
        <v>4864.4900000000007</v>
      </c>
      <c r="H42" s="197"/>
      <c r="I42" s="913">
        <f>'Energy NPV'!U95</f>
        <v>2207.6999999999998</v>
      </c>
      <c r="J42" s="197"/>
      <c r="K42" s="197">
        <f t="shared" si="85"/>
        <v>2207.6999999999998</v>
      </c>
      <c r="L42" s="197">
        <f t="shared" si="74"/>
        <v>2185.1500000000005</v>
      </c>
      <c r="M42" s="197">
        <f t="shared" si="75"/>
        <v>2656.7900000000009</v>
      </c>
      <c r="N42" s="196">
        <f t="shared" si="86"/>
        <v>3755.0265905649308</v>
      </c>
      <c r="O42" s="197">
        <f t="shared" si="87"/>
        <v>403.15984865725983</v>
      </c>
      <c r="P42" s="197">
        <f t="shared" si="88"/>
        <v>1887.1512125363251</v>
      </c>
      <c r="Q42" s="197">
        <f t="shared" si="89"/>
        <v>1867.8753780286056</v>
      </c>
      <c r="R42" s="199">
        <f t="shared" si="90"/>
        <v>2271.0352266858658</v>
      </c>
      <c r="S42" s="196">
        <f t="shared" si="135"/>
        <v>13761.32831829972</v>
      </c>
      <c r="T42" s="197">
        <f t="shared" si="91"/>
        <v>2183.6437835685024</v>
      </c>
      <c r="U42" s="197">
        <f t="shared" si="91"/>
        <v>20389.53477534925</v>
      </c>
      <c r="V42" s="197">
        <f t="shared" si="91"/>
        <v>-6628.2064570495313</v>
      </c>
      <c r="W42" s="199">
        <f t="shared" si="91"/>
        <v>-4444.5626734810285</v>
      </c>
      <c r="Z42" s="204">
        <f t="shared" si="136"/>
        <v>5</v>
      </c>
      <c r="AA42" s="197">
        <f>'Energy NPV'!$D95</f>
        <v>16.3</v>
      </c>
      <c r="AB42" s="197">
        <f>'Energy margins'!$Z$12</f>
        <v>269.5</v>
      </c>
      <c r="AC42" s="197">
        <f t="shared" si="137"/>
        <v>4392.8500000000004</v>
      </c>
      <c r="AD42" s="197">
        <f>'Margins summary'!$W$14</f>
        <v>471.64</v>
      </c>
      <c r="AE42" s="197">
        <f t="shared" si="92"/>
        <v>4864.4900000000007</v>
      </c>
      <c r="AF42" s="197"/>
      <c r="AG42" s="913">
        <f>'Energy NPV'!U95</f>
        <v>2207.6999999999998</v>
      </c>
      <c r="AH42" s="197"/>
      <c r="AI42" s="197">
        <f t="shared" si="93"/>
        <v>2207.6999999999998</v>
      </c>
      <c r="AJ42" s="197">
        <f t="shared" si="76"/>
        <v>2185.1500000000005</v>
      </c>
      <c r="AK42" s="197">
        <f t="shared" si="77"/>
        <v>2656.7900000000009</v>
      </c>
      <c r="AL42" s="196">
        <f t="shared" si="94"/>
        <v>3479.5486485551382</v>
      </c>
      <c r="AM42" s="197">
        <f t="shared" si="95"/>
        <v>373.58305532957991</v>
      </c>
      <c r="AN42" s="197">
        <f t="shared" si="96"/>
        <v>1748.7051803305776</v>
      </c>
      <c r="AO42" s="197">
        <f t="shared" si="97"/>
        <v>1730.8434682245606</v>
      </c>
      <c r="AP42" s="199">
        <f t="shared" si="98"/>
        <v>2104.4265235541411</v>
      </c>
      <c r="AQ42" s="196">
        <f t="shared" si="138"/>
        <v>13091.003899086336</v>
      </c>
      <c r="AR42" s="197">
        <f t="shared" si="99"/>
        <v>2105.9224111736658</v>
      </c>
      <c r="AS42" s="197">
        <f t="shared" si="99"/>
        <v>19984.152135703131</v>
      </c>
      <c r="AT42" s="197">
        <f t="shared" si="99"/>
        <v>-6893.1482366167966</v>
      </c>
      <c r="AU42" s="199">
        <f t="shared" si="99"/>
        <v>-4787.2258254431308</v>
      </c>
      <c r="AX42" s="204">
        <f t="shared" si="139"/>
        <v>5</v>
      </c>
      <c r="AY42" s="197">
        <f>'Energy NPV'!$D95</f>
        <v>16.3</v>
      </c>
      <c r="AZ42" s="197">
        <f>'Energy margins'!$Z$12</f>
        <v>269.5</v>
      </c>
      <c r="BA42" s="197">
        <f t="shared" si="140"/>
        <v>4392.8500000000004</v>
      </c>
      <c r="BB42" s="197">
        <f>'Margins summary'!$W$14</f>
        <v>471.64</v>
      </c>
      <c r="BC42" s="197">
        <f t="shared" si="100"/>
        <v>4864.4900000000007</v>
      </c>
      <c r="BD42" s="197"/>
      <c r="BE42" s="913">
        <f>'Energy NPV'!U95</f>
        <v>2207.6999999999998</v>
      </c>
      <c r="BF42" s="197"/>
      <c r="BG42" s="197">
        <f t="shared" si="101"/>
        <v>2207.6999999999998</v>
      </c>
      <c r="BH42" s="197">
        <f t="shared" si="78"/>
        <v>2185.1500000000005</v>
      </c>
      <c r="BI42" s="197">
        <f t="shared" si="79"/>
        <v>2656.7900000000009</v>
      </c>
      <c r="BJ42" s="196">
        <f t="shared" si="102"/>
        <v>4058.3143797205735</v>
      </c>
      <c r="BK42" s="197">
        <f t="shared" si="103"/>
        <v>435.72245673114514</v>
      </c>
      <c r="BL42" s="197">
        <f t="shared" si="104"/>
        <v>2039.5735470387353</v>
      </c>
      <c r="BM42" s="197">
        <f t="shared" si="105"/>
        <v>2018.7408326818381</v>
      </c>
      <c r="BN42" s="199">
        <f t="shared" si="106"/>
        <v>2454.4632894129836</v>
      </c>
      <c r="BO42" s="196">
        <f t="shared" si="141"/>
        <v>14486.243507029578</v>
      </c>
      <c r="BP42" s="197">
        <f t="shared" si="107"/>
        <v>2267.5171634427415</v>
      </c>
      <c r="BQ42" s="197">
        <f t="shared" si="108"/>
        <v>20825.895072130894</v>
      </c>
      <c r="BR42" s="197">
        <f t="shared" si="109"/>
        <v>-6339.651565101316</v>
      </c>
      <c r="BS42" s="199">
        <f t="shared" si="110"/>
        <v>-4072.1344016585763</v>
      </c>
      <c r="BV42" s="204">
        <f t="shared" si="142"/>
        <v>5</v>
      </c>
      <c r="BW42" s="197">
        <f>'Energy NPV'!$D95</f>
        <v>16.3</v>
      </c>
      <c r="BX42" s="197">
        <f>'Energy margins'!$Z$12</f>
        <v>269.5</v>
      </c>
      <c r="BY42" s="197">
        <f t="shared" si="143"/>
        <v>4392.8500000000004</v>
      </c>
      <c r="BZ42" s="197">
        <f>'Margins summary'!$W$14</f>
        <v>471.64</v>
      </c>
      <c r="CA42" s="197">
        <f t="shared" si="111"/>
        <v>4864.4900000000007</v>
      </c>
      <c r="CB42" s="197"/>
      <c r="CC42" s="913">
        <f>'Energy NPV'!U95</f>
        <v>2207.6999999999998</v>
      </c>
      <c r="CD42" s="197"/>
      <c r="CE42" s="197">
        <f t="shared" si="112"/>
        <v>2207.6999999999998</v>
      </c>
      <c r="CF42" s="197">
        <f t="shared" si="80"/>
        <v>2185.1500000000005</v>
      </c>
      <c r="CG42" s="197">
        <f t="shared" si="81"/>
        <v>2656.7900000000009</v>
      </c>
      <c r="CH42" s="196">
        <f t="shared" si="113"/>
        <v>3228.8758888569</v>
      </c>
      <c r="CI42" s="197">
        <f t="shared" si="114"/>
        <v>346.6694797729192</v>
      </c>
      <c r="CJ42" s="197">
        <f t="shared" si="115"/>
        <v>1622.7254060187297</v>
      </c>
      <c r="CK42" s="197">
        <f t="shared" si="116"/>
        <v>1606.1504828381703</v>
      </c>
      <c r="CL42" s="199">
        <f t="shared" si="117"/>
        <v>1952.8199626110897</v>
      </c>
      <c r="CM42" s="196">
        <f t="shared" si="144"/>
        <v>12470.041340431017</v>
      </c>
      <c r="CN42" s="197">
        <f t="shared" si="118"/>
        <v>2033.7715028385085</v>
      </c>
      <c r="CO42" s="197">
        <f t="shared" si="119"/>
        <v>19606.87498306491</v>
      </c>
      <c r="CP42" s="197">
        <f t="shared" si="120"/>
        <v>-7136.8336426338947</v>
      </c>
      <c r="CQ42" s="199">
        <f t="shared" si="121"/>
        <v>-5103.0621397953864</v>
      </c>
      <c r="CT42" s="204">
        <f t="shared" si="145"/>
        <v>5</v>
      </c>
      <c r="CU42" s="197">
        <f>'Energy NPV'!$D95</f>
        <v>16.3</v>
      </c>
      <c r="CV42" s="197">
        <f>'Energy margins'!$Z$12</f>
        <v>269.5</v>
      </c>
      <c r="CW42" s="197">
        <f t="shared" si="146"/>
        <v>4392.8500000000004</v>
      </c>
      <c r="CX42" s="197">
        <f>'Margins summary'!$W$14</f>
        <v>471.64</v>
      </c>
      <c r="CY42" s="197">
        <f t="shared" si="122"/>
        <v>4864.4900000000007</v>
      </c>
      <c r="CZ42" s="197"/>
      <c r="DA42" s="913">
        <f>'Energy NPV'!U95</f>
        <v>2207.6999999999998</v>
      </c>
      <c r="DB42" s="197"/>
      <c r="DC42" s="197">
        <f t="shared" si="123"/>
        <v>2207.6999999999998</v>
      </c>
      <c r="DD42" s="197">
        <f t="shared" si="82"/>
        <v>2185.1500000000005</v>
      </c>
      <c r="DE42" s="197">
        <f t="shared" si="83"/>
        <v>2656.7900000000009</v>
      </c>
      <c r="DF42" s="196">
        <f t="shared" si="124"/>
        <v>4392.8500000000004</v>
      </c>
      <c r="DG42" s="197">
        <f t="shared" si="125"/>
        <v>471.64</v>
      </c>
      <c r="DH42" s="197">
        <f t="shared" si="126"/>
        <v>2207.6999999999998</v>
      </c>
      <c r="DI42" s="197">
        <f t="shared" si="127"/>
        <v>2185.1500000000005</v>
      </c>
      <c r="DJ42" s="199">
        <f t="shared" si="128"/>
        <v>2656.7900000000009</v>
      </c>
      <c r="DK42" s="196">
        <f t="shared" si="147"/>
        <v>15271.666666666666</v>
      </c>
      <c r="DL42" s="197">
        <f t="shared" si="129"/>
        <v>2358.1999999999998</v>
      </c>
      <c r="DM42" s="197">
        <f t="shared" si="130"/>
        <v>21296.475000000002</v>
      </c>
      <c r="DN42" s="197">
        <f t="shared" si="131"/>
        <v>-6024.8083333333316</v>
      </c>
      <c r="DO42" s="199">
        <f t="shared" si="132"/>
        <v>-3666.6083333333318</v>
      </c>
    </row>
    <row r="43" spans="2:119" x14ac:dyDescent="0.3">
      <c r="B43" s="204">
        <f t="shared" si="133"/>
        <v>6</v>
      </c>
      <c r="C43" s="197">
        <f>'Energy NPV'!$D96</f>
        <v>16.3</v>
      </c>
      <c r="D43" s="197">
        <f>'Energy margins'!$Z$12</f>
        <v>269.5</v>
      </c>
      <c r="E43" s="197">
        <f t="shared" si="134"/>
        <v>4392.8500000000004</v>
      </c>
      <c r="F43" s="197">
        <f>'Margins summary'!$W$14</f>
        <v>471.64</v>
      </c>
      <c r="G43" s="197">
        <f t="shared" si="84"/>
        <v>4864.4900000000007</v>
      </c>
      <c r="H43" s="197"/>
      <c r="I43" s="913">
        <f>'Energy NPV'!U96</f>
        <v>2207.6999999999998</v>
      </c>
      <c r="J43" s="197"/>
      <c r="K43" s="197">
        <f t="shared" si="85"/>
        <v>2207.6999999999998</v>
      </c>
      <c r="L43" s="197">
        <f t="shared" si="74"/>
        <v>2185.1500000000005</v>
      </c>
      <c r="M43" s="197">
        <f t="shared" si="75"/>
        <v>2656.7900000000009</v>
      </c>
      <c r="N43" s="196">
        <f t="shared" si="86"/>
        <v>3610.6024909278176</v>
      </c>
      <c r="O43" s="197">
        <f t="shared" si="87"/>
        <v>387.65370063198054</v>
      </c>
      <c r="P43" s="197">
        <f t="shared" si="88"/>
        <v>1814.5684735926202</v>
      </c>
      <c r="Q43" s="197">
        <f t="shared" si="89"/>
        <v>1796.0340173351974</v>
      </c>
      <c r="R43" s="199">
        <f t="shared" si="90"/>
        <v>2183.6877179671783</v>
      </c>
      <c r="S43" s="196">
        <f t="shared" si="135"/>
        <v>17371.930809227539</v>
      </c>
      <c r="T43" s="197">
        <f t="shared" si="91"/>
        <v>2571.2974842004828</v>
      </c>
      <c r="U43" s="197">
        <f t="shared" si="91"/>
        <v>22204.103248941869</v>
      </c>
      <c r="V43" s="197">
        <f t="shared" si="91"/>
        <v>-4832.1724397143334</v>
      </c>
      <c r="W43" s="199">
        <f t="shared" si="91"/>
        <v>-2260.8749555138502</v>
      </c>
      <c r="Z43" s="204">
        <f t="shared" si="136"/>
        <v>6</v>
      </c>
      <c r="AA43" s="197">
        <f>'Energy NPV'!$D96</f>
        <v>16.3</v>
      </c>
      <c r="AB43" s="197">
        <f>'Energy margins'!$Z$12</f>
        <v>269.5</v>
      </c>
      <c r="AC43" s="197">
        <f t="shared" si="137"/>
        <v>4392.8500000000004</v>
      </c>
      <c r="AD43" s="197">
        <f>'Margins summary'!$W$14</f>
        <v>471.64</v>
      </c>
      <c r="AE43" s="197">
        <f t="shared" si="92"/>
        <v>4864.4900000000007</v>
      </c>
      <c r="AF43" s="197"/>
      <c r="AG43" s="913">
        <f>'Energy NPV'!U96</f>
        <v>2207.6999999999998</v>
      </c>
      <c r="AH43" s="197"/>
      <c r="AI43" s="197">
        <f t="shared" si="93"/>
        <v>2207.6999999999998</v>
      </c>
      <c r="AJ43" s="197">
        <f t="shared" si="76"/>
        <v>2185.1500000000005</v>
      </c>
      <c r="AK43" s="197">
        <f t="shared" si="77"/>
        <v>2656.7900000000009</v>
      </c>
      <c r="AL43" s="196">
        <f t="shared" si="94"/>
        <v>3282.5930646746583</v>
      </c>
      <c r="AM43" s="197">
        <f t="shared" si="95"/>
        <v>352.43684465054707</v>
      </c>
      <c r="AN43" s="197">
        <f t="shared" si="96"/>
        <v>1649.7218682363937</v>
      </c>
      <c r="AO43" s="197">
        <f t="shared" si="97"/>
        <v>1632.8711964382646</v>
      </c>
      <c r="AP43" s="199">
        <f t="shared" si="98"/>
        <v>1985.3080410888119</v>
      </c>
      <c r="AQ43" s="196">
        <f t="shared" si="138"/>
        <v>16373.596963760994</v>
      </c>
      <c r="AR43" s="197">
        <f t="shared" si="99"/>
        <v>2458.3592558242126</v>
      </c>
      <c r="AS43" s="197">
        <f t="shared" si="99"/>
        <v>21633.874003939523</v>
      </c>
      <c r="AT43" s="197">
        <f t="shared" si="99"/>
        <v>-5260.2770401785319</v>
      </c>
      <c r="AU43" s="199">
        <f t="shared" si="99"/>
        <v>-2801.9177843543189</v>
      </c>
      <c r="AX43" s="204">
        <f t="shared" si="139"/>
        <v>6</v>
      </c>
      <c r="AY43" s="197">
        <f>'Energy NPV'!$D96</f>
        <v>16.3</v>
      </c>
      <c r="AZ43" s="197">
        <f>'Energy margins'!$Z$12</f>
        <v>269.5</v>
      </c>
      <c r="BA43" s="197">
        <f t="shared" si="140"/>
        <v>4392.8500000000004</v>
      </c>
      <c r="BB43" s="197">
        <f>'Margins summary'!$W$14</f>
        <v>471.64</v>
      </c>
      <c r="BC43" s="197">
        <f t="shared" si="100"/>
        <v>4864.4900000000007</v>
      </c>
      <c r="BD43" s="197"/>
      <c r="BE43" s="913">
        <f>'Energy NPV'!U96</f>
        <v>2207.6999999999998</v>
      </c>
      <c r="BF43" s="197"/>
      <c r="BG43" s="197">
        <f t="shared" si="101"/>
        <v>2207.6999999999998</v>
      </c>
      <c r="BH43" s="197">
        <f t="shared" si="78"/>
        <v>2185.1500000000005</v>
      </c>
      <c r="BI43" s="197">
        <f t="shared" si="79"/>
        <v>2656.7900000000009</v>
      </c>
      <c r="BJ43" s="196">
        <f t="shared" si="102"/>
        <v>3978.7395879613464</v>
      </c>
      <c r="BK43" s="197">
        <f t="shared" si="103"/>
        <v>427.17887914818152</v>
      </c>
      <c r="BL43" s="197">
        <f t="shared" si="104"/>
        <v>1999.5819088615051</v>
      </c>
      <c r="BM43" s="197">
        <f t="shared" si="105"/>
        <v>1979.1576790998413</v>
      </c>
      <c r="BN43" s="199">
        <f t="shared" si="106"/>
        <v>2406.3365582480228</v>
      </c>
      <c r="BO43" s="196">
        <f t="shared" si="141"/>
        <v>18464.983094990923</v>
      </c>
      <c r="BP43" s="197">
        <f t="shared" si="107"/>
        <v>2694.6960425909228</v>
      </c>
      <c r="BQ43" s="197">
        <f t="shared" si="108"/>
        <v>22825.4769809924</v>
      </c>
      <c r="BR43" s="197">
        <f t="shared" si="109"/>
        <v>-4360.4938860014745</v>
      </c>
      <c r="BS43" s="199">
        <f t="shared" si="110"/>
        <v>-1665.7978434105535</v>
      </c>
      <c r="BV43" s="204">
        <f t="shared" si="142"/>
        <v>6</v>
      </c>
      <c r="BW43" s="197">
        <f>'Energy NPV'!$D96</f>
        <v>16.3</v>
      </c>
      <c r="BX43" s="197">
        <f>'Energy margins'!$Z$12</f>
        <v>269.5</v>
      </c>
      <c r="BY43" s="197">
        <f t="shared" si="143"/>
        <v>4392.8500000000004</v>
      </c>
      <c r="BZ43" s="197">
        <f>'Margins summary'!$W$14</f>
        <v>471.64</v>
      </c>
      <c r="CA43" s="197">
        <f t="shared" si="111"/>
        <v>4864.4900000000007</v>
      </c>
      <c r="CB43" s="197"/>
      <c r="CC43" s="913">
        <f>'Energy NPV'!U96</f>
        <v>2207.6999999999998</v>
      </c>
      <c r="CD43" s="197"/>
      <c r="CE43" s="197">
        <f t="shared" si="112"/>
        <v>2207.6999999999998</v>
      </c>
      <c r="CF43" s="197">
        <f t="shared" si="80"/>
        <v>2185.1500000000005</v>
      </c>
      <c r="CG43" s="197">
        <f t="shared" si="81"/>
        <v>2656.7900000000009</v>
      </c>
      <c r="CH43" s="196">
        <f t="shared" si="113"/>
        <v>2989.6998970897221</v>
      </c>
      <c r="CI43" s="197">
        <f t="shared" si="114"/>
        <v>320.99025904899923</v>
      </c>
      <c r="CJ43" s="197">
        <f t="shared" si="115"/>
        <v>1502.5235240914164</v>
      </c>
      <c r="CK43" s="197">
        <f t="shared" si="116"/>
        <v>1487.1763729983059</v>
      </c>
      <c r="CL43" s="199">
        <f t="shared" si="117"/>
        <v>1808.1666320473053</v>
      </c>
      <c r="CM43" s="196">
        <f t="shared" si="144"/>
        <v>15459.741237520739</v>
      </c>
      <c r="CN43" s="197">
        <f t="shared" si="118"/>
        <v>2354.7617618875079</v>
      </c>
      <c r="CO43" s="197">
        <f t="shared" si="119"/>
        <v>21109.398507156326</v>
      </c>
      <c r="CP43" s="197">
        <f t="shared" si="120"/>
        <v>-5649.6572696355888</v>
      </c>
      <c r="CQ43" s="199">
        <f t="shared" si="121"/>
        <v>-3294.8955077480814</v>
      </c>
      <c r="CT43" s="204">
        <f t="shared" si="145"/>
        <v>6</v>
      </c>
      <c r="CU43" s="197">
        <f>'Energy NPV'!$D96</f>
        <v>16.3</v>
      </c>
      <c r="CV43" s="197">
        <f>'Energy margins'!$Z$12</f>
        <v>269.5</v>
      </c>
      <c r="CW43" s="197">
        <f t="shared" si="146"/>
        <v>4392.8500000000004</v>
      </c>
      <c r="CX43" s="197">
        <f>'Margins summary'!$W$14</f>
        <v>471.64</v>
      </c>
      <c r="CY43" s="197">
        <f t="shared" si="122"/>
        <v>4864.4900000000007</v>
      </c>
      <c r="CZ43" s="197"/>
      <c r="DA43" s="913">
        <f>'Energy NPV'!U96</f>
        <v>2207.6999999999998</v>
      </c>
      <c r="DB43" s="197"/>
      <c r="DC43" s="197">
        <f t="shared" si="123"/>
        <v>2207.6999999999998</v>
      </c>
      <c r="DD43" s="197">
        <f t="shared" si="82"/>
        <v>2185.1500000000005</v>
      </c>
      <c r="DE43" s="197">
        <f t="shared" si="83"/>
        <v>2656.7900000000009</v>
      </c>
      <c r="DF43" s="196">
        <f t="shared" si="124"/>
        <v>4392.8500000000004</v>
      </c>
      <c r="DG43" s="197">
        <f t="shared" si="125"/>
        <v>471.64</v>
      </c>
      <c r="DH43" s="197">
        <f t="shared" si="126"/>
        <v>2207.6999999999998</v>
      </c>
      <c r="DI43" s="197">
        <f t="shared" si="127"/>
        <v>2185.1500000000005</v>
      </c>
      <c r="DJ43" s="199">
        <f t="shared" si="128"/>
        <v>2656.7900000000009</v>
      </c>
      <c r="DK43" s="196">
        <f t="shared" si="147"/>
        <v>19664.516666666666</v>
      </c>
      <c r="DL43" s="197">
        <f t="shared" si="129"/>
        <v>2829.8399999999997</v>
      </c>
      <c r="DM43" s="197">
        <f t="shared" si="130"/>
        <v>23504.175000000003</v>
      </c>
      <c r="DN43" s="197">
        <f t="shared" si="131"/>
        <v>-3839.658333333331</v>
      </c>
      <c r="DO43" s="199">
        <f t="shared" si="132"/>
        <v>-1009.8183333333309</v>
      </c>
    </row>
    <row r="44" spans="2:119" x14ac:dyDescent="0.3">
      <c r="B44" s="204">
        <f t="shared" si="133"/>
        <v>7</v>
      </c>
      <c r="C44" s="197">
        <f>'Energy NPV'!$D97</f>
        <v>16.3</v>
      </c>
      <c r="D44" s="197">
        <f>'Energy margins'!$Z$12</f>
        <v>269.5</v>
      </c>
      <c r="E44" s="197">
        <f t="shared" si="134"/>
        <v>4392.8500000000004</v>
      </c>
      <c r="F44" s="197">
        <f>'Margins summary'!$W$14</f>
        <v>471.64</v>
      </c>
      <c r="G44" s="197">
        <f t="shared" si="84"/>
        <v>4864.4900000000007</v>
      </c>
      <c r="H44" s="197"/>
      <c r="I44" s="913">
        <f>'Energy NPV'!U97</f>
        <v>2207.6999999999998</v>
      </c>
      <c r="J44" s="197"/>
      <c r="K44" s="197">
        <f t="shared" si="85"/>
        <v>2207.6999999999998</v>
      </c>
      <c r="L44" s="197">
        <f t="shared" si="74"/>
        <v>2185.1500000000005</v>
      </c>
      <c r="M44" s="197">
        <f t="shared" si="75"/>
        <v>2656.7900000000009</v>
      </c>
      <c r="N44" s="196">
        <f t="shared" si="86"/>
        <v>3471.7331643536709</v>
      </c>
      <c r="O44" s="197">
        <f t="shared" si="87"/>
        <v>372.74394291536589</v>
      </c>
      <c r="P44" s="197">
        <f t="shared" si="88"/>
        <v>1744.7773784544424</v>
      </c>
      <c r="Q44" s="197">
        <f t="shared" si="89"/>
        <v>1726.9557858992284</v>
      </c>
      <c r="R44" s="199">
        <f t="shared" si="90"/>
        <v>2099.6997288145944</v>
      </c>
      <c r="S44" s="196">
        <f t="shared" si="135"/>
        <v>20843.66397358121</v>
      </c>
      <c r="T44" s="197">
        <f t="shared" si="91"/>
        <v>2944.0414271158488</v>
      </c>
      <c r="U44" s="197">
        <f t="shared" si="91"/>
        <v>23948.880627396313</v>
      </c>
      <c r="V44" s="197">
        <f t="shared" si="91"/>
        <v>-3105.216653815105</v>
      </c>
      <c r="W44" s="199">
        <f t="shared" si="91"/>
        <v>-161.17522669925575</v>
      </c>
      <c r="Z44" s="204">
        <f t="shared" si="136"/>
        <v>7</v>
      </c>
      <c r="AA44" s="197">
        <f>'Energy NPV'!$D97</f>
        <v>16.3</v>
      </c>
      <c r="AB44" s="197">
        <f>'Energy margins'!$Z$12</f>
        <v>269.5</v>
      </c>
      <c r="AC44" s="197">
        <f t="shared" si="137"/>
        <v>4392.8500000000004</v>
      </c>
      <c r="AD44" s="197">
        <f>'Margins summary'!$W$14</f>
        <v>471.64</v>
      </c>
      <c r="AE44" s="197">
        <f t="shared" si="92"/>
        <v>4864.4900000000007</v>
      </c>
      <c r="AF44" s="197"/>
      <c r="AG44" s="913">
        <f>'Energy NPV'!U97</f>
        <v>2207.6999999999998</v>
      </c>
      <c r="AH44" s="197"/>
      <c r="AI44" s="197">
        <f t="shared" si="93"/>
        <v>2207.6999999999998</v>
      </c>
      <c r="AJ44" s="197">
        <f t="shared" si="76"/>
        <v>2185.1500000000005</v>
      </c>
      <c r="AK44" s="197">
        <f t="shared" si="77"/>
        <v>2656.7900000000009</v>
      </c>
      <c r="AL44" s="196">
        <f t="shared" si="94"/>
        <v>3096.7859100704322</v>
      </c>
      <c r="AM44" s="197">
        <f t="shared" si="95"/>
        <v>332.48758929296889</v>
      </c>
      <c r="AN44" s="197">
        <f t="shared" si="96"/>
        <v>1556.3413851286732</v>
      </c>
      <c r="AO44" s="197">
        <f t="shared" si="97"/>
        <v>1540.444524941759</v>
      </c>
      <c r="AP44" s="199">
        <f t="shared" si="98"/>
        <v>1872.9321142347283</v>
      </c>
      <c r="AQ44" s="196">
        <f t="shared" si="138"/>
        <v>19470.382873831426</v>
      </c>
      <c r="AR44" s="197">
        <f t="shared" si="99"/>
        <v>2790.8468451171816</v>
      </c>
      <c r="AS44" s="197">
        <f t="shared" si="99"/>
        <v>23190.215389068195</v>
      </c>
      <c r="AT44" s="197">
        <f t="shared" si="99"/>
        <v>-3719.8325152367729</v>
      </c>
      <c r="AU44" s="199">
        <f t="shared" si="99"/>
        <v>-928.98567011959062</v>
      </c>
      <c r="AX44" s="204">
        <f t="shared" si="139"/>
        <v>7</v>
      </c>
      <c r="AY44" s="197">
        <f>'Energy NPV'!$D97</f>
        <v>16.3</v>
      </c>
      <c r="AZ44" s="197">
        <f>'Energy margins'!$Z$12</f>
        <v>269.5</v>
      </c>
      <c r="BA44" s="197">
        <f t="shared" si="140"/>
        <v>4392.8500000000004</v>
      </c>
      <c r="BB44" s="197">
        <f>'Margins summary'!$W$14</f>
        <v>471.64</v>
      </c>
      <c r="BC44" s="197">
        <f t="shared" si="100"/>
        <v>4864.4900000000007</v>
      </c>
      <c r="BD44" s="197"/>
      <c r="BE44" s="913">
        <f>'Energy NPV'!U97</f>
        <v>2207.6999999999998</v>
      </c>
      <c r="BF44" s="197"/>
      <c r="BG44" s="197">
        <f t="shared" si="101"/>
        <v>2207.6999999999998</v>
      </c>
      <c r="BH44" s="197">
        <f t="shared" si="78"/>
        <v>2185.1500000000005</v>
      </c>
      <c r="BI44" s="197">
        <f t="shared" si="79"/>
        <v>2656.7900000000009</v>
      </c>
      <c r="BJ44" s="196">
        <f t="shared" si="102"/>
        <v>3900.7250862366141</v>
      </c>
      <c r="BK44" s="197">
        <f t="shared" si="103"/>
        <v>418.80282269429557</v>
      </c>
      <c r="BL44" s="197">
        <f t="shared" si="104"/>
        <v>1960.374420452456</v>
      </c>
      <c r="BM44" s="197">
        <f t="shared" si="105"/>
        <v>1940.3506657841579</v>
      </c>
      <c r="BN44" s="199">
        <f t="shared" si="106"/>
        <v>2359.1534884784537</v>
      </c>
      <c r="BO44" s="196">
        <f t="shared" si="141"/>
        <v>22365.708181227536</v>
      </c>
      <c r="BP44" s="197">
        <f t="shared" si="107"/>
        <v>3113.4988652852185</v>
      </c>
      <c r="BQ44" s="197">
        <f t="shared" si="108"/>
        <v>24785.851401444856</v>
      </c>
      <c r="BR44" s="197">
        <f t="shared" si="109"/>
        <v>-2420.1432202173164</v>
      </c>
      <c r="BS44" s="199">
        <f t="shared" si="110"/>
        <v>693.35564506790024</v>
      </c>
      <c r="BV44" s="204">
        <f t="shared" si="142"/>
        <v>7</v>
      </c>
      <c r="BW44" s="197">
        <f>'Energy NPV'!$D97</f>
        <v>16.3</v>
      </c>
      <c r="BX44" s="197">
        <f>'Energy margins'!$Z$12</f>
        <v>269.5</v>
      </c>
      <c r="BY44" s="197">
        <f t="shared" si="143"/>
        <v>4392.8500000000004</v>
      </c>
      <c r="BZ44" s="197">
        <f>'Margins summary'!$W$14</f>
        <v>471.64</v>
      </c>
      <c r="CA44" s="197">
        <f t="shared" si="111"/>
        <v>4864.4900000000007</v>
      </c>
      <c r="CB44" s="197"/>
      <c r="CC44" s="913">
        <f>'Energy NPV'!U97</f>
        <v>2207.6999999999998</v>
      </c>
      <c r="CD44" s="197"/>
      <c r="CE44" s="197">
        <f t="shared" si="112"/>
        <v>2207.6999999999998</v>
      </c>
      <c r="CF44" s="197">
        <f t="shared" si="80"/>
        <v>2185.1500000000005</v>
      </c>
      <c r="CG44" s="197">
        <f t="shared" si="81"/>
        <v>2656.7900000000009</v>
      </c>
      <c r="CH44" s="196">
        <f t="shared" si="113"/>
        <v>2768.2406454534462</v>
      </c>
      <c r="CI44" s="197">
        <f t="shared" si="114"/>
        <v>297.21320282314741</v>
      </c>
      <c r="CJ44" s="197">
        <f t="shared" si="115"/>
        <v>1391.2254852698297</v>
      </c>
      <c r="CK44" s="197">
        <f t="shared" si="116"/>
        <v>1377.0151601836162</v>
      </c>
      <c r="CL44" s="199">
        <f t="shared" si="117"/>
        <v>1674.2283630067639</v>
      </c>
      <c r="CM44" s="196">
        <f t="shared" si="144"/>
        <v>18227.981882974185</v>
      </c>
      <c r="CN44" s="197">
        <f t="shared" si="118"/>
        <v>2651.9749647106555</v>
      </c>
      <c r="CO44" s="197">
        <f t="shared" si="119"/>
        <v>22500.623992426154</v>
      </c>
      <c r="CP44" s="197">
        <f t="shared" si="120"/>
        <v>-4272.6421094519728</v>
      </c>
      <c r="CQ44" s="199">
        <f t="shared" si="121"/>
        <v>-1620.6671447413175</v>
      </c>
      <c r="CT44" s="204">
        <f t="shared" si="145"/>
        <v>7</v>
      </c>
      <c r="CU44" s="197">
        <f>'Energy NPV'!$D97</f>
        <v>16.3</v>
      </c>
      <c r="CV44" s="197">
        <f>'Energy margins'!$Z$12</f>
        <v>269.5</v>
      </c>
      <c r="CW44" s="197">
        <f t="shared" si="146"/>
        <v>4392.8500000000004</v>
      </c>
      <c r="CX44" s="197">
        <f>'Margins summary'!$W$14</f>
        <v>471.64</v>
      </c>
      <c r="CY44" s="197">
        <f t="shared" si="122"/>
        <v>4864.4900000000007</v>
      </c>
      <c r="CZ44" s="197"/>
      <c r="DA44" s="913">
        <f>'Energy NPV'!U97</f>
        <v>2207.6999999999998</v>
      </c>
      <c r="DB44" s="197"/>
      <c r="DC44" s="197">
        <f t="shared" si="123"/>
        <v>2207.6999999999998</v>
      </c>
      <c r="DD44" s="197">
        <f t="shared" si="82"/>
        <v>2185.1500000000005</v>
      </c>
      <c r="DE44" s="197">
        <f t="shared" si="83"/>
        <v>2656.7900000000009</v>
      </c>
      <c r="DF44" s="196">
        <f t="shared" si="124"/>
        <v>4392.8500000000004</v>
      </c>
      <c r="DG44" s="197">
        <f t="shared" si="125"/>
        <v>471.64</v>
      </c>
      <c r="DH44" s="197">
        <f t="shared" si="126"/>
        <v>2207.6999999999998</v>
      </c>
      <c r="DI44" s="197">
        <f t="shared" si="127"/>
        <v>2185.1500000000005</v>
      </c>
      <c r="DJ44" s="199">
        <f t="shared" si="128"/>
        <v>2656.7900000000009</v>
      </c>
      <c r="DK44" s="196">
        <f t="shared" si="147"/>
        <v>24057.366666666669</v>
      </c>
      <c r="DL44" s="197">
        <f t="shared" si="129"/>
        <v>3301.4799999999996</v>
      </c>
      <c r="DM44" s="197">
        <f t="shared" si="130"/>
        <v>25711.875000000004</v>
      </c>
      <c r="DN44" s="197">
        <f t="shared" si="131"/>
        <v>-1654.5083333333305</v>
      </c>
      <c r="DO44" s="199">
        <f t="shared" si="132"/>
        <v>1646.97166666667</v>
      </c>
    </row>
    <row r="45" spans="2:119" x14ac:dyDescent="0.3">
      <c r="B45" s="204">
        <f t="shared" si="133"/>
        <v>8</v>
      </c>
      <c r="C45" s="197">
        <f>'Energy NPV'!$D98</f>
        <v>16.3</v>
      </c>
      <c r="D45" s="197">
        <f>'Energy margins'!$Z$12</f>
        <v>269.5</v>
      </c>
      <c r="E45" s="197">
        <f t="shared" si="134"/>
        <v>4392.8500000000004</v>
      </c>
      <c r="F45" s="197">
        <f>'Margins summary'!$W$14</f>
        <v>471.64</v>
      </c>
      <c r="G45" s="197">
        <f t="shared" si="84"/>
        <v>4864.4900000000007</v>
      </c>
      <c r="H45" s="197"/>
      <c r="I45" s="913">
        <f>'Energy NPV'!U98</f>
        <v>2207.6999999999998</v>
      </c>
      <c r="J45" s="197"/>
      <c r="K45" s="197">
        <f t="shared" si="85"/>
        <v>2207.6999999999998</v>
      </c>
      <c r="L45" s="197">
        <f t="shared" si="74"/>
        <v>2185.1500000000005</v>
      </c>
      <c r="M45" s="197">
        <f t="shared" si="75"/>
        <v>2656.7900000000009</v>
      </c>
      <c r="N45" s="196">
        <f t="shared" si="86"/>
        <v>3338.2049657246839</v>
      </c>
      <c r="O45" s="197">
        <f t="shared" si="87"/>
        <v>358.40763741862111</v>
      </c>
      <c r="P45" s="197">
        <f t="shared" si="88"/>
        <v>1677.670556206195</v>
      </c>
      <c r="Q45" s="197">
        <f t="shared" si="89"/>
        <v>1660.5344095184889</v>
      </c>
      <c r="R45" s="199">
        <f t="shared" si="90"/>
        <v>2018.9420469371103</v>
      </c>
      <c r="S45" s="196">
        <f t="shared" si="135"/>
        <v>24181.868939305892</v>
      </c>
      <c r="T45" s="197">
        <f t="shared" si="91"/>
        <v>3302.4490645344699</v>
      </c>
      <c r="U45" s="197">
        <f t="shared" si="91"/>
        <v>25626.551183602507</v>
      </c>
      <c r="V45" s="197">
        <f t="shared" si="91"/>
        <v>-1444.6822442966161</v>
      </c>
      <c r="W45" s="199">
        <f t="shared" si="91"/>
        <v>1857.7668202378545</v>
      </c>
      <c r="Z45" s="204">
        <f t="shared" si="136"/>
        <v>8</v>
      </c>
      <c r="AA45" s="197">
        <f>'Energy NPV'!$D98</f>
        <v>16.3</v>
      </c>
      <c r="AB45" s="197">
        <f>'Energy margins'!$Z$12</f>
        <v>269.5</v>
      </c>
      <c r="AC45" s="197">
        <f t="shared" si="137"/>
        <v>4392.8500000000004</v>
      </c>
      <c r="AD45" s="197">
        <f>'Margins summary'!$W$14</f>
        <v>471.64</v>
      </c>
      <c r="AE45" s="197">
        <f t="shared" si="92"/>
        <v>4864.4900000000007</v>
      </c>
      <c r="AF45" s="197"/>
      <c r="AG45" s="913">
        <f>'Energy NPV'!U98</f>
        <v>2207.6999999999998</v>
      </c>
      <c r="AH45" s="197"/>
      <c r="AI45" s="197">
        <f t="shared" si="93"/>
        <v>2207.6999999999998</v>
      </c>
      <c r="AJ45" s="197">
        <f t="shared" si="76"/>
        <v>2185.1500000000005</v>
      </c>
      <c r="AK45" s="197">
        <f t="shared" si="77"/>
        <v>2656.7900000000009</v>
      </c>
      <c r="AL45" s="196">
        <f t="shared" si="94"/>
        <v>2921.4961415758789</v>
      </c>
      <c r="AM45" s="197">
        <f t="shared" si="95"/>
        <v>313.66753706883856</v>
      </c>
      <c r="AN45" s="197">
        <f t="shared" si="96"/>
        <v>1468.2465897440311</v>
      </c>
      <c r="AO45" s="197">
        <f t="shared" si="97"/>
        <v>1453.2495518318478</v>
      </c>
      <c r="AP45" s="199">
        <f t="shared" si="98"/>
        <v>1766.9170889006866</v>
      </c>
      <c r="AQ45" s="196">
        <f t="shared" si="138"/>
        <v>22391.879015407307</v>
      </c>
      <c r="AR45" s="197">
        <f t="shared" si="99"/>
        <v>3104.5143821860202</v>
      </c>
      <c r="AS45" s="197">
        <f t="shared" si="99"/>
        <v>24658.461978812225</v>
      </c>
      <c r="AT45" s="197">
        <f t="shared" si="99"/>
        <v>-2266.5829634049251</v>
      </c>
      <c r="AU45" s="199">
        <f t="shared" si="99"/>
        <v>837.931418781096</v>
      </c>
      <c r="AX45" s="204">
        <f t="shared" si="139"/>
        <v>8</v>
      </c>
      <c r="AY45" s="197">
        <f>'Energy NPV'!$D98</f>
        <v>16.3</v>
      </c>
      <c r="AZ45" s="197">
        <f>'Energy margins'!$Z$12</f>
        <v>269.5</v>
      </c>
      <c r="BA45" s="197">
        <f t="shared" si="140"/>
        <v>4392.8500000000004</v>
      </c>
      <c r="BB45" s="197">
        <f>'Margins summary'!$W$14</f>
        <v>471.64</v>
      </c>
      <c r="BC45" s="197">
        <f t="shared" si="100"/>
        <v>4864.4900000000007</v>
      </c>
      <c r="BD45" s="197"/>
      <c r="BE45" s="913">
        <f>'Energy NPV'!U98</f>
        <v>2207.6999999999998</v>
      </c>
      <c r="BF45" s="197"/>
      <c r="BG45" s="197">
        <f t="shared" si="101"/>
        <v>2207.6999999999998</v>
      </c>
      <c r="BH45" s="197">
        <f t="shared" si="78"/>
        <v>2185.1500000000005</v>
      </c>
      <c r="BI45" s="197">
        <f t="shared" si="79"/>
        <v>2656.7900000000009</v>
      </c>
      <c r="BJ45" s="196">
        <f t="shared" si="102"/>
        <v>3824.2402806241321</v>
      </c>
      <c r="BK45" s="197">
        <f t="shared" si="103"/>
        <v>410.59100264146633</v>
      </c>
      <c r="BL45" s="197">
        <f t="shared" si="104"/>
        <v>1921.9357063259376</v>
      </c>
      <c r="BM45" s="197">
        <f t="shared" si="105"/>
        <v>1902.3045742981944</v>
      </c>
      <c r="BN45" s="199">
        <f t="shared" si="106"/>
        <v>2312.8955769396612</v>
      </c>
      <c r="BO45" s="196">
        <f t="shared" si="141"/>
        <v>26189.948461851669</v>
      </c>
      <c r="BP45" s="197">
        <f t="shared" si="107"/>
        <v>3524.0898679266847</v>
      </c>
      <c r="BQ45" s="197">
        <f t="shared" si="108"/>
        <v>26707.787107770793</v>
      </c>
      <c r="BR45" s="197">
        <f t="shared" si="109"/>
        <v>-517.83864591912197</v>
      </c>
      <c r="BS45" s="199">
        <f t="shared" si="110"/>
        <v>3006.2512220075614</v>
      </c>
      <c r="BV45" s="204">
        <f t="shared" si="142"/>
        <v>8</v>
      </c>
      <c r="BW45" s="197">
        <f>'Energy NPV'!$D98</f>
        <v>16.3</v>
      </c>
      <c r="BX45" s="197">
        <f>'Energy margins'!$Z$12</f>
        <v>269.5</v>
      </c>
      <c r="BY45" s="197">
        <f t="shared" si="143"/>
        <v>4392.8500000000004</v>
      </c>
      <c r="BZ45" s="197">
        <f>'Margins summary'!$W$14</f>
        <v>471.64</v>
      </c>
      <c r="CA45" s="197">
        <f t="shared" si="111"/>
        <v>4864.4900000000007</v>
      </c>
      <c r="CB45" s="197"/>
      <c r="CC45" s="913">
        <f>'Energy NPV'!U98</f>
        <v>2207.6999999999998</v>
      </c>
      <c r="CD45" s="197"/>
      <c r="CE45" s="197">
        <f t="shared" si="112"/>
        <v>2207.6999999999998</v>
      </c>
      <c r="CF45" s="197">
        <f t="shared" si="80"/>
        <v>2185.1500000000005</v>
      </c>
      <c r="CG45" s="197">
        <f t="shared" si="81"/>
        <v>2656.7900000000009</v>
      </c>
      <c r="CH45" s="196">
        <f t="shared" si="113"/>
        <v>2563.185782827265</v>
      </c>
      <c r="CI45" s="197">
        <f t="shared" si="114"/>
        <v>275.1974100214328</v>
      </c>
      <c r="CJ45" s="197">
        <f t="shared" si="115"/>
        <v>1288.1717456202127</v>
      </c>
      <c r="CK45" s="197">
        <f t="shared" si="116"/>
        <v>1275.0140372070521</v>
      </c>
      <c r="CL45" s="199">
        <f t="shared" si="117"/>
        <v>1550.211447228485</v>
      </c>
      <c r="CM45" s="196">
        <f t="shared" si="144"/>
        <v>20791.167665801451</v>
      </c>
      <c r="CN45" s="197">
        <f t="shared" si="118"/>
        <v>2927.1723747320884</v>
      </c>
      <c r="CO45" s="197">
        <f t="shared" si="119"/>
        <v>23788.795738046367</v>
      </c>
      <c r="CP45" s="197">
        <f t="shared" si="120"/>
        <v>-2997.628072244921</v>
      </c>
      <c r="CQ45" s="199">
        <f t="shared" si="121"/>
        <v>-70.455697512832558</v>
      </c>
      <c r="CT45" s="204">
        <f t="shared" si="145"/>
        <v>8</v>
      </c>
      <c r="CU45" s="197">
        <f>'Energy NPV'!$D98</f>
        <v>16.3</v>
      </c>
      <c r="CV45" s="197">
        <f>'Energy margins'!$Z$12</f>
        <v>269.5</v>
      </c>
      <c r="CW45" s="197">
        <f t="shared" si="146"/>
        <v>4392.8500000000004</v>
      </c>
      <c r="CX45" s="197">
        <f>'Margins summary'!$W$14</f>
        <v>471.64</v>
      </c>
      <c r="CY45" s="197">
        <f t="shared" si="122"/>
        <v>4864.4900000000007</v>
      </c>
      <c r="CZ45" s="197"/>
      <c r="DA45" s="913">
        <f>'Energy NPV'!U98</f>
        <v>2207.6999999999998</v>
      </c>
      <c r="DB45" s="197"/>
      <c r="DC45" s="197">
        <f t="shared" si="123"/>
        <v>2207.6999999999998</v>
      </c>
      <c r="DD45" s="197">
        <f t="shared" si="82"/>
        <v>2185.1500000000005</v>
      </c>
      <c r="DE45" s="197">
        <f t="shared" si="83"/>
        <v>2656.7900000000009</v>
      </c>
      <c r="DF45" s="196">
        <f t="shared" si="124"/>
        <v>4392.8500000000004</v>
      </c>
      <c r="DG45" s="197">
        <f t="shared" si="125"/>
        <v>471.64</v>
      </c>
      <c r="DH45" s="197">
        <f t="shared" si="126"/>
        <v>2207.6999999999998</v>
      </c>
      <c r="DI45" s="197">
        <f t="shared" si="127"/>
        <v>2185.1500000000005</v>
      </c>
      <c r="DJ45" s="199">
        <f t="shared" si="128"/>
        <v>2656.7900000000009</v>
      </c>
      <c r="DK45" s="196">
        <f t="shared" si="147"/>
        <v>28450.216666666667</v>
      </c>
      <c r="DL45" s="197">
        <f t="shared" si="129"/>
        <v>3773.1199999999994</v>
      </c>
      <c r="DM45" s="197">
        <f t="shared" si="130"/>
        <v>27919.575000000004</v>
      </c>
      <c r="DN45" s="197">
        <f t="shared" si="131"/>
        <v>530.64166666667006</v>
      </c>
      <c r="DO45" s="199">
        <f t="shared" si="132"/>
        <v>4303.7616666666709</v>
      </c>
    </row>
    <row r="46" spans="2:119" x14ac:dyDescent="0.3">
      <c r="B46" s="204">
        <f t="shared" si="133"/>
        <v>9</v>
      </c>
      <c r="C46" s="197">
        <f>'Energy NPV'!$D99</f>
        <v>16.3</v>
      </c>
      <c r="D46" s="197">
        <f>'Energy margins'!$Z$12</f>
        <v>269.5</v>
      </c>
      <c r="E46" s="197">
        <f t="shared" si="134"/>
        <v>4392.8500000000004</v>
      </c>
      <c r="F46" s="197">
        <f>'Margins summary'!$W$14</f>
        <v>471.64</v>
      </c>
      <c r="G46" s="197">
        <f t="shared" si="84"/>
        <v>4864.4900000000007</v>
      </c>
      <c r="H46" s="197"/>
      <c r="I46" s="913">
        <f>'Energy NPV'!U99</f>
        <v>2207.6999999999998</v>
      </c>
      <c r="J46" s="197"/>
      <c r="K46" s="197">
        <f t="shared" si="85"/>
        <v>2207.6999999999998</v>
      </c>
      <c r="L46" s="197">
        <f t="shared" si="74"/>
        <v>2185.1500000000005</v>
      </c>
      <c r="M46" s="197">
        <f t="shared" si="75"/>
        <v>2656.7900000000009</v>
      </c>
      <c r="N46" s="196">
        <f t="shared" si="86"/>
        <v>3209.8124670429647</v>
      </c>
      <c r="O46" s="197">
        <f t="shared" si="87"/>
        <v>344.6227282871356</v>
      </c>
      <c r="P46" s="197">
        <f t="shared" si="88"/>
        <v>1613.1447655828795</v>
      </c>
      <c r="Q46" s="197">
        <f t="shared" si="89"/>
        <v>1596.6677014600853</v>
      </c>
      <c r="R46" s="199">
        <f t="shared" si="90"/>
        <v>1941.2904297472212</v>
      </c>
      <c r="S46" s="196">
        <f t="shared" si="135"/>
        <v>27391.681406348856</v>
      </c>
      <c r="T46" s="197">
        <f t="shared" si="91"/>
        <v>3647.0717928216054</v>
      </c>
      <c r="U46" s="197">
        <f t="shared" si="91"/>
        <v>27239.695949185385</v>
      </c>
      <c r="V46" s="197">
        <f t="shared" si="91"/>
        <v>151.98545716346916</v>
      </c>
      <c r="W46" s="199">
        <f t="shared" si="91"/>
        <v>3799.0572499850759</v>
      </c>
      <c r="Z46" s="204">
        <f t="shared" si="136"/>
        <v>9</v>
      </c>
      <c r="AA46" s="197">
        <f>'Energy NPV'!$D99</f>
        <v>16.3</v>
      </c>
      <c r="AB46" s="197">
        <f>'Energy margins'!$Z$12</f>
        <v>269.5</v>
      </c>
      <c r="AC46" s="197">
        <f t="shared" si="137"/>
        <v>4392.8500000000004</v>
      </c>
      <c r="AD46" s="197">
        <f>'Margins summary'!$W$14</f>
        <v>471.64</v>
      </c>
      <c r="AE46" s="197">
        <f t="shared" si="92"/>
        <v>4864.4900000000007</v>
      </c>
      <c r="AF46" s="197"/>
      <c r="AG46" s="913">
        <f>'Energy NPV'!U99</f>
        <v>2207.6999999999998</v>
      </c>
      <c r="AH46" s="197"/>
      <c r="AI46" s="197">
        <f t="shared" si="93"/>
        <v>2207.6999999999998</v>
      </c>
      <c r="AJ46" s="197">
        <f t="shared" si="76"/>
        <v>2185.1500000000005</v>
      </c>
      <c r="AK46" s="197">
        <f t="shared" si="77"/>
        <v>2656.7900000000009</v>
      </c>
      <c r="AL46" s="196">
        <f t="shared" si="94"/>
        <v>2756.1284354489426</v>
      </c>
      <c r="AM46" s="197">
        <f t="shared" si="95"/>
        <v>295.91277081965904</v>
      </c>
      <c r="AN46" s="197">
        <f t="shared" si="96"/>
        <v>1385.1382922113503</v>
      </c>
      <c r="AO46" s="197">
        <f t="shared" si="97"/>
        <v>1370.9901432375925</v>
      </c>
      <c r="AP46" s="199">
        <f t="shared" si="98"/>
        <v>1666.9029140572518</v>
      </c>
      <c r="AQ46" s="196">
        <f t="shared" si="138"/>
        <v>25148.00745085625</v>
      </c>
      <c r="AR46" s="197">
        <f t="shared" si="99"/>
        <v>3400.4271530056794</v>
      </c>
      <c r="AS46" s="197">
        <f t="shared" si="99"/>
        <v>26043.600271023577</v>
      </c>
      <c r="AT46" s="197">
        <f t="shared" si="99"/>
        <v>-895.59282016733255</v>
      </c>
      <c r="AU46" s="199">
        <f t="shared" si="99"/>
        <v>2504.834332838348</v>
      </c>
      <c r="AX46" s="204">
        <f t="shared" si="139"/>
        <v>9</v>
      </c>
      <c r="AY46" s="197">
        <f>'Energy NPV'!$D99</f>
        <v>16.3</v>
      </c>
      <c r="AZ46" s="197">
        <f>'Energy margins'!$Z$12</f>
        <v>269.5</v>
      </c>
      <c r="BA46" s="197">
        <f t="shared" si="140"/>
        <v>4392.8500000000004</v>
      </c>
      <c r="BB46" s="197">
        <f>'Margins summary'!$W$14</f>
        <v>471.64</v>
      </c>
      <c r="BC46" s="197">
        <f t="shared" si="100"/>
        <v>4864.4900000000007</v>
      </c>
      <c r="BD46" s="197"/>
      <c r="BE46" s="913">
        <f>'Energy NPV'!U99</f>
        <v>2207.6999999999998</v>
      </c>
      <c r="BF46" s="197"/>
      <c r="BG46" s="197">
        <f t="shared" si="101"/>
        <v>2207.6999999999998</v>
      </c>
      <c r="BH46" s="197">
        <f t="shared" si="78"/>
        <v>2185.1500000000005</v>
      </c>
      <c r="BI46" s="197">
        <f t="shared" si="79"/>
        <v>2656.7900000000009</v>
      </c>
      <c r="BJ46" s="196">
        <f t="shared" si="102"/>
        <v>3749.2551770824821</v>
      </c>
      <c r="BK46" s="197">
        <f t="shared" si="103"/>
        <v>402.54019866810421</v>
      </c>
      <c r="BL46" s="197">
        <f t="shared" si="104"/>
        <v>1884.2506924764093</v>
      </c>
      <c r="BM46" s="197">
        <f t="shared" si="105"/>
        <v>1865.0044846060728</v>
      </c>
      <c r="BN46" s="199">
        <f t="shared" si="106"/>
        <v>2267.5446832741773</v>
      </c>
      <c r="BO46" s="196">
        <f t="shared" si="141"/>
        <v>29939.203638934152</v>
      </c>
      <c r="BP46" s="197">
        <f t="shared" si="107"/>
        <v>3926.6300665947888</v>
      </c>
      <c r="BQ46" s="197">
        <f t="shared" si="108"/>
        <v>28592.037800247203</v>
      </c>
      <c r="BR46" s="197">
        <f t="shared" si="109"/>
        <v>1347.1658386869508</v>
      </c>
      <c r="BS46" s="199">
        <f t="shared" si="110"/>
        <v>5273.7959052817387</v>
      </c>
      <c r="BV46" s="204">
        <f t="shared" si="142"/>
        <v>9</v>
      </c>
      <c r="BW46" s="197">
        <f>'Energy NPV'!$D99</f>
        <v>16.3</v>
      </c>
      <c r="BX46" s="197">
        <f>'Energy margins'!$Z$12</f>
        <v>269.5</v>
      </c>
      <c r="BY46" s="197">
        <f t="shared" si="143"/>
        <v>4392.8500000000004</v>
      </c>
      <c r="BZ46" s="197">
        <f>'Margins summary'!$W$14</f>
        <v>471.64</v>
      </c>
      <c r="CA46" s="197">
        <f t="shared" si="111"/>
        <v>4864.4900000000007</v>
      </c>
      <c r="CB46" s="197"/>
      <c r="CC46" s="913">
        <f>'Energy NPV'!U99</f>
        <v>2207.6999999999998</v>
      </c>
      <c r="CD46" s="197"/>
      <c r="CE46" s="197">
        <f t="shared" si="112"/>
        <v>2207.6999999999998</v>
      </c>
      <c r="CF46" s="197">
        <f t="shared" si="80"/>
        <v>2185.1500000000005</v>
      </c>
      <c r="CG46" s="197">
        <f t="shared" si="81"/>
        <v>2656.7900000000009</v>
      </c>
      <c r="CH46" s="196">
        <f t="shared" si="113"/>
        <v>2373.3201692845046</v>
      </c>
      <c r="CI46" s="197">
        <f t="shared" si="114"/>
        <v>254.81241668651185</v>
      </c>
      <c r="CJ46" s="197">
        <f t="shared" si="115"/>
        <v>1192.7516163150119</v>
      </c>
      <c r="CK46" s="197">
        <f t="shared" si="116"/>
        <v>1180.5685529694927</v>
      </c>
      <c r="CL46" s="199">
        <f t="shared" si="117"/>
        <v>1435.3809696560047</v>
      </c>
      <c r="CM46" s="196">
        <f t="shared" si="144"/>
        <v>23164.487835085954</v>
      </c>
      <c r="CN46" s="197">
        <f t="shared" si="118"/>
        <v>3181.9847914186003</v>
      </c>
      <c r="CO46" s="197">
        <f t="shared" si="119"/>
        <v>24981.547354361377</v>
      </c>
      <c r="CP46" s="197">
        <f t="shared" si="120"/>
        <v>-1817.0595192754283</v>
      </c>
      <c r="CQ46" s="199">
        <f t="shared" si="121"/>
        <v>1364.9252721431722</v>
      </c>
      <c r="CT46" s="204">
        <f t="shared" si="145"/>
        <v>9</v>
      </c>
      <c r="CU46" s="197">
        <f>'Energy NPV'!$D99</f>
        <v>16.3</v>
      </c>
      <c r="CV46" s="197">
        <f>'Energy margins'!$Z$12</f>
        <v>269.5</v>
      </c>
      <c r="CW46" s="197">
        <f t="shared" si="146"/>
        <v>4392.8500000000004</v>
      </c>
      <c r="CX46" s="197">
        <f>'Margins summary'!$W$14</f>
        <v>471.64</v>
      </c>
      <c r="CY46" s="197">
        <f t="shared" si="122"/>
        <v>4864.4900000000007</v>
      </c>
      <c r="CZ46" s="197"/>
      <c r="DA46" s="913">
        <f>'Energy NPV'!U99</f>
        <v>2207.6999999999998</v>
      </c>
      <c r="DB46" s="197"/>
      <c r="DC46" s="197">
        <f t="shared" si="123"/>
        <v>2207.6999999999998</v>
      </c>
      <c r="DD46" s="197">
        <f t="shared" si="82"/>
        <v>2185.1500000000005</v>
      </c>
      <c r="DE46" s="197">
        <f t="shared" si="83"/>
        <v>2656.7900000000009</v>
      </c>
      <c r="DF46" s="196">
        <f t="shared" si="124"/>
        <v>4392.8500000000004</v>
      </c>
      <c r="DG46" s="197">
        <f t="shared" si="125"/>
        <v>471.64</v>
      </c>
      <c r="DH46" s="197">
        <f t="shared" si="126"/>
        <v>2207.6999999999998</v>
      </c>
      <c r="DI46" s="197">
        <f t="shared" si="127"/>
        <v>2185.1500000000005</v>
      </c>
      <c r="DJ46" s="199">
        <f t="shared" si="128"/>
        <v>2656.7900000000009</v>
      </c>
      <c r="DK46" s="196">
        <f t="shared" si="147"/>
        <v>32843.066666666666</v>
      </c>
      <c r="DL46" s="197">
        <f t="shared" si="129"/>
        <v>4244.7599999999993</v>
      </c>
      <c r="DM46" s="197">
        <f t="shared" si="130"/>
        <v>30127.275000000005</v>
      </c>
      <c r="DN46" s="197">
        <f t="shared" si="131"/>
        <v>2715.7916666666706</v>
      </c>
      <c r="DO46" s="199">
        <f t="shared" si="132"/>
        <v>6960.5516666666717</v>
      </c>
    </row>
    <row r="47" spans="2:119" x14ac:dyDescent="0.3">
      <c r="B47" s="204">
        <f t="shared" si="133"/>
        <v>10</v>
      </c>
      <c r="C47" s="197">
        <f>'Energy NPV'!$D100</f>
        <v>16.3</v>
      </c>
      <c r="D47" s="197">
        <f>'Energy margins'!$Z$12</f>
        <v>269.5</v>
      </c>
      <c r="E47" s="197">
        <f t="shared" si="134"/>
        <v>4392.8500000000004</v>
      </c>
      <c r="F47" s="197">
        <f>'Margins summary'!$W$14</f>
        <v>471.64</v>
      </c>
      <c r="G47" s="197">
        <f t="shared" si="84"/>
        <v>4864.4900000000007</v>
      </c>
      <c r="H47" s="197"/>
      <c r="I47" s="913">
        <f>'Energy NPV'!U100</f>
        <v>2207.6999999999998</v>
      </c>
      <c r="J47" s="197"/>
      <c r="K47" s="197">
        <f t="shared" si="85"/>
        <v>2207.6999999999998</v>
      </c>
      <c r="L47" s="197">
        <f t="shared" si="74"/>
        <v>2185.1500000000005</v>
      </c>
      <c r="M47" s="197">
        <f t="shared" si="75"/>
        <v>2656.7900000000009</v>
      </c>
      <c r="N47" s="196">
        <f t="shared" si="86"/>
        <v>3086.3581413874658</v>
      </c>
      <c r="O47" s="197">
        <f t="shared" si="87"/>
        <v>331.36800796839958</v>
      </c>
      <c r="P47" s="197">
        <f t="shared" si="88"/>
        <v>1551.100736137384</v>
      </c>
      <c r="Q47" s="197">
        <f t="shared" si="89"/>
        <v>1535.2574052500818</v>
      </c>
      <c r="R47" s="199">
        <f t="shared" si="90"/>
        <v>1866.6254132184818</v>
      </c>
      <c r="S47" s="196">
        <f t="shared" si="135"/>
        <v>30478.039547736324</v>
      </c>
      <c r="T47" s="197">
        <f t="shared" si="91"/>
        <v>3978.4398007900049</v>
      </c>
      <c r="U47" s="197">
        <f t="shared" si="91"/>
        <v>28790.79668532277</v>
      </c>
      <c r="V47" s="197">
        <f t="shared" si="91"/>
        <v>1687.2428624135509</v>
      </c>
      <c r="W47" s="199">
        <f t="shared" si="91"/>
        <v>5665.6826632035572</v>
      </c>
      <c r="Z47" s="204">
        <f t="shared" si="136"/>
        <v>10</v>
      </c>
      <c r="AA47" s="197">
        <f>'Energy NPV'!$D100</f>
        <v>16.3</v>
      </c>
      <c r="AB47" s="197">
        <f>'Energy margins'!$Z$12</f>
        <v>269.5</v>
      </c>
      <c r="AC47" s="197">
        <f t="shared" si="137"/>
        <v>4392.8500000000004</v>
      </c>
      <c r="AD47" s="197">
        <f>'Margins summary'!$W$14</f>
        <v>471.64</v>
      </c>
      <c r="AE47" s="197">
        <f t="shared" si="92"/>
        <v>4864.4900000000007</v>
      </c>
      <c r="AF47" s="197"/>
      <c r="AG47" s="913">
        <f>'Energy NPV'!U100</f>
        <v>2207.6999999999998</v>
      </c>
      <c r="AH47" s="197"/>
      <c r="AI47" s="197">
        <f t="shared" si="93"/>
        <v>2207.6999999999998</v>
      </c>
      <c r="AJ47" s="197">
        <f t="shared" si="76"/>
        <v>2185.1500000000005</v>
      </c>
      <c r="AK47" s="197">
        <f t="shared" si="77"/>
        <v>2656.7900000000009</v>
      </c>
      <c r="AL47" s="196">
        <f t="shared" si="94"/>
        <v>2600.1211655178704</v>
      </c>
      <c r="AM47" s="197">
        <f t="shared" si="95"/>
        <v>279.16299133930096</v>
      </c>
      <c r="AN47" s="197">
        <f t="shared" si="96"/>
        <v>1306.734237935236</v>
      </c>
      <c r="AO47" s="197">
        <f t="shared" si="97"/>
        <v>1293.3869275826344</v>
      </c>
      <c r="AP47" s="199">
        <f t="shared" si="98"/>
        <v>1572.5499189219356</v>
      </c>
      <c r="AQ47" s="196">
        <f t="shared" si="138"/>
        <v>27748.128616374121</v>
      </c>
      <c r="AR47" s="197">
        <f t="shared" si="99"/>
        <v>3679.5901443449802</v>
      </c>
      <c r="AS47" s="197">
        <f t="shared" si="99"/>
        <v>27350.334508958815</v>
      </c>
      <c r="AT47" s="197">
        <f t="shared" si="99"/>
        <v>397.79410741530182</v>
      </c>
      <c r="AU47" s="199">
        <f t="shared" si="99"/>
        <v>4077.3842517602834</v>
      </c>
      <c r="AX47" s="204">
        <f t="shared" si="139"/>
        <v>10</v>
      </c>
      <c r="AY47" s="197">
        <f>'Energy NPV'!$D100</f>
        <v>16.3</v>
      </c>
      <c r="AZ47" s="197">
        <f>'Energy margins'!$Z$12</f>
        <v>269.5</v>
      </c>
      <c r="BA47" s="197">
        <f t="shared" si="140"/>
        <v>4392.8500000000004</v>
      </c>
      <c r="BB47" s="197">
        <f>'Margins summary'!$W$14</f>
        <v>471.64</v>
      </c>
      <c r="BC47" s="197">
        <f t="shared" si="100"/>
        <v>4864.4900000000007</v>
      </c>
      <c r="BD47" s="197"/>
      <c r="BE47" s="913">
        <f>'Energy NPV'!U100</f>
        <v>2207.6999999999998</v>
      </c>
      <c r="BF47" s="197"/>
      <c r="BG47" s="197">
        <f t="shared" si="101"/>
        <v>2207.6999999999998</v>
      </c>
      <c r="BH47" s="197">
        <f t="shared" si="78"/>
        <v>2185.1500000000005</v>
      </c>
      <c r="BI47" s="197">
        <f t="shared" si="79"/>
        <v>2656.7900000000009</v>
      </c>
      <c r="BJ47" s="196">
        <f t="shared" si="102"/>
        <v>3675.7403696887077</v>
      </c>
      <c r="BK47" s="197">
        <f t="shared" si="103"/>
        <v>394.64725359618063</v>
      </c>
      <c r="BL47" s="197">
        <f t="shared" si="104"/>
        <v>1847.304600467068</v>
      </c>
      <c r="BM47" s="197">
        <f t="shared" si="105"/>
        <v>1828.4357692216399</v>
      </c>
      <c r="BN47" s="199">
        <f t="shared" si="106"/>
        <v>2223.0830228178211</v>
      </c>
      <c r="BO47" s="196">
        <f t="shared" si="141"/>
        <v>33614.944008622857</v>
      </c>
      <c r="BP47" s="197">
        <f t="shared" si="107"/>
        <v>4321.2773201909695</v>
      </c>
      <c r="BQ47" s="197">
        <f t="shared" si="108"/>
        <v>30439.342400714271</v>
      </c>
      <c r="BR47" s="197">
        <f t="shared" si="109"/>
        <v>3175.6016079085907</v>
      </c>
      <c r="BS47" s="199">
        <f t="shared" si="110"/>
        <v>7496.8789280995597</v>
      </c>
      <c r="BV47" s="204">
        <f t="shared" si="142"/>
        <v>10</v>
      </c>
      <c r="BW47" s="197">
        <f>'Energy NPV'!$D100</f>
        <v>16.3</v>
      </c>
      <c r="BX47" s="197">
        <f>'Energy margins'!$Z$12</f>
        <v>269.5</v>
      </c>
      <c r="BY47" s="197">
        <f t="shared" si="143"/>
        <v>4392.8500000000004</v>
      </c>
      <c r="BZ47" s="197">
        <f>'Margins summary'!$W$14</f>
        <v>471.64</v>
      </c>
      <c r="CA47" s="197">
        <f t="shared" si="111"/>
        <v>4864.4900000000007</v>
      </c>
      <c r="CB47" s="197"/>
      <c r="CC47" s="913">
        <f>'Energy NPV'!U100</f>
        <v>2207.6999999999998</v>
      </c>
      <c r="CD47" s="197"/>
      <c r="CE47" s="197">
        <f t="shared" si="112"/>
        <v>2207.6999999999998</v>
      </c>
      <c r="CF47" s="197">
        <f t="shared" si="80"/>
        <v>2185.1500000000005</v>
      </c>
      <c r="CG47" s="197">
        <f t="shared" si="81"/>
        <v>2656.7900000000009</v>
      </c>
      <c r="CH47" s="196">
        <f t="shared" si="113"/>
        <v>2197.5186752634299</v>
      </c>
      <c r="CI47" s="197">
        <f t="shared" si="114"/>
        <v>235.93742285788133</v>
      </c>
      <c r="CJ47" s="197">
        <f t="shared" si="115"/>
        <v>1104.3996447361219</v>
      </c>
      <c r="CK47" s="197">
        <f t="shared" si="116"/>
        <v>1093.1190305273078</v>
      </c>
      <c r="CL47" s="199">
        <f t="shared" si="117"/>
        <v>1329.0564533851893</v>
      </c>
      <c r="CM47" s="196">
        <f t="shared" si="144"/>
        <v>25362.006510349383</v>
      </c>
      <c r="CN47" s="197">
        <f t="shared" si="118"/>
        <v>3417.9222142764816</v>
      </c>
      <c r="CO47" s="197">
        <f t="shared" si="119"/>
        <v>26085.946999097498</v>
      </c>
      <c r="CP47" s="197">
        <f t="shared" si="120"/>
        <v>-723.94048874812052</v>
      </c>
      <c r="CQ47" s="199">
        <f t="shared" si="121"/>
        <v>2693.9817255283615</v>
      </c>
      <c r="CT47" s="204">
        <f t="shared" si="145"/>
        <v>10</v>
      </c>
      <c r="CU47" s="197">
        <f>'Energy NPV'!$D100</f>
        <v>16.3</v>
      </c>
      <c r="CV47" s="197">
        <f>'Energy margins'!$Z$12</f>
        <v>269.5</v>
      </c>
      <c r="CW47" s="197">
        <f t="shared" si="146"/>
        <v>4392.8500000000004</v>
      </c>
      <c r="CX47" s="197">
        <f>'Margins summary'!$W$14</f>
        <v>471.64</v>
      </c>
      <c r="CY47" s="197">
        <f t="shared" si="122"/>
        <v>4864.4900000000007</v>
      </c>
      <c r="CZ47" s="197"/>
      <c r="DA47" s="913">
        <f>'Energy NPV'!U100</f>
        <v>2207.6999999999998</v>
      </c>
      <c r="DB47" s="197"/>
      <c r="DC47" s="197">
        <f t="shared" si="123"/>
        <v>2207.6999999999998</v>
      </c>
      <c r="DD47" s="197">
        <f t="shared" si="82"/>
        <v>2185.1500000000005</v>
      </c>
      <c r="DE47" s="197">
        <f t="shared" si="83"/>
        <v>2656.7900000000009</v>
      </c>
      <c r="DF47" s="196">
        <f t="shared" si="124"/>
        <v>4392.8500000000004</v>
      </c>
      <c r="DG47" s="197">
        <f t="shared" si="125"/>
        <v>471.64</v>
      </c>
      <c r="DH47" s="197">
        <f t="shared" si="126"/>
        <v>2207.6999999999998</v>
      </c>
      <c r="DI47" s="197">
        <f t="shared" si="127"/>
        <v>2185.1500000000005</v>
      </c>
      <c r="DJ47" s="199">
        <f t="shared" si="128"/>
        <v>2656.7900000000009</v>
      </c>
      <c r="DK47" s="196">
        <f t="shared" si="147"/>
        <v>37235.916666666664</v>
      </c>
      <c r="DL47" s="197">
        <f t="shared" si="129"/>
        <v>4716.3999999999996</v>
      </c>
      <c r="DM47" s="197">
        <f t="shared" si="130"/>
        <v>32334.975000000006</v>
      </c>
      <c r="DN47" s="197">
        <f t="shared" si="131"/>
        <v>4900.9416666666712</v>
      </c>
      <c r="DO47" s="199">
        <f t="shared" si="132"/>
        <v>9617.3416666666726</v>
      </c>
    </row>
    <row r="48" spans="2:119" x14ac:dyDescent="0.3">
      <c r="B48" s="204">
        <f t="shared" si="133"/>
        <v>11</v>
      </c>
      <c r="C48" s="197">
        <f>'Energy NPV'!$D101</f>
        <v>16.3</v>
      </c>
      <c r="D48" s="197">
        <f>'Energy margins'!$Z$12</f>
        <v>269.5</v>
      </c>
      <c r="E48" s="197">
        <f t="shared" si="134"/>
        <v>4392.8500000000004</v>
      </c>
      <c r="F48" s="197">
        <f>'Margins summary'!$W$14</f>
        <v>471.64</v>
      </c>
      <c r="G48" s="197">
        <f t="shared" si="84"/>
        <v>4864.4900000000007</v>
      </c>
      <c r="H48" s="197"/>
      <c r="I48" s="913">
        <f>'Energy NPV'!U101</f>
        <v>2207.6999999999998</v>
      </c>
      <c r="J48" s="197"/>
      <c r="K48" s="197">
        <f t="shared" si="85"/>
        <v>2207.6999999999998</v>
      </c>
      <c r="L48" s="197">
        <f t="shared" si="74"/>
        <v>2185.1500000000005</v>
      </c>
      <c r="M48" s="197">
        <f t="shared" si="75"/>
        <v>2656.7900000000009</v>
      </c>
      <c r="N48" s="196">
        <f t="shared" si="86"/>
        <v>2967.6520590264095</v>
      </c>
      <c r="O48" s="197">
        <f t="shared" si="87"/>
        <v>318.62308458499962</v>
      </c>
      <c r="P48" s="197">
        <f t="shared" si="88"/>
        <v>1491.4430155167154</v>
      </c>
      <c r="Q48" s="197">
        <f t="shared" si="89"/>
        <v>1476.2090435096941</v>
      </c>
      <c r="R48" s="199">
        <f t="shared" si="90"/>
        <v>1794.8321280946939</v>
      </c>
      <c r="S48" s="196">
        <f t="shared" si="135"/>
        <v>33445.691606762732</v>
      </c>
      <c r="T48" s="197">
        <f t="shared" si="91"/>
        <v>4297.062885375005</v>
      </c>
      <c r="U48" s="197">
        <f t="shared" si="91"/>
        <v>30282.239700839484</v>
      </c>
      <c r="V48" s="197">
        <f t="shared" si="91"/>
        <v>3163.4519059232452</v>
      </c>
      <c r="W48" s="199">
        <f t="shared" si="91"/>
        <v>7460.5147912982511</v>
      </c>
      <c r="Z48" s="204">
        <f t="shared" si="136"/>
        <v>11</v>
      </c>
      <c r="AA48" s="197">
        <f>'Energy NPV'!$D101</f>
        <v>16.3</v>
      </c>
      <c r="AB48" s="197">
        <f>'Energy margins'!$Z$12</f>
        <v>269.5</v>
      </c>
      <c r="AC48" s="197">
        <f t="shared" si="137"/>
        <v>4392.8500000000004</v>
      </c>
      <c r="AD48" s="197">
        <f>'Margins summary'!$W$14</f>
        <v>471.64</v>
      </c>
      <c r="AE48" s="197">
        <f t="shared" si="92"/>
        <v>4864.4900000000007</v>
      </c>
      <c r="AF48" s="197"/>
      <c r="AG48" s="913">
        <f>'Energy NPV'!U101</f>
        <v>2207.6999999999998</v>
      </c>
      <c r="AH48" s="197"/>
      <c r="AI48" s="197">
        <f t="shared" si="93"/>
        <v>2207.6999999999998</v>
      </c>
      <c r="AJ48" s="197">
        <f t="shared" si="76"/>
        <v>2185.1500000000005</v>
      </c>
      <c r="AK48" s="197">
        <f t="shared" si="77"/>
        <v>2656.7900000000009</v>
      </c>
      <c r="AL48" s="196">
        <f t="shared" si="94"/>
        <v>2452.9444957715759</v>
      </c>
      <c r="AM48" s="197">
        <f t="shared" si="95"/>
        <v>263.36131258424621</v>
      </c>
      <c r="AN48" s="197">
        <f t="shared" si="96"/>
        <v>1232.7681489955057</v>
      </c>
      <c r="AO48" s="197">
        <f t="shared" si="97"/>
        <v>1220.1763467760702</v>
      </c>
      <c r="AP48" s="199">
        <f t="shared" si="98"/>
        <v>1483.5376593603164</v>
      </c>
      <c r="AQ48" s="196">
        <f t="shared" si="138"/>
        <v>30201.073112145696</v>
      </c>
      <c r="AR48" s="197">
        <f t="shared" si="99"/>
        <v>3942.9514569292264</v>
      </c>
      <c r="AS48" s="197">
        <f t="shared" si="99"/>
        <v>28583.102657954321</v>
      </c>
      <c r="AT48" s="197">
        <f t="shared" si="99"/>
        <v>1617.970454191372</v>
      </c>
      <c r="AU48" s="199">
        <f t="shared" si="99"/>
        <v>5560.9219111206003</v>
      </c>
      <c r="AX48" s="204">
        <f t="shared" si="139"/>
        <v>11</v>
      </c>
      <c r="AY48" s="197">
        <f>'Energy NPV'!$D101</f>
        <v>16.3</v>
      </c>
      <c r="AZ48" s="197">
        <f>'Energy margins'!$Z$12</f>
        <v>269.5</v>
      </c>
      <c r="BA48" s="197">
        <f t="shared" si="140"/>
        <v>4392.8500000000004</v>
      </c>
      <c r="BB48" s="197">
        <f>'Margins summary'!$W$14</f>
        <v>471.64</v>
      </c>
      <c r="BC48" s="197">
        <f t="shared" si="100"/>
        <v>4864.4900000000007</v>
      </c>
      <c r="BD48" s="197"/>
      <c r="BE48" s="913">
        <f>'Energy NPV'!U101</f>
        <v>2207.6999999999998</v>
      </c>
      <c r="BF48" s="197"/>
      <c r="BG48" s="197">
        <f t="shared" si="101"/>
        <v>2207.6999999999998</v>
      </c>
      <c r="BH48" s="197">
        <f t="shared" si="78"/>
        <v>2185.1500000000005</v>
      </c>
      <c r="BI48" s="197">
        <f t="shared" si="79"/>
        <v>2656.7900000000009</v>
      </c>
      <c r="BJ48" s="196">
        <f t="shared" si="102"/>
        <v>3603.6670291065761</v>
      </c>
      <c r="BK48" s="197">
        <f t="shared" si="103"/>
        <v>386.90907215311825</v>
      </c>
      <c r="BL48" s="197">
        <f t="shared" si="104"/>
        <v>1811.0829416343802</v>
      </c>
      <c r="BM48" s="197">
        <f t="shared" si="105"/>
        <v>1792.584087472196</v>
      </c>
      <c r="BN48" s="199">
        <f t="shared" si="106"/>
        <v>2179.4931596253145</v>
      </c>
      <c r="BO48" s="196">
        <f t="shared" si="141"/>
        <v>37218.611037729432</v>
      </c>
      <c r="BP48" s="197">
        <f t="shared" si="107"/>
        <v>4708.1863923440878</v>
      </c>
      <c r="BQ48" s="197">
        <f t="shared" si="108"/>
        <v>32250.425342348652</v>
      </c>
      <c r="BR48" s="197">
        <f t="shared" si="109"/>
        <v>4968.1856953807865</v>
      </c>
      <c r="BS48" s="199">
        <f t="shared" si="110"/>
        <v>9676.3720877248743</v>
      </c>
      <c r="BV48" s="204">
        <f t="shared" si="142"/>
        <v>11</v>
      </c>
      <c r="BW48" s="197">
        <f>'Energy NPV'!$D101</f>
        <v>16.3</v>
      </c>
      <c r="BX48" s="197">
        <f>'Energy margins'!$Z$12</f>
        <v>269.5</v>
      </c>
      <c r="BY48" s="197">
        <f t="shared" si="143"/>
        <v>4392.8500000000004</v>
      </c>
      <c r="BZ48" s="197">
        <f>'Margins summary'!$W$14</f>
        <v>471.64</v>
      </c>
      <c r="CA48" s="197">
        <f t="shared" si="111"/>
        <v>4864.4900000000007</v>
      </c>
      <c r="CB48" s="197"/>
      <c r="CC48" s="913">
        <f>'Energy NPV'!U101</f>
        <v>2207.6999999999998</v>
      </c>
      <c r="CD48" s="197"/>
      <c r="CE48" s="197">
        <f t="shared" si="112"/>
        <v>2207.6999999999998</v>
      </c>
      <c r="CF48" s="197">
        <f t="shared" si="80"/>
        <v>2185.1500000000005</v>
      </c>
      <c r="CG48" s="197">
        <f t="shared" si="81"/>
        <v>2656.7900000000009</v>
      </c>
      <c r="CH48" s="196">
        <f t="shared" si="113"/>
        <v>2034.7395141328054</v>
      </c>
      <c r="CI48" s="197">
        <f t="shared" si="114"/>
        <v>218.46057672026046</v>
      </c>
      <c r="CJ48" s="197">
        <f t="shared" si="115"/>
        <v>1022.5922636445573</v>
      </c>
      <c r="CK48" s="197">
        <f t="shared" si="116"/>
        <v>1012.147250488248</v>
      </c>
      <c r="CL48" s="199">
        <f t="shared" si="117"/>
        <v>1230.6078272085088</v>
      </c>
      <c r="CM48" s="196">
        <f t="shared" si="144"/>
        <v>27396.746024482189</v>
      </c>
      <c r="CN48" s="197">
        <f t="shared" si="118"/>
        <v>3636.3827909967422</v>
      </c>
      <c r="CO48" s="197">
        <f t="shared" si="119"/>
        <v>27108.539262742055</v>
      </c>
      <c r="CP48" s="197">
        <f t="shared" si="120"/>
        <v>288.20676174012749</v>
      </c>
      <c r="CQ48" s="199">
        <f t="shared" si="121"/>
        <v>3924.5895527368702</v>
      </c>
      <c r="CT48" s="204">
        <f t="shared" si="145"/>
        <v>11</v>
      </c>
      <c r="CU48" s="197">
        <f>'Energy NPV'!$D101</f>
        <v>16.3</v>
      </c>
      <c r="CV48" s="197">
        <f>'Energy margins'!$Z$12</f>
        <v>269.5</v>
      </c>
      <c r="CW48" s="197">
        <f t="shared" si="146"/>
        <v>4392.8500000000004</v>
      </c>
      <c r="CX48" s="197">
        <f>'Margins summary'!$W$14</f>
        <v>471.64</v>
      </c>
      <c r="CY48" s="197">
        <f t="shared" si="122"/>
        <v>4864.4900000000007</v>
      </c>
      <c r="CZ48" s="197"/>
      <c r="DA48" s="913">
        <f>'Energy NPV'!U101</f>
        <v>2207.6999999999998</v>
      </c>
      <c r="DB48" s="197"/>
      <c r="DC48" s="197">
        <f t="shared" si="123"/>
        <v>2207.6999999999998</v>
      </c>
      <c r="DD48" s="197">
        <f t="shared" si="82"/>
        <v>2185.1500000000005</v>
      </c>
      <c r="DE48" s="197">
        <f t="shared" si="83"/>
        <v>2656.7900000000009</v>
      </c>
      <c r="DF48" s="196">
        <f t="shared" si="124"/>
        <v>4392.8500000000004</v>
      </c>
      <c r="DG48" s="197">
        <f t="shared" si="125"/>
        <v>471.64</v>
      </c>
      <c r="DH48" s="197">
        <f t="shared" si="126"/>
        <v>2207.6999999999998</v>
      </c>
      <c r="DI48" s="197">
        <f t="shared" si="127"/>
        <v>2185.1500000000005</v>
      </c>
      <c r="DJ48" s="199">
        <f t="shared" si="128"/>
        <v>2656.7900000000009</v>
      </c>
      <c r="DK48" s="196">
        <f t="shared" si="147"/>
        <v>41628.766666666663</v>
      </c>
      <c r="DL48" s="197">
        <f t="shared" si="129"/>
        <v>5188.04</v>
      </c>
      <c r="DM48" s="197">
        <f t="shared" si="130"/>
        <v>34542.675000000003</v>
      </c>
      <c r="DN48" s="197">
        <f t="shared" si="131"/>
        <v>7086.0916666666717</v>
      </c>
      <c r="DO48" s="199">
        <f t="shared" si="132"/>
        <v>12274.131666666673</v>
      </c>
    </row>
    <row r="49" spans="2:129" x14ac:dyDescent="0.3">
      <c r="B49" s="204">
        <f t="shared" si="133"/>
        <v>12</v>
      </c>
      <c r="C49" s="197">
        <f>'Energy NPV'!$D102</f>
        <v>16.3</v>
      </c>
      <c r="D49" s="197">
        <f>'Energy margins'!$Z$12</f>
        <v>269.5</v>
      </c>
      <c r="E49" s="197">
        <f t="shared" si="134"/>
        <v>4392.8500000000004</v>
      </c>
      <c r="F49" s="197">
        <f>'Margins summary'!$W$14</f>
        <v>471.64</v>
      </c>
      <c r="G49" s="197">
        <f t="shared" si="84"/>
        <v>4864.4900000000007</v>
      </c>
      <c r="H49" s="197"/>
      <c r="I49" s="913">
        <f>'Energy NPV'!U102</f>
        <v>2207.6999999999998</v>
      </c>
      <c r="J49" s="197"/>
      <c r="K49" s="197">
        <f t="shared" si="85"/>
        <v>2207.6999999999998</v>
      </c>
      <c r="L49" s="197">
        <f t="shared" si="74"/>
        <v>2185.1500000000005</v>
      </c>
      <c r="M49" s="197">
        <f t="shared" si="75"/>
        <v>2656.7900000000009</v>
      </c>
      <c r="N49" s="196">
        <f t="shared" si="86"/>
        <v>2853.5115952177016</v>
      </c>
      <c r="O49" s="197">
        <f t="shared" si="87"/>
        <v>306.36835056249964</v>
      </c>
      <c r="P49" s="197">
        <f t="shared" si="88"/>
        <v>1434.0798226122265</v>
      </c>
      <c r="Q49" s="197">
        <f t="shared" si="89"/>
        <v>1419.4317726054751</v>
      </c>
      <c r="R49" s="199">
        <f t="shared" si="90"/>
        <v>1725.800123167975</v>
      </c>
      <c r="S49" s="196">
        <f t="shared" si="135"/>
        <v>36299.203201980432</v>
      </c>
      <c r="T49" s="197">
        <f t="shared" si="91"/>
        <v>4603.4312359375044</v>
      </c>
      <c r="U49" s="197">
        <f t="shared" si="91"/>
        <v>31716.319523451712</v>
      </c>
      <c r="V49" s="197">
        <f t="shared" si="91"/>
        <v>4582.8836785287203</v>
      </c>
      <c r="W49" s="199">
        <f t="shared" si="91"/>
        <v>9186.3149144662257</v>
      </c>
      <c r="Z49" s="204">
        <f t="shared" si="136"/>
        <v>12</v>
      </c>
      <c r="AA49" s="197">
        <f>'Energy NPV'!$D102</f>
        <v>16.3</v>
      </c>
      <c r="AB49" s="197">
        <f>'Energy margins'!$Z$12</f>
        <v>269.5</v>
      </c>
      <c r="AC49" s="197">
        <f t="shared" si="137"/>
        <v>4392.8500000000004</v>
      </c>
      <c r="AD49" s="197">
        <f>'Margins summary'!$W$14</f>
        <v>471.64</v>
      </c>
      <c r="AE49" s="197">
        <f t="shared" si="92"/>
        <v>4864.4900000000007</v>
      </c>
      <c r="AF49" s="197"/>
      <c r="AG49" s="913">
        <f>'Energy NPV'!U102</f>
        <v>2207.6999999999998</v>
      </c>
      <c r="AH49" s="197"/>
      <c r="AI49" s="197">
        <f t="shared" si="93"/>
        <v>2207.6999999999998</v>
      </c>
      <c r="AJ49" s="197">
        <f t="shared" si="76"/>
        <v>2185.1500000000005</v>
      </c>
      <c r="AK49" s="197">
        <f t="shared" si="77"/>
        <v>2656.7900000000009</v>
      </c>
      <c r="AL49" s="196">
        <f t="shared" si="94"/>
        <v>2314.0985809165804</v>
      </c>
      <c r="AM49" s="197">
        <f t="shared" si="95"/>
        <v>248.45406847570391</v>
      </c>
      <c r="AN49" s="197">
        <f t="shared" si="96"/>
        <v>1162.9888198070805</v>
      </c>
      <c r="AO49" s="197">
        <f t="shared" si="97"/>
        <v>1151.1097611094999</v>
      </c>
      <c r="AP49" s="199">
        <f t="shared" si="98"/>
        <v>1399.5638295852041</v>
      </c>
      <c r="AQ49" s="196">
        <f t="shared" si="138"/>
        <v>32515.171693062275</v>
      </c>
      <c r="AR49" s="197">
        <f t="shared" si="99"/>
        <v>4191.4055254049299</v>
      </c>
      <c r="AS49" s="197">
        <f t="shared" si="99"/>
        <v>29746.091477761402</v>
      </c>
      <c r="AT49" s="197">
        <f t="shared" si="99"/>
        <v>2769.0802153008717</v>
      </c>
      <c r="AU49" s="199">
        <f t="shared" si="99"/>
        <v>6960.4857407058043</v>
      </c>
      <c r="AX49" s="204">
        <f t="shared" si="139"/>
        <v>12</v>
      </c>
      <c r="AY49" s="197">
        <f>'Energy NPV'!$D102</f>
        <v>16.3</v>
      </c>
      <c r="AZ49" s="197">
        <f>'Energy margins'!$Z$12</f>
        <v>269.5</v>
      </c>
      <c r="BA49" s="197">
        <f t="shared" si="140"/>
        <v>4392.8500000000004</v>
      </c>
      <c r="BB49" s="197">
        <f>'Margins summary'!$W$14</f>
        <v>471.64</v>
      </c>
      <c r="BC49" s="197">
        <f t="shared" si="100"/>
        <v>4864.4900000000007</v>
      </c>
      <c r="BD49" s="197"/>
      <c r="BE49" s="913">
        <f>'Energy NPV'!U102</f>
        <v>2207.6999999999998</v>
      </c>
      <c r="BF49" s="197"/>
      <c r="BG49" s="197">
        <f t="shared" si="101"/>
        <v>2207.6999999999998</v>
      </c>
      <c r="BH49" s="197">
        <f t="shared" si="78"/>
        <v>2185.1500000000005</v>
      </c>
      <c r="BI49" s="197">
        <f t="shared" si="79"/>
        <v>2656.7900000000009</v>
      </c>
      <c r="BJ49" s="196">
        <f t="shared" si="102"/>
        <v>3533.0068912809579</v>
      </c>
      <c r="BK49" s="197">
        <f t="shared" si="103"/>
        <v>379.3226197579591</v>
      </c>
      <c r="BL49" s="197">
        <f t="shared" si="104"/>
        <v>1775.5715114062555</v>
      </c>
      <c r="BM49" s="197">
        <f t="shared" si="105"/>
        <v>1757.4353798747022</v>
      </c>
      <c r="BN49" s="199">
        <f t="shared" si="106"/>
        <v>2136.7579996326617</v>
      </c>
      <c r="BO49" s="196">
        <f t="shared" si="141"/>
        <v>40751.61792901039</v>
      </c>
      <c r="BP49" s="197">
        <f t="shared" si="107"/>
        <v>5087.5090121020467</v>
      </c>
      <c r="BQ49" s="197">
        <f t="shared" si="108"/>
        <v>34025.996853754907</v>
      </c>
      <c r="BR49" s="197">
        <f t="shared" si="109"/>
        <v>6725.6210752554889</v>
      </c>
      <c r="BS49" s="199">
        <f t="shared" si="110"/>
        <v>11813.130087357536</v>
      </c>
      <c r="BV49" s="204">
        <f t="shared" si="142"/>
        <v>12</v>
      </c>
      <c r="BW49" s="197">
        <f>'Energy NPV'!$D102</f>
        <v>16.3</v>
      </c>
      <c r="BX49" s="197">
        <f>'Energy margins'!$Z$12</f>
        <v>269.5</v>
      </c>
      <c r="BY49" s="197">
        <f t="shared" si="143"/>
        <v>4392.8500000000004</v>
      </c>
      <c r="BZ49" s="197">
        <f>'Margins summary'!$W$14</f>
        <v>471.64</v>
      </c>
      <c r="CA49" s="197">
        <f t="shared" si="111"/>
        <v>4864.4900000000007</v>
      </c>
      <c r="CB49" s="197"/>
      <c r="CC49" s="913">
        <f>'Energy NPV'!U102</f>
        <v>2207.6999999999998</v>
      </c>
      <c r="CD49" s="197"/>
      <c r="CE49" s="197">
        <f t="shared" si="112"/>
        <v>2207.6999999999998</v>
      </c>
      <c r="CF49" s="197">
        <f t="shared" si="80"/>
        <v>2185.1500000000005</v>
      </c>
      <c r="CG49" s="197">
        <f t="shared" si="81"/>
        <v>2656.7900000000009</v>
      </c>
      <c r="CH49" s="196">
        <f t="shared" si="113"/>
        <v>1884.0180686414865</v>
      </c>
      <c r="CI49" s="197">
        <f t="shared" si="114"/>
        <v>202.27831177801897</v>
      </c>
      <c r="CJ49" s="197">
        <f t="shared" si="115"/>
        <v>946.84468855977536</v>
      </c>
      <c r="CK49" s="197">
        <f t="shared" si="116"/>
        <v>937.17338008171112</v>
      </c>
      <c r="CL49" s="199">
        <f t="shared" si="117"/>
        <v>1139.4516918597303</v>
      </c>
      <c r="CM49" s="196">
        <f t="shared" si="144"/>
        <v>29280.764093123675</v>
      </c>
      <c r="CN49" s="197">
        <f t="shared" si="118"/>
        <v>3838.6611027747613</v>
      </c>
      <c r="CO49" s="197">
        <f t="shared" si="119"/>
        <v>28055.383951301832</v>
      </c>
      <c r="CP49" s="197">
        <f t="shared" si="120"/>
        <v>1225.3801418218386</v>
      </c>
      <c r="CQ49" s="199">
        <f t="shared" si="121"/>
        <v>5064.0412445966003</v>
      </c>
      <c r="CT49" s="204">
        <f t="shared" si="145"/>
        <v>12</v>
      </c>
      <c r="CU49" s="197">
        <f>'Energy NPV'!$D102</f>
        <v>16.3</v>
      </c>
      <c r="CV49" s="197">
        <f>'Energy margins'!$Z$12</f>
        <v>269.5</v>
      </c>
      <c r="CW49" s="197">
        <f t="shared" si="146"/>
        <v>4392.8500000000004</v>
      </c>
      <c r="CX49" s="197">
        <f>'Margins summary'!$W$14</f>
        <v>471.64</v>
      </c>
      <c r="CY49" s="197">
        <f t="shared" si="122"/>
        <v>4864.4900000000007</v>
      </c>
      <c r="CZ49" s="197"/>
      <c r="DA49" s="913">
        <f>'Energy NPV'!U102</f>
        <v>2207.6999999999998</v>
      </c>
      <c r="DB49" s="197"/>
      <c r="DC49" s="197">
        <f t="shared" si="123"/>
        <v>2207.6999999999998</v>
      </c>
      <c r="DD49" s="197">
        <f t="shared" si="82"/>
        <v>2185.1500000000005</v>
      </c>
      <c r="DE49" s="197">
        <f t="shared" si="83"/>
        <v>2656.7900000000009</v>
      </c>
      <c r="DF49" s="196">
        <f t="shared" si="124"/>
        <v>4392.8500000000004</v>
      </c>
      <c r="DG49" s="197">
        <f t="shared" si="125"/>
        <v>471.64</v>
      </c>
      <c r="DH49" s="197">
        <f t="shared" si="126"/>
        <v>2207.6999999999998</v>
      </c>
      <c r="DI49" s="197">
        <f t="shared" si="127"/>
        <v>2185.1500000000005</v>
      </c>
      <c r="DJ49" s="199">
        <f t="shared" si="128"/>
        <v>2656.7900000000009</v>
      </c>
      <c r="DK49" s="196">
        <f t="shared" si="147"/>
        <v>46021.616666666661</v>
      </c>
      <c r="DL49" s="197">
        <f t="shared" si="129"/>
        <v>5659.68</v>
      </c>
      <c r="DM49" s="197">
        <f t="shared" si="130"/>
        <v>36750.375</v>
      </c>
      <c r="DN49" s="197">
        <f t="shared" si="131"/>
        <v>9271.2416666666722</v>
      </c>
      <c r="DO49" s="199">
        <f t="shared" si="132"/>
        <v>14930.921666666674</v>
      </c>
    </row>
    <row r="50" spans="2:129" x14ac:dyDescent="0.3">
      <c r="B50" s="204">
        <f t="shared" si="133"/>
        <v>13</v>
      </c>
      <c r="C50" s="197">
        <f>'Energy NPV'!$D103</f>
        <v>16.3</v>
      </c>
      <c r="D50" s="197">
        <f>'Energy margins'!$Z$12</f>
        <v>269.5</v>
      </c>
      <c r="E50" s="197">
        <f t="shared" si="134"/>
        <v>4392.8500000000004</v>
      </c>
      <c r="F50" s="197">
        <f>'Margins summary'!$W$14</f>
        <v>471.64</v>
      </c>
      <c r="G50" s="197">
        <f t="shared" si="84"/>
        <v>4864.4900000000007</v>
      </c>
      <c r="H50" s="197"/>
      <c r="I50" s="913">
        <f>'Energy NPV'!U103</f>
        <v>2207.6999999999998</v>
      </c>
      <c r="J50" s="197"/>
      <c r="K50" s="197">
        <f t="shared" si="85"/>
        <v>2207.6999999999998</v>
      </c>
      <c r="L50" s="197">
        <f t="shared" si="74"/>
        <v>2185.1500000000005</v>
      </c>
      <c r="M50" s="197">
        <f t="shared" si="75"/>
        <v>2656.7900000000009</v>
      </c>
      <c r="N50" s="196">
        <f t="shared" si="86"/>
        <v>2743.7611492477895</v>
      </c>
      <c r="O50" s="197">
        <f t="shared" si="87"/>
        <v>294.58495246394193</v>
      </c>
      <c r="P50" s="197">
        <f t="shared" si="88"/>
        <v>1378.9229063579096</v>
      </c>
      <c r="Q50" s="197">
        <f t="shared" si="89"/>
        <v>1364.8382428898797</v>
      </c>
      <c r="R50" s="199">
        <f t="shared" si="90"/>
        <v>1659.4231953538217</v>
      </c>
      <c r="S50" s="196">
        <f t="shared" si="135"/>
        <v>39042.96435122822</v>
      </c>
      <c r="T50" s="197">
        <f t="shared" si="91"/>
        <v>4898.016188401446</v>
      </c>
      <c r="U50" s="197">
        <f t="shared" si="91"/>
        <v>33095.242429809623</v>
      </c>
      <c r="V50" s="197">
        <f t="shared" si="91"/>
        <v>5947.7219214185998</v>
      </c>
      <c r="W50" s="199">
        <f t="shared" si="91"/>
        <v>10845.738109820048</v>
      </c>
      <c r="Z50" s="204">
        <f t="shared" si="136"/>
        <v>13</v>
      </c>
      <c r="AA50" s="197">
        <f>'Energy NPV'!$D103</f>
        <v>16.3</v>
      </c>
      <c r="AB50" s="197">
        <f>'Energy margins'!$Z$12</f>
        <v>269.5</v>
      </c>
      <c r="AC50" s="197">
        <f t="shared" si="137"/>
        <v>4392.8500000000004</v>
      </c>
      <c r="AD50" s="197">
        <f>'Margins summary'!$W$14</f>
        <v>471.64</v>
      </c>
      <c r="AE50" s="197">
        <f t="shared" si="92"/>
        <v>4864.4900000000007</v>
      </c>
      <c r="AF50" s="197"/>
      <c r="AG50" s="913">
        <f>'Energy NPV'!U103</f>
        <v>2207.6999999999998</v>
      </c>
      <c r="AH50" s="197"/>
      <c r="AI50" s="197">
        <f t="shared" si="93"/>
        <v>2207.6999999999998</v>
      </c>
      <c r="AJ50" s="197">
        <f t="shared" si="76"/>
        <v>2185.1500000000005</v>
      </c>
      <c r="AK50" s="197">
        <f t="shared" si="77"/>
        <v>2656.7900000000009</v>
      </c>
      <c r="AL50" s="196">
        <f t="shared" si="94"/>
        <v>2183.1118687892267</v>
      </c>
      <c r="AM50" s="197">
        <f t="shared" si="95"/>
        <v>234.3906306374565</v>
      </c>
      <c r="AN50" s="197">
        <f t="shared" si="96"/>
        <v>1097.1592639689438</v>
      </c>
      <c r="AO50" s="197">
        <f t="shared" si="97"/>
        <v>1085.9526048202829</v>
      </c>
      <c r="AP50" s="199">
        <f t="shared" si="98"/>
        <v>1320.3432354577396</v>
      </c>
      <c r="AQ50" s="196">
        <f t="shared" si="138"/>
        <v>34698.283561851502</v>
      </c>
      <c r="AR50" s="197">
        <f t="shared" si="99"/>
        <v>4425.7961560423864</v>
      </c>
      <c r="AS50" s="197">
        <f t="shared" si="99"/>
        <v>30843.250741730346</v>
      </c>
      <c r="AT50" s="197">
        <f t="shared" si="99"/>
        <v>3855.0328201211546</v>
      </c>
      <c r="AU50" s="199">
        <f t="shared" si="99"/>
        <v>8280.8289761635442</v>
      </c>
      <c r="AX50" s="204">
        <f t="shared" si="139"/>
        <v>13</v>
      </c>
      <c r="AY50" s="197">
        <f>'Energy NPV'!$D103</f>
        <v>16.3</v>
      </c>
      <c r="AZ50" s="197">
        <f>'Energy margins'!$Z$12</f>
        <v>269.5</v>
      </c>
      <c r="BA50" s="197">
        <f t="shared" si="140"/>
        <v>4392.8500000000004</v>
      </c>
      <c r="BB50" s="197">
        <f>'Margins summary'!$W$14</f>
        <v>471.64</v>
      </c>
      <c r="BC50" s="197">
        <f t="shared" si="100"/>
        <v>4864.4900000000007</v>
      </c>
      <c r="BD50" s="197"/>
      <c r="BE50" s="913">
        <f>'Energy NPV'!U103</f>
        <v>2207.6999999999998</v>
      </c>
      <c r="BF50" s="197"/>
      <c r="BG50" s="197">
        <f t="shared" si="101"/>
        <v>2207.6999999999998</v>
      </c>
      <c r="BH50" s="197">
        <f t="shared" si="78"/>
        <v>2185.1500000000005</v>
      </c>
      <c r="BI50" s="197">
        <f t="shared" si="79"/>
        <v>2656.7900000000009</v>
      </c>
      <c r="BJ50" s="196">
        <f t="shared" si="102"/>
        <v>3463.7322463538794</v>
      </c>
      <c r="BK50" s="197">
        <f t="shared" si="103"/>
        <v>371.88492133133241</v>
      </c>
      <c r="BL50" s="197">
        <f t="shared" si="104"/>
        <v>1740.7563837316227</v>
      </c>
      <c r="BM50" s="197">
        <f t="shared" si="105"/>
        <v>1722.975862622257</v>
      </c>
      <c r="BN50" s="199">
        <f t="shared" si="106"/>
        <v>2094.8607839535894</v>
      </c>
      <c r="BO50" s="196">
        <f t="shared" si="141"/>
        <v>44215.35017536427</v>
      </c>
      <c r="BP50" s="197">
        <f t="shared" si="107"/>
        <v>5459.3939334333791</v>
      </c>
      <c r="BQ50" s="197">
        <f t="shared" si="108"/>
        <v>35766.753237486526</v>
      </c>
      <c r="BR50" s="197">
        <f t="shared" si="109"/>
        <v>8448.5969378777463</v>
      </c>
      <c r="BS50" s="199">
        <f t="shared" si="110"/>
        <v>13907.990871311125</v>
      </c>
      <c r="BV50" s="204">
        <f t="shared" si="142"/>
        <v>13</v>
      </c>
      <c r="BW50" s="197">
        <f>'Energy NPV'!$D103</f>
        <v>16.3</v>
      </c>
      <c r="BX50" s="197">
        <f>'Energy margins'!$Z$12</f>
        <v>269.5</v>
      </c>
      <c r="BY50" s="197">
        <f t="shared" si="143"/>
        <v>4392.8500000000004</v>
      </c>
      <c r="BZ50" s="197">
        <f>'Margins summary'!$W$14</f>
        <v>471.64</v>
      </c>
      <c r="CA50" s="197">
        <f t="shared" si="111"/>
        <v>4864.4900000000007</v>
      </c>
      <c r="CB50" s="197"/>
      <c r="CC50" s="913">
        <f>'Energy NPV'!U103</f>
        <v>2207.6999999999998</v>
      </c>
      <c r="CD50" s="197"/>
      <c r="CE50" s="197">
        <f t="shared" si="112"/>
        <v>2207.6999999999998</v>
      </c>
      <c r="CF50" s="197">
        <f t="shared" si="80"/>
        <v>2185.1500000000005</v>
      </c>
      <c r="CG50" s="197">
        <f t="shared" si="81"/>
        <v>2656.7900000000009</v>
      </c>
      <c r="CH50" s="196">
        <f t="shared" si="113"/>
        <v>1744.461174668043</v>
      </c>
      <c r="CI50" s="197">
        <f t="shared" si="114"/>
        <v>187.29473312779533</v>
      </c>
      <c r="CJ50" s="197">
        <f t="shared" si="115"/>
        <v>876.7080449627548</v>
      </c>
      <c r="CK50" s="197">
        <f t="shared" si="116"/>
        <v>867.75312970528807</v>
      </c>
      <c r="CL50" s="199">
        <f t="shared" si="117"/>
        <v>1055.0478628330834</v>
      </c>
      <c r="CM50" s="196">
        <f t="shared" si="144"/>
        <v>31025.225267791717</v>
      </c>
      <c r="CN50" s="197">
        <f t="shared" si="118"/>
        <v>4025.9558359025568</v>
      </c>
      <c r="CO50" s="197">
        <f t="shared" si="119"/>
        <v>28932.091996264586</v>
      </c>
      <c r="CP50" s="197">
        <f t="shared" si="120"/>
        <v>2093.1332715271265</v>
      </c>
      <c r="CQ50" s="199">
        <f t="shared" si="121"/>
        <v>6119.0891074296833</v>
      </c>
      <c r="CT50" s="204">
        <f t="shared" si="145"/>
        <v>13</v>
      </c>
      <c r="CU50" s="197">
        <f>'Energy NPV'!$D103</f>
        <v>16.3</v>
      </c>
      <c r="CV50" s="197">
        <f>'Energy margins'!$Z$12</f>
        <v>269.5</v>
      </c>
      <c r="CW50" s="197">
        <f t="shared" si="146"/>
        <v>4392.8500000000004</v>
      </c>
      <c r="CX50" s="197">
        <f>'Margins summary'!$W$14</f>
        <v>471.64</v>
      </c>
      <c r="CY50" s="197">
        <f t="shared" si="122"/>
        <v>4864.4900000000007</v>
      </c>
      <c r="CZ50" s="197"/>
      <c r="DA50" s="913">
        <f>'Energy NPV'!U103</f>
        <v>2207.6999999999998</v>
      </c>
      <c r="DB50" s="197"/>
      <c r="DC50" s="197">
        <f t="shared" si="123"/>
        <v>2207.6999999999998</v>
      </c>
      <c r="DD50" s="197">
        <f t="shared" si="82"/>
        <v>2185.1500000000005</v>
      </c>
      <c r="DE50" s="197">
        <f t="shared" si="83"/>
        <v>2656.7900000000009</v>
      </c>
      <c r="DF50" s="196">
        <f t="shared" si="124"/>
        <v>4392.8500000000004</v>
      </c>
      <c r="DG50" s="197">
        <f t="shared" si="125"/>
        <v>471.64</v>
      </c>
      <c r="DH50" s="197">
        <f t="shared" si="126"/>
        <v>2207.6999999999998</v>
      </c>
      <c r="DI50" s="197">
        <f t="shared" si="127"/>
        <v>2185.1500000000005</v>
      </c>
      <c r="DJ50" s="199">
        <f t="shared" si="128"/>
        <v>2656.7900000000009</v>
      </c>
      <c r="DK50" s="196">
        <f t="shared" si="147"/>
        <v>50414.46666666666</v>
      </c>
      <c r="DL50" s="197">
        <f t="shared" si="129"/>
        <v>6131.3200000000006</v>
      </c>
      <c r="DM50" s="197">
        <f t="shared" si="130"/>
        <v>38958.074999999997</v>
      </c>
      <c r="DN50" s="197">
        <f t="shared" si="131"/>
        <v>11456.391666666674</v>
      </c>
      <c r="DO50" s="199">
        <f t="shared" si="132"/>
        <v>17587.711666666677</v>
      </c>
    </row>
    <row r="51" spans="2:129" x14ac:dyDescent="0.3">
      <c r="B51" s="204">
        <f t="shared" si="133"/>
        <v>14</v>
      </c>
      <c r="C51" s="197">
        <f>'Energy NPV'!$D104</f>
        <v>16.3</v>
      </c>
      <c r="D51" s="197">
        <f>'Energy margins'!$Z$12</f>
        <v>269.5</v>
      </c>
      <c r="E51" s="197">
        <f t="shared" si="134"/>
        <v>4392.8500000000004</v>
      </c>
      <c r="F51" s="197">
        <f>'Margins summary'!$W$14</f>
        <v>471.64</v>
      </c>
      <c r="G51" s="197">
        <f t="shared" si="84"/>
        <v>4864.4900000000007</v>
      </c>
      <c r="H51" s="197"/>
      <c r="I51" s="913">
        <f>'Energy NPV'!U104</f>
        <v>2207.6999999999998</v>
      </c>
      <c r="J51" s="197"/>
      <c r="K51" s="197">
        <f t="shared" si="85"/>
        <v>2207.6999999999998</v>
      </c>
      <c r="L51" s="197">
        <f t="shared" si="74"/>
        <v>2185.1500000000005</v>
      </c>
      <c r="M51" s="197">
        <f t="shared" si="75"/>
        <v>2656.7900000000009</v>
      </c>
      <c r="N51" s="196">
        <f t="shared" si="86"/>
        <v>2638.2318742767206</v>
      </c>
      <c r="O51" s="197">
        <f t="shared" si="87"/>
        <v>283.25476198455954</v>
      </c>
      <c r="P51" s="197">
        <f t="shared" si="88"/>
        <v>1325.8874099595284</v>
      </c>
      <c r="Q51" s="197">
        <f t="shared" si="89"/>
        <v>1312.344464317192</v>
      </c>
      <c r="R51" s="199">
        <f t="shared" si="90"/>
        <v>1595.5992263017517</v>
      </c>
      <c r="S51" s="196">
        <f t="shared" si="135"/>
        <v>41681.196225504944</v>
      </c>
      <c r="T51" s="197">
        <f t="shared" si="91"/>
        <v>5181.270950386006</v>
      </c>
      <c r="U51" s="197">
        <f t="shared" si="91"/>
        <v>34421.12983976915</v>
      </c>
      <c r="V51" s="197">
        <f t="shared" si="91"/>
        <v>7260.0663857357922</v>
      </c>
      <c r="W51" s="199">
        <f t="shared" si="91"/>
        <v>12441.3373361218</v>
      </c>
      <c r="Z51" s="204">
        <f t="shared" si="136"/>
        <v>14</v>
      </c>
      <c r="AA51" s="197">
        <f>'Energy NPV'!$D104</f>
        <v>16.3</v>
      </c>
      <c r="AB51" s="197">
        <f>'Energy margins'!$Z$12</f>
        <v>269.5</v>
      </c>
      <c r="AC51" s="197">
        <f t="shared" si="137"/>
        <v>4392.8500000000004</v>
      </c>
      <c r="AD51" s="197">
        <f>'Margins summary'!$W$14</f>
        <v>471.64</v>
      </c>
      <c r="AE51" s="197">
        <f t="shared" si="92"/>
        <v>4864.4900000000007</v>
      </c>
      <c r="AF51" s="197"/>
      <c r="AG51" s="913">
        <f>'Energy NPV'!U104</f>
        <v>2207.6999999999998</v>
      </c>
      <c r="AH51" s="197"/>
      <c r="AI51" s="197">
        <f t="shared" si="93"/>
        <v>2207.6999999999998</v>
      </c>
      <c r="AJ51" s="197">
        <f t="shared" si="76"/>
        <v>2185.1500000000005</v>
      </c>
      <c r="AK51" s="197">
        <f t="shared" si="77"/>
        <v>2656.7900000000009</v>
      </c>
      <c r="AL51" s="196">
        <f t="shared" si="94"/>
        <v>2059.5394988577609</v>
      </c>
      <c r="AM51" s="197">
        <f t="shared" si="95"/>
        <v>221.12323645043065</v>
      </c>
      <c r="AN51" s="197">
        <f t="shared" si="96"/>
        <v>1035.0559094046639</v>
      </c>
      <c r="AO51" s="197">
        <f t="shared" si="97"/>
        <v>1024.483589453097</v>
      </c>
      <c r="AP51" s="199">
        <f t="shared" si="98"/>
        <v>1245.6068259035278</v>
      </c>
      <c r="AQ51" s="196">
        <f t="shared" si="138"/>
        <v>36757.823060709263</v>
      </c>
      <c r="AR51" s="197">
        <f t="shared" si="99"/>
        <v>4646.9193924928168</v>
      </c>
      <c r="AS51" s="197">
        <f t="shared" si="99"/>
        <v>31878.306651135012</v>
      </c>
      <c r="AT51" s="197">
        <f t="shared" si="99"/>
        <v>4879.5164095742512</v>
      </c>
      <c r="AU51" s="199">
        <f t="shared" si="99"/>
        <v>9526.4358020670716</v>
      </c>
      <c r="AX51" s="204">
        <f t="shared" si="139"/>
        <v>14</v>
      </c>
      <c r="AY51" s="197">
        <f>'Energy NPV'!$D104</f>
        <v>16.3</v>
      </c>
      <c r="AZ51" s="197">
        <f>'Energy margins'!$Z$12</f>
        <v>269.5</v>
      </c>
      <c r="BA51" s="197">
        <f t="shared" si="140"/>
        <v>4392.8500000000004</v>
      </c>
      <c r="BB51" s="197">
        <f>'Margins summary'!$W$14</f>
        <v>471.64</v>
      </c>
      <c r="BC51" s="197">
        <f t="shared" si="100"/>
        <v>4864.4900000000007</v>
      </c>
      <c r="BD51" s="197"/>
      <c r="BE51" s="913">
        <f>'Energy NPV'!U104</f>
        <v>2207.6999999999998</v>
      </c>
      <c r="BF51" s="197"/>
      <c r="BG51" s="197">
        <f t="shared" si="101"/>
        <v>2207.6999999999998</v>
      </c>
      <c r="BH51" s="197">
        <f t="shared" si="78"/>
        <v>2185.1500000000005</v>
      </c>
      <c r="BI51" s="197">
        <f t="shared" si="79"/>
        <v>2656.7900000000009</v>
      </c>
      <c r="BJ51" s="196">
        <f t="shared" si="102"/>
        <v>3395.8159277979212</v>
      </c>
      <c r="BK51" s="197">
        <f t="shared" si="103"/>
        <v>364.59306012875732</v>
      </c>
      <c r="BL51" s="197">
        <f t="shared" si="104"/>
        <v>1706.623905619238</v>
      </c>
      <c r="BM51" s="197">
        <f t="shared" si="105"/>
        <v>1689.1920221786834</v>
      </c>
      <c r="BN51" s="199">
        <f t="shared" si="106"/>
        <v>2053.7850823074409</v>
      </c>
      <c r="BO51" s="196">
        <f t="shared" si="141"/>
        <v>47611.166103162192</v>
      </c>
      <c r="BP51" s="197">
        <f t="shared" si="107"/>
        <v>5823.9869935621364</v>
      </c>
      <c r="BQ51" s="197">
        <f t="shared" si="108"/>
        <v>37473.377143105761</v>
      </c>
      <c r="BR51" s="197">
        <f t="shared" si="109"/>
        <v>10137.78896005643</v>
      </c>
      <c r="BS51" s="199">
        <f t="shared" si="110"/>
        <v>15961.775953618566</v>
      </c>
      <c r="BV51" s="204">
        <f t="shared" si="142"/>
        <v>14</v>
      </c>
      <c r="BW51" s="197">
        <f>'Energy NPV'!$D104</f>
        <v>16.3</v>
      </c>
      <c r="BX51" s="197">
        <f>'Energy margins'!$Z$12</f>
        <v>269.5</v>
      </c>
      <c r="BY51" s="197">
        <f t="shared" si="143"/>
        <v>4392.8500000000004</v>
      </c>
      <c r="BZ51" s="197">
        <f>'Margins summary'!$W$14</f>
        <v>471.64</v>
      </c>
      <c r="CA51" s="197">
        <f t="shared" si="111"/>
        <v>4864.4900000000007</v>
      </c>
      <c r="CB51" s="197"/>
      <c r="CC51" s="913">
        <f>'Energy NPV'!U104</f>
        <v>2207.6999999999998</v>
      </c>
      <c r="CD51" s="197"/>
      <c r="CE51" s="197">
        <f t="shared" si="112"/>
        <v>2207.6999999999998</v>
      </c>
      <c r="CF51" s="197">
        <f t="shared" si="80"/>
        <v>2185.1500000000005</v>
      </c>
      <c r="CG51" s="197">
        <f t="shared" si="81"/>
        <v>2656.7900000000009</v>
      </c>
      <c r="CH51" s="196">
        <f t="shared" si="113"/>
        <v>1615.2418283963361</v>
      </c>
      <c r="CI51" s="197">
        <f t="shared" si="114"/>
        <v>173.42104919240307</v>
      </c>
      <c r="CJ51" s="197">
        <f t="shared" si="115"/>
        <v>811.76670829884711</v>
      </c>
      <c r="CK51" s="197">
        <f t="shared" si="116"/>
        <v>803.47512009748891</v>
      </c>
      <c r="CL51" s="199">
        <f t="shared" si="117"/>
        <v>976.8961692898921</v>
      </c>
      <c r="CM51" s="196">
        <f t="shared" si="144"/>
        <v>32640.467096188055</v>
      </c>
      <c r="CN51" s="197">
        <f t="shared" si="118"/>
        <v>4199.37688509496</v>
      </c>
      <c r="CO51" s="197">
        <f t="shared" si="119"/>
        <v>29743.858704563434</v>
      </c>
      <c r="CP51" s="197">
        <f t="shared" si="120"/>
        <v>2896.6083916246153</v>
      </c>
      <c r="CQ51" s="199">
        <f t="shared" si="121"/>
        <v>7095.9852767195753</v>
      </c>
      <c r="CT51" s="204">
        <f t="shared" si="145"/>
        <v>14</v>
      </c>
      <c r="CU51" s="197">
        <f>'Energy NPV'!$D104</f>
        <v>16.3</v>
      </c>
      <c r="CV51" s="197">
        <f>'Energy margins'!$Z$12</f>
        <v>269.5</v>
      </c>
      <c r="CW51" s="197">
        <f t="shared" si="146"/>
        <v>4392.8500000000004</v>
      </c>
      <c r="CX51" s="197">
        <f>'Margins summary'!$W$14</f>
        <v>471.64</v>
      </c>
      <c r="CY51" s="197">
        <f t="shared" si="122"/>
        <v>4864.4900000000007</v>
      </c>
      <c r="CZ51" s="197"/>
      <c r="DA51" s="913">
        <f>'Energy NPV'!U104</f>
        <v>2207.6999999999998</v>
      </c>
      <c r="DB51" s="197"/>
      <c r="DC51" s="197">
        <f t="shared" si="123"/>
        <v>2207.6999999999998</v>
      </c>
      <c r="DD51" s="197">
        <f t="shared" si="82"/>
        <v>2185.1500000000005</v>
      </c>
      <c r="DE51" s="197">
        <f t="shared" si="83"/>
        <v>2656.7900000000009</v>
      </c>
      <c r="DF51" s="196">
        <f t="shared" si="124"/>
        <v>4392.8500000000004</v>
      </c>
      <c r="DG51" s="197">
        <f t="shared" si="125"/>
        <v>471.64</v>
      </c>
      <c r="DH51" s="197">
        <f t="shared" si="126"/>
        <v>2207.6999999999998</v>
      </c>
      <c r="DI51" s="197">
        <f t="shared" si="127"/>
        <v>2185.1500000000005</v>
      </c>
      <c r="DJ51" s="199">
        <f t="shared" si="128"/>
        <v>2656.7900000000009</v>
      </c>
      <c r="DK51" s="196">
        <f t="shared" si="147"/>
        <v>54807.316666666658</v>
      </c>
      <c r="DL51" s="197">
        <f t="shared" si="129"/>
        <v>6602.9600000000009</v>
      </c>
      <c r="DM51" s="197">
        <f t="shared" si="130"/>
        <v>41165.774999999994</v>
      </c>
      <c r="DN51" s="197">
        <f t="shared" si="131"/>
        <v>13641.541666666675</v>
      </c>
      <c r="DO51" s="199">
        <f t="shared" si="132"/>
        <v>20244.501666666678</v>
      </c>
    </row>
    <row r="52" spans="2:129" x14ac:dyDescent="0.3">
      <c r="B52" s="204">
        <f t="shared" si="133"/>
        <v>15</v>
      </c>
      <c r="C52" s="197">
        <f>'Energy NPV'!$D105</f>
        <v>16.3</v>
      </c>
      <c r="D52" s="197">
        <f>'Energy margins'!$Z$12</f>
        <v>269.5</v>
      </c>
      <c r="E52" s="197">
        <f t="shared" si="134"/>
        <v>4392.8500000000004</v>
      </c>
      <c r="F52" s="197">
        <f>'Margins summary'!$W$14</f>
        <v>471.64</v>
      </c>
      <c r="G52" s="197">
        <f t="shared" si="84"/>
        <v>4864.4900000000007</v>
      </c>
      <c r="H52" s="197"/>
      <c r="I52" s="913">
        <f>'Energy NPV'!U105</f>
        <v>2207.6999999999998</v>
      </c>
      <c r="J52" s="197"/>
      <c r="K52" s="197">
        <f t="shared" si="85"/>
        <v>2207.6999999999998</v>
      </c>
      <c r="L52" s="197">
        <f t="shared" si="74"/>
        <v>2185.1500000000005</v>
      </c>
      <c r="M52" s="197">
        <f t="shared" si="75"/>
        <v>2656.7900000000009</v>
      </c>
      <c r="N52" s="196">
        <f t="shared" si="86"/>
        <v>2536.7614175737699</v>
      </c>
      <c r="O52" s="197">
        <f t="shared" si="87"/>
        <v>272.36034806207647</v>
      </c>
      <c r="P52" s="197">
        <f t="shared" si="88"/>
        <v>1274.8917403457006</v>
      </c>
      <c r="Q52" s="197">
        <f t="shared" si="89"/>
        <v>1261.8696772280691</v>
      </c>
      <c r="R52" s="199">
        <f t="shared" si="90"/>
        <v>1534.2300252901459</v>
      </c>
      <c r="S52" s="196">
        <f t="shared" si="135"/>
        <v>44217.957643078713</v>
      </c>
      <c r="T52" s="197">
        <f t="shared" si="91"/>
        <v>5453.6312984480828</v>
      </c>
      <c r="U52" s="197">
        <f t="shared" si="91"/>
        <v>35696.021580114852</v>
      </c>
      <c r="V52" s="197">
        <f t="shared" si="91"/>
        <v>8521.9360629638613</v>
      </c>
      <c r="W52" s="199">
        <f t="shared" si="91"/>
        <v>13975.567361411946</v>
      </c>
      <c r="Z52" s="204">
        <f t="shared" si="136"/>
        <v>15</v>
      </c>
      <c r="AA52" s="197">
        <f>'Energy NPV'!$D105</f>
        <v>16.3</v>
      </c>
      <c r="AB52" s="197">
        <f>'Energy margins'!$Z$12</f>
        <v>269.5</v>
      </c>
      <c r="AC52" s="197">
        <f t="shared" si="137"/>
        <v>4392.8500000000004</v>
      </c>
      <c r="AD52" s="197">
        <f>'Margins summary'!$W$14</f>
        <v>471.64</v>
      </c>
      <c r="AE52" s="197">
        <f t="shared" si="92"/>
        <v>4864.4900000000007</v>
      </c>
      <c r="AF52" s="197"/>
      <c r="AG52" s="913">
        <f>'Energy NPV'!U105</f>
        <v>2207.6999999999998</v>
      </c>
      <c r="AH52" s="197"/>
      <c r="AI52" s="197">
        <f t="shared" si="93"/>
        <v>2207.6999999999998</v>
      </c>
      <c r="AJ52" s="197">
        <f t="shared" si="76"/>
        <v>2185.1500000000005</v>
      </c>
      <c r="AK52" s="197">
        <f t="shared" si="77"/>
        <v>2656.7900000000009</v>
      </c>
      <c r="AL52" s="196">
        <f t="shared" si="94"/>
        <v>1942.9617913752463</v>
      </c>
      <c r="AM52" s="197">
        <f t="shared" si="95"/>
        <v>208.60682684002893</v>
      </c>
      <c r="AN52" s="197">
        <f t="shared" si="96"/>
        <v>976.46783906100382</v>
      </c>
      <c r="AO52" s="197">
        <f t="shared" si="97"/>
        <v>966.49395231424251</v>
      </c>
      <c r="AP52" s="199">
        <f t="shared" si="98"/>
        <v>1175.1007791542715</v>
      </c>
      <c r="AQ52" s="196">
        <f t="shared" si="138"/>
        <v>38700.784852084507</v>
      </c>
      <c r="AR52" s="197">
        <f t="shared" si="99"/>
        <v>4855.5262193328454</v>
      </c>
      <c r="AS52" s="197">
        <f t="shared" si="99"/>
        <v>32854.774490196018</v>
      </c>
      <c r="AT52" s="197">
        <f t="shared" si="99"/>
        <v>5846.0103618884932</v>
      </c>
      <c r="AU52" s="199">
        <f t="shared" si="99"/>
        <v>10701.536581221342</v>
      </c>
      <c r="AX52" s="204">
        <f t="shared" si="139"/>
        <v>15</v>
      </c>
      <c r="AY52" s="197">
        <f>'Energy NPV'!$D105</f>
        <v>16.3</v>
      </c>
      <c r="AZ52" s="197">
        <f>'Energy margins'!$Z$12</f>
        <v>269.5</v>
      </c>
      <c r="BA52" s="197">
        <f t="shared" si="140"/>
        <v>4392.8500000000004</v>
      </c>
      <c r="BB52" s="197">
        <f>'Margins summary'!$W$14</f>
        <v>471.64</v>
      </c>
      <c r="BC52" s="197">
        <f t="shared" si="100"/>
        <v>4864.4900000000007</v>
      </c>
      <c r="BD52" s="197"/>
      <c r="BE52" s="913">
        <f>'Energy NPV'!U105</f>
        <v>2207.6999999999998</v>
      </c>
      <c r="BF52" s="197"/>
      <c r="BG52" s="197">
        <f t="shared" si="101"/>
        <v>2207.6999999999998</v>
      </c>
      <c r="BH52" s="197">
        <f t="shared" si="78"/>
        <v>2185.1500000000005</v>
      </c>
      <c r="BI52" s="197">
        <f t="shared" si="79"/>
        <v>2656.7900000000009</v>
      </c>
      <c r="BJ52" s="196">
        <f t="shared" si="102"/>
        <v>3329.2313017626675</v>
      </c>
      <c r="BK52" s="197">
        <f t="shared" si="103"/>
        <v>357.44417659682085</v>
      </c>
      <c r="BL52" s="197">
        <f t="shared" si="104"/>
        <v>1673.1606917835666</v>
      </c>
      <c r="BM52" s="197">
        <f t="shared" si="105"/>
        <v>1656.0706099791012</v>
      </c>
      <c r="BN52" s="199">
        <f t="shared" si="106"/>
        <v>2013.5147865759222</v>
      </c>
      <c r="BO52" s="196">
        <f t="shared" si="141"/>
        <v>50940.397404924857</v>
      </c>
      <c r="BP52" s="197">
        <f t="shared" si="107"/>
        <v>6181.4311701589577</v>
      </c>
      <c r="BQ52" s="197">
        <f t="shared" si="108"/>
        <v>39146.537834889328</v>
      </c>
      <c r="BR52" s="197">
        <f t="shared" si="109"/>
        <v>11793.859570035531</v>
      </c>
      <c r="BS52" s="199">
        <f t="shared" si="110"/>
        <v>17975.290740194487</v>
      </c>
      <c r="BV52" s="204">
        <f t="shared" si="142"/>
        <v>15</v>
      </c>
      <c r="BW52" s="197">
        <f>'Energy NPV'!$D105</f>
        <v>16.3</v>
      </c>
      <c r="BX52" s="197">
        <f>'Energy margins'!$Z$12</f>
        <v>269.5</v>
      </c>
      <c r="BY52" s="197">
        <f t="shared" si="143"/>
        <v>4392.8500000000004</v>
      </c>
      <c r="BZ52" s="197">
        <f>'Margins summary'!$W$14</f>
        <v>471.64</v>
      </c>
      <c r="CA52" s="197">
        <f t="shared" si="111"/>
        <v>4864.4900000000007</v>
      </c>
      <c r="CB52" s="197"/>
      <c r="CC52" s="913">
        <f>'Energy NPV'!U105</f>
        <v>2207.6999999999998</v>
      </c>
      <c r="CD52" s="197"/>
      <c r="CE52" s="197">
        <f t="shared" si="112"/>
        <v>2207.6999999999998</v>
      </c>
      <c r="CF52" s="197">
        <f t="shared" si="80"/>
        <v>2185.1500000000005</v>
      </c>
      <c r="CG52" s="197">
        <f t="shared" si="81"/>
        <v>2656.7900000000009</v>
      </c>
      <c r="CH52" s="196">
        <f t="shared" si="113"/>
        <v>1495.5942855521628</v>
      </c>
      <c r="CI52" s="197">
        <f t="shared" si="114"/>
        <v>160.57504554852133</v>
      </c>
      <c r="CJ52" s="197">
        <f t="shared" si="115"/>
        <v>751.63584101745084</v>
      </c>
      <c r="CK52" s="197">
        <f t="shared" si="116"/>
        <v>743.95844453471182</v>
      </c>
      <c r="CL52" s="199">
        <f t="shared" si="117"/>
        <v>904.53349008323323</v>
      </c>
      <c r="CM52" s="196">
        <f t="shared" si="144"/>
        <v>34136.061381740219</v>
      </c>
      <c r="CN52" s="197">
        <f t="shared" si="118"/>
        <v>4359.9519306434813</v>
      </c>
      <c r="CO52" s="197">
        <f t="shared" si="119"/>
        <v>30495.494545580885</v>
      </c>
      <c r="CP52" s="197">
        <f t="shared" si="120"/>
        <v>3640.5668361593271</v>
      </c>
      <c r="CQ52" s="199">
        <f t="shared" si="121"/>
        <v>8000.5187668028084</v>
      </c>
      <c r="CT52" s="204">
        <f t="shared" si="145"/>
        <v>15</v>
      </c>
      <c r="CU52" s="197">
        <f>'Energy NPV'!$D105</f>
        <v>16.3</v>
      </c>
      <c r="CV52" s="197">
        <f>'Energy margins'!$Z$12</f>
        <v>269.5</v>
      </c>
      <c r="CW52" s="197">
        <f t="shared" si="146"/>
        <v>4392.8500000000004</v>
      </c>
      <c r="CX52" s="197">
        <f>'Margins summary'!$W$14</f>
        <v>471.64</v>
      </c>
      <c r="CY52" s="197">
        <f t="shared" si="122"/>
        <v>4864.4900000000007</v>
      </c>
      <c r="CZ52" s="197"/>
      <c r="DA52" s="913">
        <f>'Energy NPV'!U105</f>
        <v>2207.6999999999998</v>
      </c>
      <c r="DB52" s="197"/>
      <c r="DC52" s="197">
        <f t="shared" si="123"/>
        <v>2207.6999999999998</v>
      </c>
      <c r="DD52" s="197">
        <f t="shared" si="82"/>
        <v>2185.1500000000005</v>
      </c>
      <c r="DE52" s="197">
        <f t="shared" si="83"/>
        <v>2656.7900000000009</v>
      </c>
      <c r="DF52" s="196">
        <f t="shared" si="124"/>
        <v>4392.8500000000004</v>
      </c>
      <c r="DG52" s="197">
        <f t="shared" si="125"/>
        <v>471.64</v>
      </c>
      <c r="DH52" s="197">
        <f t="shared" si="126"/>
        <v>2207.6999999999998</v>
      </c>
      <c r="DI52" s="197">
        <f t="shared" si="127"/>
        <v>2185.1500000000005</v>
      </c>
      <c r="DJ52" s="199">
        <f t="shared" si="128"/>
        <v>2656.7900000000009</v>
      </c>
      <c r="DK52" s="196">
        <f t="shared" si="147"/>
        <v>59200.166666666657</v>
      </c>
      <c r="DL52" s="197">
        <f t="shared" si="129"/>
        <v>7074.6000000000013</v>
      </c>
      <c r="DM52" s="197">
        <f t="shared" si="130"/>
        <v>43373.474999999991</v>
      </c>
      <c r="DN52" s="197">
        <f t="shared" si="131"/>
        <v>15826.691666666677</v>
      </c>
      <c r="DO52" s="199">
        <f t="shared" si="132"/>
        <v>22901.291666666679</v>
      </c>
    </row>
    <row r="53" spans="2:129" x14ac:dyDescent="0.3">
      <c r="B53" s="206">
        <f t="shared" si="133"/>
        <v>16</v>
      </c>
      <c r="C53" s="207">
        <f>'Energy NPV'!$D106</f>
        <v>16.3</v>
      </c>
      <c r="D53" s="207">
        <f>'Energy margins'!$Z$12</f>
        <v>269.5</v>
      </c>
      <c r="E53" s="207">
        <f t="shared" si="134"/>
        <v>4392.8500000000004</v>
      </c>
      <c r="F53" s="207">
        <f>'Margins summary'!$W$14</f>
        <v>471.64</v>
      </c>
      <c r="G53" s="207">
        <f t="shared" si="84"/>
        <v>4864.4900000000007</v>
      </c>
      <c r="H53" s="207"/>
      <c r="I53" s="914">
        <f>'Energy NPV'!U106</f>
        <v>2207.6999999999998</v>
      </c>
      <c r="J53" s="207">
        <f>'Energy margins'!$AE$67</f>
        <v>500</v>
      </c>
      <c r="K53" s="207">
        <f t="shared" si="85"/>
        <v>2707.7</v>
      </c>
      <c r="L53" s="207">
        <f t="shared" si="74"/>
        <v>1685.1500000000005</v>
      </c>
      <c r="M53" s="207">
        <f t="shared" si="75"/>
        <v>2156.7900000000009</v>
      </c>
      <c r="N53" s="208">
        <f t="shared" si="86"/>
        <v>2439.1936707440095</v>
      </c>
      <c r="O53" s="207">
        <f t="shared" si="87"/>
        <v>261.88495005968895</v>
      </c>
      <c r="P53" s="207">
        <f t="shared" si="88"/>
        <v>1503.4896939967341</v>
      </c>
      <c r="Q53" s="207">
        <f t="shared" si="89"/>
        <v>935.70397674727531</v>
      </c>
      <c r="R53" s="209">
        <f>M53/(1+$B$4)^(B53-1)</f>
        <v>1197.5889268069645</v>
      </c>
      <c r="S53" s="208">
        <f t="shared" si="135"/>
        <v>46657.151313822724</v>
      </c>
      <c r="T53" s="207">
        <f t="shared" si="91"/>
        <v>5715.5162485077717</v>
      </c>
      <c r="U53" s="207">
        <f t="shared" si="91"/>
        <v>37199.511274111588</v>
      </c>
      <c r="V53" s="207">
        <f t="shared" si="91"/>
        <v>9457.6400397111374</v>
      </c>
      <c r="W53" s="209">
        <f t="shared" si="91"/>
        <v>15173.15628821891</v>
      </c>
      <c r="Z53" s="206">
        <f t="shared" si="136"/>
        <v>16</v>
      </c>
      <c r="AA53" s="207">
        <f>'Energy NPV'!$D106</f>
        <v>16.3</v>
      </c>
      <c r="AB53" s="207">
        <f>'Energy margins'!$Z$12</f>
        <v>269.5</v>
      </c>
      <c r="AC53" s="207">
        <f t="shared" si="137"/>
        <v>4392.8500000000004</v>
      </c>
      <c r="AD53" s="207">
        <f>'Margins summary'!$W$14</f>
        <v>471.64</v>
      </c>
      <c r="AE53" s="207">
        <f t="shared" si="92"/>
        <v>4864.4900000000007</v>
      </c>
      <c r="AF53" s="207"/>
      <c r="AG53" s="914">
        <f>'Energy NPV'!U106</f>
        <v>2207.6999999999998</v>
      </c>
      <c r="AH53" s="207">
        <f>'Energy margins'!$AE$67</f>
        <v>500</v>
      </c>
      <c r="AI53" s="207">
        <f t="shared" si="93"/>
        <v>2707.7</v>
      </c>
      <c r="AJ53" s="207">
        <f t="shared" si="76"/>
        <v>1685.1500000000005</v>
      </c>
      <c r="AK53" s="207">
        <f t="shared" si="77"/>
        <v>2156.7900000000009</v>
      </c>
      <c r="AL53" s="208">
        <f t="shared" si="94"/>
        <v>1832.9828220521185</v>
      </c>
      <c r="AM53" s="207">
        <f t="shared" si="95"/>
        <v>196.79889324531024</v>
      </c>
      <c r="AN53" s="207">
        <f t="shared" si="96"/>
        <v>1129.8286049536225</v>
      </c>
      <c r="AO53" s="207">
        <f t="shared" si="97"/>
        <v>703.15421709849602</v>
      </c>
      <c r="AP53" s="209">
        <f t="shared" si="98"/>
        <v>899.95311034380643</v>
      </c>
      <c r="AQ53" s="208">
        <f t="shared" si="138"/>
        <v>40533.767674136623</v>
      </c>
      <c r="AR53" s="207">
        <f t="shared" si="99"/>
        <v>5052.3251125781553</v>
      </c>
      <c r="AS53" s="207">
        <f t="shared" si="99"/>
        <v>33984.603095149643</v>
      </c>
      <c r="AT53" s="207">
        <f t="shared" si="99"/>
        <v>6549.164578986989</v>
      </c>
      <c r="AU53" s="209">
        <f t="shared" si="99"/>
        <v>11601.489691565148</v>
      </c>
      <c r="AX53" s="206">
        <f t="shared" si="139"/>
        <v>16</v>
      </c>
      <c r="AY53" s="207">
        <f>'Energy NPV'!$D106</f>
        <v>16.3</v>
      </c>
      <c r="AZ53" s="207">
        <f>'Energy margins'!$Z$12</f>
        <v>269.5</v>
      </c>
      <c r="BA53" s="207">
        <f t="shared" si="140"/>
        <v>4392.8500000000004</v>
      </c>
      <c r="BB53" s="207">
        <f>'Margins summary'!$W$14</f>
        <v>471.64</v>
      </c>
      <c r="BC53" s="207">
        <f t="shared" si="100"/>
        <v>4864.4900000000007</v>
      </c>
      <c r="BD53" s="207"/>
      <c r="BE53" s="914">
        <f>'Energy NPV'!U106</f>
        <v>2207.6999999999998</v>
      </c>
      <c r="BF53" s="207">
        <f>'Energy margins'!$AE$67</f>
        <v>500</v>
      </c>
      <c r="BG53" s="207">
        <f t="shared" si="101"/>
        <v>2707.7</v>
      </c>
      <c r="BH53" s="207">
        <f t="shared" si="78"/>
        <v>1685.1500000000005</v>
      </c>
      <c r="BI53" s="207">
        <f t="shared" si="79"/>
        <v>2156.7900000000009</v>
      </c>
      <c r="BJ53" s="208">
        <f t="shared" si="102"/>
        <v>3263.952256630067</v>
      </c>
      <c r="BK53" s="207">
        <f t="shared" si="103"/>
        <v>350.43546725178521</v>
      </c>
      <c r="BL53" s="207">
        <f t="shared" si="104"/>
        <v>2011.8609843899135</v>
      </c>
      <c r="BM53" s="207">
        <f t="shared" si="105"/>
        <v>1252.0912722401538</v>
      </c>
      <c r="BN53" s="209">
        <f t="shared" si="106"/>
        <v>1602.5267394919392</v>
      </c>
      <c r="BO53" s="208">
        <f t="shared" si="141"/>
        <v>54204.349661554923</v>
      </c>
      <c r="BP53" s="207">
        <f t="shared" si="107"/>
        <v>6531.8666374107434</v>
      </c>
      <c r="BQ53" s="207">
        <f t="shared" si="108"/>
        <v>41158.398819279239</v>
      </c>
      <c r="BR53" s="207">
        <f t="shared" si="109"/>
        <v>13045.950842275684</v>
      </c>
      <c r="BS53" s="209">
        <f t="shared" si="110"/>
        <v>19577.817479686426</v>
      </c>
      <c r="BV53" s="206">
        <f t="shared" si="142"/>
        <v>16</v>
      </c>
      <c r="BW53" s="207">
        <f>'Energy NPV'!$D106</f>
        <v>16.3</v>
      </c>
      <c r="BX53" s="207">
        <f>'Energy margins'!$Z$12</f>
        <v>269.5</v>
      </c>
      <c r="BY53" s="207">
        <f t="shared" si="143"/>
        <v>4392.8500000000004</v>
      </c>
      <c r="BZ53" s="207">
        <f>'Margins summary'!$W$14</f>
        <v>471.64</v>
      </c>
      <c r="CA53" s="207">
        <f t="shared" si="111"/>
        <v>4864.4900000000007</v>
      </c>
      <c r="CB53" s="207"/>
      <c r="CC53" s="914">
        <f>'Energy NPV'!U106</f>
        <v>2207.6999999999998</v>
      </c>
      <c r="CD53" s="207">
        <f>'Energy margins'!$AE$67</f>
        <v>500</v>
      </c>
      <c r="CE53" s="207">
        <f t="shared" si="112"/>
        <v>2707.7</v>
      </c>
      <c r="CF53" s="207">
        <f t="shared" si="80"/>
        <v>1685.1500000000005</v>
      </c>
      <c r="CG53" s="207">
        <f t="shared" si="81"/>
        <v>2156.7900000000009</v>
      </c>
      <c r="CH53" s="208">
        <f t="shared" si="113"/>
        <v>1384.8095236594097</v>
      </c>
      <c r="CI53" s="207">
        <f t="shared" si="114"/>
        <v>148.68059773011234</v>
      </c>
      <c r="CJ53" s="207">
        <f t="shared" si="115"/>
        <v>853.57996453614021</v>
      </c>
      <c r="CK53" s="207">
        <f t="shared" si="116"/>
        <v>531.22955912326961</v>
      </c>
      <c r="CL53" s="209">
        <f t="shared" si="117"/>
        <v>679.91015685338209</v>
      </c>
      <c r="CM53" s="208">
        <f t="shared" si="144"/>
        <v>35520.870905399628</v>
      </c>
      <c r="CN53" s="207">
        <f t="shared" si="118"/>
        <v>4508.6325283735932</v>
      </c>
      <c r="CO53" s="207">
        <f t="shared" si="119"/>
        <v>31349.074510117025</v>
      </c>
      <c r="CP53" s="207">
        <f t="shared" si="120"/>
        <v>4171.7963952825967</v>
      </c>
      <c r="CQ53" s="209">
        <f t="shared" si="121"/>
        <v>8680.4289236561908</v>
      </c>
      <c r="CT53" s="206">
        <f t="shared" si="145"/>
        <v>16</v>
      </c>
      <c r="CU53" s="207">
        <f>'Energy NPV'!$D106</f>
        <v>16.3</v>
      </c>
      <c r="CV53" s="207">
        <f>'Energy margins'!$Z$12</f>
        <v>269.5</v>
      </c>
      <c r="CW53" s="207">
        <f t="shared" si="146"/>
        <v>4392.8500000000004</v>
      </c>
      <c r="CX53" s="207">
        <f>'Margins summary'!$W$14</f>
        <v>471.64</v>
      </c>
      <c r="CY53" s="207">
        <f t="shared" si="122"/>
        <v>4864.4900000000007</v>
      </c>
      <c r="CZ53" s="207"/>
      <c r="DA53" s="914">
        <f>'Energy NPV'!U106</f>
        <v>2207.6999999999998</v>
      </c>
      <c r="DB53" s="207">
        <f>'Energy margins'!$AE$67</f>
        <v>500</v>
      </c>
      <c r="DC53" s="207">
        <f t="shared" si="123"/>
        <v>2707.7</v>
      </c>
      <c r="DD53" s="207">
        <f t="shared" si="82"/>
        <v>1685.1500000000005</v>
      </c>
      <c r="DE53" s="207">
        <f t="shared" si="83"/>
        <v>2156.7900000000009</v>
      </c>
      <c r="DF53" s="208">
        <f t="shared" si="124"/>
        <v>4392.8500000000004</v>
      </c>
      <c r="DG53" s="207">
        <f t="shared" si="125"/>
        <v>471.64</v>
      </c>
      <c r="DH53" s="207">
        <f t="shared" si="126"/>
        <v>2707.7</v>
      </c>
      <c r="DI53" s="207">
        <f t="shared" si="127"/>
        <v>1685.1500000000005</v>
      </c>
      <c r="DJ53" s="209">
        <f t="shared" si="128"/>
        <v>2156.7900000000009</v>
      </c>
      <c r="DK53" s="208">
        <f t="shared" si="147"/>
        <v>63593.016666666656</v>
      </c>
      <c r="DL53" s="207">
        <f t="shared" si="129"/>
        <v>7546.2400000000016</v>
      </c>
      <c r="DM53" s="207">
        <f t="shared" si="130"/>
        <v>46081.174999999988</v>
      </c>
      <c r="DN53" s="207">
        <f t="shared" si="131"/>
        <v>17511.841666666678</v>
      </c>
      <c r="DO53" s="209">
        <f t="shared" si="132"/>
        <v>25058.08166666668</v>
      </c>
    </row>
    <row r="59" spans="2:129" x14ac:dyDescent="0.3">
      <c r="B59" s="211" t="s">
        <v>289</v>
      </c>
      <c r="C59" s="760" t="s">
        <v>412</v>
      </c>
      <c r="D59" s="269" t="s">
        <v>397</v>
      </c>
      <c r="AB59" s="211" t="s">
        <v>289</v>
      </c>
      <c r="AC59" s="760" t="s">
        <v>413</v>
      </c>
      <c r="AD59" s="269" t="s">
        <v>397</v>
      </c>
      <c r="BB59" s="211" t="s">
        <v>289</v>
      </c>
      <c r="BC59" s="760" t="s">
        <v>414</v>
      </c>
      <c r="BD59" s="269" t="s">
        <v>397</v>
      </c>
      <c r="CB59" s="211" t="s">
        <v>289</v>
      </c>
      <c r="CC59" s="760" t="s">
        <v>415</v>
      </c>
      <c r="CD59" s="269" t="s">
        <v>397</v>
      </c>
      <c r="DB59" s="211" t="s">
        <v>289</v>
      </c>
      <c r="DC59" s="760" t="s">
        <v>416</v>
      </c>
      <c r="DD59" s="269" t="s">
        <v>397</v>
      </c>
    </row>
    <row r="60" spans="2:129" x14ac:dyDescent="0.3">
      <c r="B60" s="203"/>
      <c r="C60" s="103"/>
      <c r="D60" s="158"/>
      <c r="E60" s="158"/>
      <c r="F60" s="158"/>
      <c r="G60" s="158"/>
      <c r="H60" s="755"/>
      <c r="I60" s="755"/>
      <c r="J60" s="755"/>
      <c r="K60" s="148"/>
      <c r="L60" s="148"/>
      <c r="M60" s="755"/>
      <c r="N60" s="148"/>
      <c r="O60" s="148"/>
      <c r="P60" s="1011" t="s">
        <v>273</v>
      </c>
      <c r="Q60" s="1012"/>
      <c r="R60" s="1012"/>
      <c r="S60" s="1012"/>
      <c r="T60" s="1013"/>
      <c r="U60" s="1011" t="s">
        <v>274</v>
      </c>
      <c r="V60" s="1012"/>
      <c r="W60" s="1012"/>
      <c r="X60" s="1012"/>
      <c r="Y60" s="1013"/>
      <c r="AB60" s="203"/>
      <c r="AC60" s="103"/>
      <c r="AD60" s="158"/>
      <c r="AE60" s="158"/>
      <c r="AF60" s="158"/>
      <c r="AG60" s="158"/>
      <c r="AH60" s="755"/>
      <c r="AI60" s="755"/>
      <c r="AJ60" s="755"/>
      <c r="AK60" s="148"/>
      <c r="AL60" s="148"/>
      <c r="AM60" s="755"/>
      <c r="AN60" s="148"/>
      <c r="AO60" s="148"/>
      <c r="AP60" s="1011" t="s">
        <v>273</v>
      </c>
      <c r="AQ60" s="1012"/>
      <c r="AR60" s="1012"/>
      <c r="AS60" s="1012"/>
      <c r="AT60" s="1013"/>
      <c r="AU60" s="1011" t="s">
        <v>274</v>
      </c>
      <c r="AV60" s="1012"/>
      <c r="AW60" s="1012"/>
      <c r="AX60" s="1012"/>
      <c r="AY60" s="1013"/>
      <c r="BB60" s="203"/>
      <c r="BC60" s="103"/>
      <c r="BD60" s="158"/>
      <c r="BE60" s="158"/>
      <c r="BF60" s="158"/>
      <c r="BG60" s="158"/>
      <c r="BH60" s="755"/>
      <c r="BI60" s="755"/>
      <c r="BJ60" s="755"/>
      <c r="BK60" s="148"/>
      <c r="BL60" s="148"/>
      <c r="BM60" s="755"/>
      <c r="BN60" s="148"/>
      <c r="BO60" s="148"/>
      <c r="BP60" s="1011" t="s">
        <v>273</v>
      </c>
      <c r="BQ60" s="1012"/>
      <c r="BR60" s="1012"/>
      <c r="BS60" s="1012"/>
      <c r="BT60" s="1013"/>
      <c r="BU60" s="1011" t="s">
        <v>274</v>
      </c>
      <c r="BV60" s="1012"/>
      <c r="BW60" s="1012"/>
      <c r="BX60" s="1012"/>
      <c r="BY60" s="1013"/>
      <c r="CB60" s="203"/>
      <c r="CC60" s="103"/>
      <c r="CD60" s="158"/>
      <c r="CE60" s="158"/>
      <c r="CF60" s="158"/>
      <c r="CG60" s="158"/>
      <c r="CH60" s="755"/>
      <c r="CI60" s="755"/>
      <c r="CJ60" s="755"/>
      <c r="CK60" s="148"/>
      <c r="CL60" s="148"/>
      <c r="CM60" s="755"/>
      <c r="CN60" s="148"/>
      <c r="CO60" s="148"/>
      <c r="CP60" s="1011" t="s">
        <v>273</v>
      </c>
      <c r="CQ60" s="1012"/>
      <c r="CR60" s="1012"/>
      <c r="CS60" s="1012"/>
      <c r="CT60" s="1013"/>
      <c r="CU60" s="1011" t="s">
        <v>274</v>
      </c>
      <c r="CV60" s="1012"/>
      <c r="CW60" s="1012"/>
      <c r="CX60" s="1012"/>
      <c r="CY60" s="1013"/>
      <c r="DB60" s="203"/>
      <c r="DC60" s="64"/>
      <c r="DE60" s="158"/>
      <c r="DF60" s="158"/>
      <c r="DG60" s="158"/>
      <c r="DH60" s="755"/>
      <c r="DI60" s="755"/>
      <c r="DJ60" s="755"/>
      <c r="DK60" s="148"/>
      <c r="DL60" s="148"/>
      <c r="DM60" s="755"/>
      <c r="DN60" s="148"/>
      <c r="DO60" s="148"/>
      <c r="DP60" s="1011" t="s">
        <v>273</v>
      </c>
      <c r="DQ60" s="1012"/>
      <c r="DR60" s="1012"/>
      <c r="DS60" s="1012"/>
      <c r="DT60" s="1013"/>
      <c r="DU60" s="1011" t="s">
        <v>274</v>
      </c>
      <c r="DV60" s="1012"/>
      <c r="DW60" s="1012"/>
      <c r="DX60" s="1012"/>
      <c r="DY60" s="1013"/>
    </row>
    <row r="61" spans="2:129" ht="51" x14ac:dyDescent="0.3">
      <c r="B61" s="204" t="s">
        <v>275</v>
      </c>
      <c r="C61" s="204" t="s">
        <v>276</v>
      </c>
      <c r="D61" s="205" t="s">
        <v>293</v>
      </c>
      <c r="E61" s="205" t="s">
        <v>294</v>
      </c>
      <c r="F61" s="205" t="s">
        <v>686</v>
      </c>
      <c r="G61" s="205" t="s">
        <v>687</v>
      </c>
      <c r="H61" s="171" t="s">
        <v>622</v>
      </c>
      <c r="I61" s="171" t="s">
        <v>591</v>
      </c>
      <c r="J61" s="171" t="s">
        <v>623</v>
      </c>
      <c r="K61" s="205" t="str">
        <f>'Arable NPV'!$G$141</f>
        <v>Total Variable Costs</v>
      </c>
      <c r="L61" s="205" t="str">
        <f>'Arable NPV'!$H$141</f>
        <v>Total Fixed Costs</v>
      </c>
      <c r="M61" s="171" t="s">
        <v>279</v>
      </c>
      <c r="N61" s="171" t="s">
        <v>624</v>
      </c>
      <c r="O61" s="171" t="s">
        <v>625</v>
      </c>
      <c r="P61" s="195" t="s">
        <v>280</v>
      </c>
      <c r="Q61" s="171" t="s">
        <v>626</v>
      </c>
      <c r="R61" s="171" t="s">
        <v>281</v>
      </c>
      <c r="S61" s="171" t="s">
        <v>627</v>
      </c>
      <c r="T61" s="198" t="s">
        <v>282</v>
      </c>
      <c r="U61" s="195" t="s">
        <v>283</v>
      </c>
      <c r="V61" s="171" t="s">
        <v>628</v>
      </c>
      <c r="W61" s="171" t="s">
        <v>284</v>
      </c>
      <c r="X61" s="171" t="s">
        <v>629</v>
      </c>
      <c r="Y61" s="198" t="s">
        <v>285</v>
      </c>
      <c r="AB61" s="204" t="s">
        <v>275</v>
      </c>
      <c r="AC61" s="204" t="s">
        <v>276</v>
      </c>
      <c r="AD61" s="205" t="s">
        <v>293</v>
      </c>
      <c r="AE61" s="205" t="s">
        <v>294</v>
      </c>
      <c r="AF61" s="205" t="s">
        <v>686</v>
      </c>
      <c r="AG61" s="205" t="s">
        <v>687</v>
      </c>
      <c r="AH61" s="171" t="s">
        <v>622</v>
      </c>
      <c r="AI61" s="171" t="s">
        <v>591</v>
      </c>
      <c r="AJ61" s="171" t="s">
        <v>623</v>
      </c>
      <c r="AK61" s="205" t="str">
        <f>'Arable NPV'!$G$141</f>
        <v>Total Variable Costs</v>
      </c>
      <c r="AL61" s="205" t="str">
        <f>'Arable NPV'!$H$141</f>
        <v>Total Fixed Costs</v>
      </c>
      <c r="AM61" s="171" t="s">
        <v>279</v>
      </c>
      <c r="AN61" s="171" t="s">
        <v>624</v>
      </c>
      <c r="AO61" s="171" t="s">
        <v>625</v>
      </c>
      <c r="AP61" s="195" t="s">
        <v>280</v>
      </c>
      <c r="AQ61" s="171" t="s">
        <v>626</v>
      </c>
      <c r="AR61" s="171" t="s">
        <v>281</v>
      </c>
      <c r="AS61" s="171" t="s">
        <v>627</v>
      </c>
      <c r="AT61" s="198" t="s">
        <v>282</v>
      </c>
      <c r="AU61" s="195" t="s">
        <v>283</v>
      </c>
      <c r="AV61" s="171" t="s">
        <v>628</v>
      </c>
      <c r="AW61" s="171" t="s">
        <v>284</v>
      </c>
      <c r="AX61" s="171" t="s">
        <v>629</v>
      </c>
      <c r="AY61" s="198" t="s">
        <v>285</v>
      </c>
      <c r="BB61" s="204" t="s">
        <v>275</v>
      </c>
      <c r="BC61" s="204" t="s">
        <v>276</v>
      </c>
      <c r="BD61" s="205" t="s">
        <v>293</v>
      </c>
      <c r="BE61" s="205" t="s">
        <v>294</v>
      </c>
      <c r="BF61" s="205" t="s">
        <v>686</v>
      </c>
      <c r="BG61" s="205" t="s">
        <v>687</v>
      </c>
      <c r="BH61" s="171" t="s">
        <v>622</v>
      </c>
      <c r="BI61" s="171" t="s">
        <v>591</v>
      </c>
      <c r="BJ61" s="171" t="s">
        <v>623</v>
      </c>
      <c r="BK61" s="205" t="str">
        <f>'Arable NPV'!$G$141</f>
        <v>Total Variable Costs</v>
      </c>
      <c r="BL61" s="205" t="str">
        <f>'Arable NPV'!$H$141</f>
        <v>Total Fixed Costs</v>
      </c>
      <c r="BM61" s="171" t="s">
        <v>279</v>
      </c>
      <c r="BN61" s="171" t="s">
        <v>624</v>
      </c>
      <c r="BO61" s="171" t="s">
        <v>625</v>
      </c>
      <c r="BP61" s="195" t="s">
        <v>280</v>
      </c>
      <c r="BQ61" s="171" t="s">
        <v>626</v>
      </c>
      <c r="BR61" s="171" t="s">
        <v>281</v>
      </c>
      <c r="BS61" s="171" t="s">
        <v>627</v>
      </c>
      <c r="BT61" s="198" t="s">
        <v>282</v>
      </c>
      <c r="BU61" s="195" t="s">
        <v>283</v>
      </c>
      <c r="BV61" s="171" t="s">
        <v>628</v>
      </c>
      <c r="BW61" s="171" t="s">
        <v>284</v>
      </c>
      <c r="BX61" s="171" t="s">
        <v>629</v>
      </c>
      <c r="BY61" s="198" t="s">
        <v>285</v>
      </c>
      <c r="CB61" s="204" t="s">
        <v>275</v>
      </c>
      <c r="CC61" s="204" t="s">
        <v>276</v>
      </c>
      <c r="CD61" s="205" t="s">
        <v>293</v>
      </c>
      <c r="CE61" s="205" t="s">
        <v>294</v>
      </c>
      <c r="CF61" s="205" t="s">
        <v>686</v>
      </c>
      <c r="CG61" s="205" t="s">
        <v>687</v>
      </c>
      <c r="CH61" s="171" t="s">
        <v>622</v>
      </c>
      <c r="CI61" s="171" t="s">
        <v>591</v>
      </c>
      <c r="CJ61" s="171" t="s">
        <v>623</v>
      </c>
      <c r="CK61" s="205" t="str">
        <f>'Arable NPV'!$G$141</f>
        <v>Total Variable Costs</v>
      </c>
      <c r="CL61" s="205" t="str">
        <f>'Arable NPV'!$H$141</f>
        <v>Total Fixed Costs</v>
      </c>
      <c r="CM61" s="171" t="s">
        <v>279</v>
      </c>
      <c r="CN61" s="171" t="s">
        <v>624</v>
      </c>
      <c r="CO61" s="171" t="s">
        <v>625</v>
      </c>
      <c r="CP61" s="195" t="s">
        <v>280</v>
      </c>
      <c r="CQ61" s="171" t="s">
        <v>626</v>
      </c>
      <c r="CR61" s="171" t="s">
        <v>281</v>
      </c>
      <c r="CS61" s="171" t="s">
        <v>627</v>
      </c>
      <c r="CT61" s="198" t="s">
        <v>282</v>
      </c>
      <c r="CU61" s="195" t="s">
        <v>283</v>
      </c>
      <c r="CV61" s="171" t="s">
        <v>628</v>
      </c>
      <c r="CW61" s="171" t="s">
        <v>284</v>
      </c>
      <c r="CX61" s="171" t="s">
        <v>629</v>
      </c>
      <c r="CY61" s="198" t="s">
        <v>285</v>
      </c>
      <c r="DB61" s="204" t="s">
        <v>275</v>
      </c>
      <c r="DC61" s="204" t="s">
        <v>276</v>
      </c>
      <c r="DD61" s="205" t="s">
        <v>293</v>
      </c>
      <c r="DE61" s="205" t="s">
        <v>294</v>
      </c>
      <c r="DF61" s="205" t="s">
        <v>686</v>
      </c>
      <c r="DG61" s="205" t="s">
        <v>687</v>
      </c>
      <c r="DH61" s="171" t="s">
        <v>622</v>
      </c>
      <c r="DI61" s="171" t="s">
        <v>591</v>
      </c>
      <c r="DJ61" s="171" t="s">
        <v>623</v>
      </c>
      <c r="DK61" s="205" t="str">
        <f>'Arable NPV'!$G$141</f>
        <v>Total Variable Costs</v>
      </c>
      <c r="DL61" s="205" t="str">
        <f>'Arable NPV'!$H$141</f>
        <v>Total Fixed Costs</v>
      </c>
      <c r="DM61" s="171" t="s">
        <v>279</v>
      </c>
      <c r="DN61" s="171" t="s">
        <v>624</v>
      </c>
      <c r="DO61" s="171" t="s">
        <v>625</v>
      </c>
      <c r="DP61" s="195" t="s">
        <v>280</v>
      </c>
      <c r="DQ61" s="171" t="s">
        <v>626</v>
      </c>
      <c r="DR61" s="171" t="s">
        <v>281</v>
      </c>
      <c r="DS61" s="171" t="s">
        <v>627</v>
      </c>
      <c r="DT61" s="198" t="s">
        <v>282</v>
      </c>
      <c r="DU61" s="195" t="s">
        <v>283</v>
      </c>
      <c r="DV61" s="171" t="s">
        <v>628</v>
      </c>
      <c r="DW61" s="171" t="s">
        <v>284</v>
      </c>
      <c r="DX61" s="171" t="s">
        <v>629</v>
      </c>
      <c r="DY61" s="198" t="s">
        <v>285</v>
      </c>
    </row>
    <row r="62" spans="2:129" x14ac:dyDescent="0.3">
      <c r="B62" s="173"/>
      <c r="C62" s="55"/>
      <c r="D62" s="226" t="s">
        <v>336</v>
      </c>
      <c r="E62" s="226" t="s">
        <v>573</v>
      </c>
      <c r="F62" s="226" t="s">
        <v>336</v>
      </c>
      <c r="G62" s="226" t="s">
        <v>573</v>
      </c>
      <c r="H62" s="201" t="s">
        <v>571</v>
      </c>
      <c r="I62" s="201" t="s">
        <v>571</v>
      </c>
      <c r="J62" s="201" t="s">
        <v>571</v>
      </c>
      <c r="K62" s="201" t="s">
        <v>571</v>
      </c>
      <c r="L62" s="201" t="s">
        <v>571</v>
      </c>
      <c r="M62" s="201" t="s">
        <v>571</v>
      </c>
      <c r="N62" s="201" t="s">
        <v>571</v>
      </c>
      <c r="O62" s="202" t="s">
        <v>571</v>
      </c>
      <c r="P62" s="201" t="s">
        <v>571</v>
      </c>
      <c r="Q62" s="201" t="s">
        <v>571</v>
      </c>
      <c r="R62" s="201" t="s">
        <v>571</v>
      </c>
      <c r="S62" s="201" t="s">
        <v>571</v>
      </c>
      <c r="T62" s="202" t="s">
        <v>571</v>
      </c>
      <c r="U62" s="201" t="s">
        <v>571</v>
      </c>
      <c r="V62" s="201" t="s">
        <v>571</v>
      </c>
      <c r="W62" s="201" t="s">
        <v>571</v>
      </c>
      <c r="X62" s="201" t="s">
        <v>571</v>
      </c>
      <c r="Y62" s="202" t="s">
        <v>571</v>
      </c>
      <c r="AB62" s="173"/>
      <c r="AC62" s="55"/>
      <c r="AD62" s="226" t="s">
        <v>336</v>
      </c>
      <c r="AE62" s="226" t="s">
        <v>573</v>
      </c>
      <c r="AF62" s="226" t="s">
        <v>336</v>
      </c>
      <c r="AG62" s="226" t="s">
        <v>573</v>
      </c>
      <c r="AH62" s="201" t="s">
        <v>571</v>
      </c>
      <c r="AI62" s="201" t="s">
        <v>571</v>
      </c>
      <c r="AJ62" s="201" t="s">
        <v>571</v>
      </c>
      <c r="AK62" s="201" t="s">
        <v>571</v>
      </c>
      <c r="AL62" s="201" t="s">
        <v>571</v>
      </c>
      <c r="AM62" s="201" t="s">
        <v>571</v>
      </c>
      <c r="AN62" s="201" t="s">
        <v>571</v>
      </c>
      <c r="AO62" s="202" t="s">
        <v>571</v>
      </c>
      <c r="AP62" s="201" t="s">
        <v>571</v>
      </c>
      <c r="AQ62" s="201" t="s">
        <v>571</v>
      </c>
      <c r="AR62" s="201" t="s">
        <v>571</v>
      </c>
      <c r="AS62" s="201" t="s">
        <v>571</v>
      </c>
      <c r="AT62" s="202" t="s">
        <v>571</v>
      </c>
      <c r="AU62" s="201" t="s">
        <v>571</v>
      </c>
      <c r="AV62" s="201" t="s">
        <v>571</v>
      </c>
      <c r="AW62" s="201" t="s">
        <v>571</v>
      </c>
      <c r="AX62" s="201" t="s">
        <v>571</v>
      </c>
      <c r="AY62" s="202" t="s">
        <v>571</v>
      </c>
      <c r="BB62" s="173"/>
      <c r="BC62" s="55"/>
      <c r="BD62" s="226" t="s">
        <v>336</v>
      </c>
      <c r="BE62" s="226" t="s">
        <v>573</v>
      </c>
      <c r="BF62" s="226" t="s">
        <v>336</v>
      </c>
      <c r="BG62" s="226" t="s">
        <v>573</v>
      </c>
      <c r="BH62" s="201" t="s">
        <v>571</v>
      </c>
      <c r="BI62" s="201" t="s">
        <v>571</v>
      </c>
      <c r="BJ62" s="201" t="s">
        <v>571</v>
      </c>
      <c r="BK62" s="201" t="s">
        <v>571</v>
      </c>
      <c r="BL62" s="201" t="s">
        <v>571</v>
      </c>
      <c r="BM62" s="201" t="s">
        <v>571</v>
      </c>
      <c r="BN62" s="201" t="s">
        <v>571</v>
      </c>
      <c r="BO62" s="202" t="s">
        <v>571</v>
      </c>
      <c r="BP62" s="201" t="s">
        <v>571</v>
      </c>
      <c r="BQ62" s="201" t="s">
        <v>571</v>
      </c>
      <c r="BR62" s="201" t="s">
        <v>571</v>
      </c>
      <c r="BS62" s="201" t="s">
        <v>571</v>
      </c>
      <c r="BT62" s="202" t="s">
        <v>571</v>
      </c>
      <c r="BU62" s="201" t="s">
        <v>571</v>
      </c>
      <c r="BV62" s="201" t="s">
        <v>571</v>
      </c>
      <c r="BW62" s="201" t="s">
        <v>571</v>
      </c>
      <c r="BX62" s="201" t="s">
        <v>571</v>
      </c>
      <c r="BY62" s="202" t="s">
        <v>571</v>
      </c>
      <c r="CB62" s="173"/>
      <c r="CC62" s="55"/>
      <c r="CD62" s="226" t="s">
        <v>336</v>
      </c>
      <c r="CE62" s="226" t="s">
        <v>573</v>
      </c>
      <c r="CF62" s="226" t="s">
        <v>336</v>
      </c>
      <c r="CG62" s="226" t="s">
        <v>573</v>
      </c>
      <c r="CH62" s="201" t="s">
        <v>571</v>
      </c>
      <c r="CI62" s="201" t="s">
        <v>571</v>
      </c>
      <c r="CJ62" s="201" t="s">
        <v>571</v>
      </c>
      <c r="CK62" s="201" t="s">
        <v>571</v>
      </c>
      <c r="CL62" s="201" t="s">
        <v>571</v>
      </c>
      <c r="CM62" s="201" t="s">
        <v>571</v>
      </c>
      <c r="CN62" s="201" t="s">
        <v>571</v>
      </c>
      <c r="CO62" s="202" t="s">
        <v>571</v>
      </c>
      <c r="CP62" s="201" t="s">
        <v>571</v>
      </c>
      <c r="CQ62" s="201" t="s">
        <v>571</v>
      </c>
      <c r="CR62" s="201" t="s">
        <v>571</v>
      </c>
      <c r="CS62" s="201" t="s">
        <v>571</v>
      </c>
      <c r="CT62" s="202" t="s">
        <v>571</v>
      </c>
      <c r="CU62" s="201" t="s">
        <v>571</v>
      </c>
      <c r="CV62" s="201" t="s">
        <v>571</v>
      </c>
      <c r="CW62" s="201" t="s">
        <v>571</v>
      </c>
      <c r="CX62" s="201" t="s">
        <v>571</v>
      </c>
      <c r="CY62" s="202" t="s">
        <v>571</v>
      </c>
      <c r="DB62" s="173"/>
      <c r="DC62" s="55"/>
      <c r="DD62" s="226" t="s">
        <v>336</v>
      </c>
      <c r="DE62" s="226" t="s">
        <v>573</v>
      </c>
      <c r="DF62" s="226" t="s">
        <v>336</v>
      </c>
      <c r="DG62" s="226" t="s">
        <v>573</v>
      </c>
      <c r="DH62" s="201" t="s">
        <v>571</v>
      </c>
      <c r="DI62" s="201" t="s">
        <v>571</v>
      </c>
      <c r="DJ62" s="201" t="s">
        <v>571</v>
      </c>
      <c r="DK62" s="201" t="s">
        <v>571</v>
      </c>
      <c r="DL62" s="201" t="s">
        <v>571</v>
      </c>
      <c r="DM62" s="201" t="s">
        <v>571</v>
      </c>
      <c r="DN62" s="201" t="s">
        <v>571</v>
      </c>
      <c r="DO62" s="202" t="s">
        <v>571</v>
      </c>
      <c r="DP62" s="201" t="s">
        <v>571</v>
      </c>
      <c r="DQ62" s="201" t="s">
        <v>571</v>
      </c>
      <c r="DR62" s="201" t="s">
        <v>571</v>
      </c>
      <c r="DS62" s="201" t="s">
        <v>571</v>
      </c>
      <c r="DT62" s="202" t="s">
        <v>571</v>
      </c>
      <c r="DU62" s="201" t="s">
        <v>571</v>
      </c>
      <c r="DV62" s="201" t="s">
        <v>571</v>
      </c>
      <c r="DW62" s="201" t="s">
        <v>571</v>
      </c>
      <c r="DX62" s="201" t="s">
        <v>571</v>
      </c>
      <c r="DY62" s="202" t="s">
        <v>571</v>
      </c>
    </row>
    <row r="63" spans="2:129" x14ac:dyDescent="0.3">
      <c r="B63" s="204">
        <v>1</v>
      </c>
      <c r="C63" s="219" t="s">
        <v>4</v>
      </c>
      <c r="D63" s="757">
        <f>'Arable Inputs'!$D$18</f>
        <v>4.5999999999999996</v>
      </c>
      <c r="E63" s="757">
        <f>'Arable Inputs'!$D$25</f>
        <v>867</v>
      </c>
      <c r="F63" s="757">
        <f>'Arable Inputs'!$D$19</f>
        <v>4.9000000000000004</v>
      </c>
      <c r="G63" s="757">
        <f>'Arable Inputs'!$D$26</f>
        <v>140</v>
      </c>
      <c r="H63" s="759">
        <f>D63*E63+F63*G63</f>
        <v>4674.2</v>
      </c>
      <c r="I63" s="197">
        <f>'Arable NPV'!$E143</f>
        <v>471.64</v>
      </c>
      <c r="J63" s="197">
        <f>H63+I63</f>
        <v>5145.84</v>
      </c>
      <c r="K63" s="197">
        <f>'Arable NPV'!$G143</f>
        <v>2731.3292000000006</v>
      </c>
      <c r="L63" s="197">
        <f>'Arable NPV'!$H143</f>
        <v>4055.6064000000006</v>
      </c>
      <c r="M63" s="197">
        <f>K63+L63</f>
        <v>6786.9356000000007</v>
      </c>
      <c r="N63" s="197">
        <f>H63-M63</f>
        <v>-2112.7356000000009</v>
      </c>
      <c r="O63" s="197">
        <f>J63-M63</f>
        <v>-1641.0956000000006</v>
      </c>
      <c r="P63" s="1014">
        <f t="shared" ref="P63:P78" si="148">H63/(1+$B$4)^(B63-1)</f>
        <v>4674.2</v>
      </c>
      <c r="Q63" s="213">
        <f t="shared" ref="Q63:Q78" si="149">I63/(1+$B$4)^(B63-1)</f>
        <v>471.64</v>
      </c>
      <c r="R63" s="213">
        <f t="shared" ref="R63:R78" si="150">M63/(1+$B$4)^(B63-1)</f>
        <v>6786.9356000000007</v>
      </c>
      <c r="S63" s="213">
        <f t="shared" ref="S63:S78" si="151">N63/(1+$B$4)^(B63-1)</f>
        <v>-2112.7356000000009</v>
      </c>
      <c r="T63" s="924">
        <f t="shared" ref="T63:T78" si="152">O63/(1+$B$4)^(B63-1)</f>
        <v>-1641.0956000000006</v>
      </c>
      <c r="U63" s="196">
        <f>P63</f>
        <v>4674.2</v>
      </c>
      <c r="V63" s="197">
        <f>Q63</f>
        <v>471.64</v>
      </c>
      <c r="W63" s="197">
        <f>R63</f>
        <v>6786.9356000000007</v>
      </c>
      <c r="X63" s="197">
        <f>S63</f>
        <v>-2112.7356000000009</v>
      </c>
      <c r="Y63" s="199">
        <f>T63</f>
        <v>-1641.0956000000006</v>
      </c>
      <c r="AB63" s="204">
        <v>1</v>
      </c>
      <c r="AC63" s="219" t="s">
        <v>4</v>
      </c>
      <c r="AD63" s="757">
        <f>'Arable Inputs'!$D$18</f>
        <v>4.5999999999999996</v>
      </c>
      <c r="AE63" s="757">
        <f>'Arable Inputs'!$D$25</f>
        <v>867</v>
      </c>
      <c r="AF63" s="757">
        <f>'Arable Inputs'!$D$19</f>
        <v>4.9000000000000004</v>
      </c>
      <c r="AG63" s="757">
        <f>'Arable Inputs'!$D$26</f>
        <v>140</v>
      </c>
      <c r="AH63" s="759">
        <f>AD63*AE63+AF63*AG63</f>
        <v>4674.2</v>
      </c>
      <c r="AI63" s="197">
        <f>'Arable NPV'!$E143</f>
        <v>471.64</v>
      </c>
      <c r="AJ63" s="197">
        <f>AH63+AI63</f>
        <v>5145.84</v>
      </c>
      <c r="AK63" s="197">
        <f>'Arable NPV'!$G143</f>
        <v>2731.3292000000006</v>
      </c>
      <c r="AL63" s="197">
        <f>'Arable NPV'!$H143</f>
        <v>4055.6064000000006</v>
      </c>
      <c r="AM63" s="197">
        <f>AK63+AL63</f>
        <v>6786.9356000000007</v>
      </c>
      <c r="AN63" s="197">
        <f>AH63-AM63</f>
        <v>-2112.7356000000009</v>
      </c>
      <c r="AO63" s="197">
        <f>AJ63-AM63</f>
        <v>-1641.0956000000006</v>
      </c>
      <c r="AP63" s="1014">
        <f>AH63/(1+$C$4)^(AB63-1)</f>
        <v>4674.2</v>
      </c>
      <c r="AQ63" s="213">
        <f>AI63/(1+$C$4)^(AB63-1)</f>
        <v>471.64</v>
      </c>
      <c r="AR63" s="213">
        <f>AM63/(1+$C$4)^(AB63-1)</f>
        <v>6786.9356000000007</v>
      </c>
      <c r="AS63" s="213">
        <f>AN63/(1+$C$4)^(AB63-1)</f>
        <v>-2112.7356000000009</v>
      </c>
      <c r="AT63" s="924">
        <f>AO63/(1+$C$4)^(AB63-1)</f>
        <v>-1641.0956000000006</v>
      </c>
      <c r="AU63" s="196">
        <f>AP63</f>
        <v>4674.2</v>
      </c>
      <c r="AV63" s="197">
        <f>AQ63</f>
        <v>471.64</v>
      </c>
      <c r="AW63" s="197">
        <f>AR63</f>
        <v>6786.9356000000007</v>
      </c>
      <c r="AX63" s="197">
        <f>AS63</f>
        <v>-2112.7356000000009</v>
      </c>
      <c r="AY63" s="199">
        <f>AT63</f>
        <v>-1641.0956000000006</v>
      </c>
      <c r="BB63" s="204">
        <v>1</v>
      </c>
      <c r="BC63" s="219" t="s">
        <v>4</v>
      </c>
      <c r="BD63" s="757">
        <f>'Arable Inputs'!$D$18</f>
        <v>4.5999999999999996</v>
      </c>
      <c r="BE63" s="757">
        <f>'Arable Inputs'!$D$25</f>
        <v>867</v>
      </c>
      <c r="BF63" s="757">
        <f>'Arable Inputs'!$D$19</f>
        <v>4.9000000000000004</v>
      </c>
      <c r="BG63" s="757">
        <f>'Arable Inputs'!$D$26</f>
        <v>140</v>
      </c>
      <c r="BH63" s="759">
        <f>BD63*BE63+BF63*BG63</f>
        <v>4674.2</v>
      </c>
      <c r="BI63" s="197">
        <f>'Arable NPV'!$E143</f>
        <v>471.64</v>
      </c>
      <c r="BJ63" s="197">
        <f>BH63+BI63</f>
        <v>5145.84</v>
      </c>
      <c r="BK63" s="197">
        <f>'Arable NPV'!$G143</f>
        <v>2731.3292000000006</v>
      </c>
      <c r="BL63" s="197">
        <f>'Arable NPV'!$H143</f>
        <v>4055.6064000000006</v>
      </c>
      <c r="BM63" s="197">
        <f>BK63+BL63</f>
        <v>6786.9356000000007</v>
      </c>
      <c r="BN63" s="197">
        <f>BH63-BM63</f>
        <v>-2112.7356000000009</v>
      </c>
      <c r="BO63" s="197">
        <f>BJ63-BM63</f>
        <v>-1641.0956000000006</v>
      </c>
      <c r="BP63" s="1014">
        <f>BH63/(1+$D$4)^(BB63-1)</f>
        <v>4674.2</v>
      </c>
      <c r="BQ63" s="213">
        <f>BI63/(1+$D$4)^(BB63-1)</f>
        <v>471.64</v>
      </c>
      <c r="BR63" s="213">
        <f>BM63/(1+$D$4)^(BB63-1)</f>
        <v>6786.9356000000007</v>
      </c>
      <c r="BS63" s="213">
        <f>BN63/(1+$D$4)^(BB63-1)</f>
        <v>-2112.7356000000009</v>
      </c>
      <c r="BT63" s="924">
        <f>BO63/(1+$D$4)^(BB63-1)</f>
        <v>-1641.0956000000006</v>
      </c>
      <c r="BU63" s="196">
        <f>BP63</f>
        <v>4674.2</v>
      </c>
      <c r="BV63" s="197">
        <f>BQ63</f>
        <v>471.64</v>
      </c>
      <c r="BW63" s="197">
        <f>BR63</f>
        <v>6786.9356000000007</v>
      </c>
      <c r="BX63" s="197">
        <f>BS63</f>
        <v>-2112.7356000000009</v>
      </c>
      <c r="BY63" s="199">
        <f>BT63</f>
        <v>-1641.0956000000006</v>
      </c>
      <c r="CB63" s="204">
        <v>1</v>
      </c>
      <c r="CC63" s="219" t="s">
        <v>4</v>
      </c>
      <c r="CD63" s="757">
        <f>'Arable Inputs'!$D$18</f>
        <v>4.5999999999999996</v>
      </c>
      <c r="CE63" s="757">
        <f>'Arable Inputs'!$D$25</f>
        <v>867</v>
      </c>
      <c r="CF63" s="757">
        <f>'Arable Inputs'!$D$19</f>
        <v>4.9000000000000004</v>
      </c>
      <c r="CG63" s="757">
        <f>'Arable Inputs'!$D$26</f>
        <v>140</v>
      </c>
      <c r="CH63" s="759">
        <f>CD63*CE63+CF63*CG63</f>
        <v>4674.2</v>
      </c>
      <c r="CI63" s="197">
        <f>'Arable NPV'!$E143</f>
        <v>471.64</v>
      </c>
      <c r="CJ63" s="197">
        <f>CH63+CI63</f>
        <v>5145.84</v>
      </c>
      <c r="CK63" s="197">
        <f>'Arable NPV'!$G143</f>
        <v>2731.3292000000006</v>
      </c>
      <c r="CL63" s="197">
        <f>'Arable NPV'!$H143</f>
        <v>4055.6064000000006</v>
      </c>
      <c r="CM63" s="197">
        <f>CK63+CL63</f>
        <v>6786.9356000000007</v>
      </c>
      <c r="CN63" s="197">
        <f>CH63-CM63</f>
        <v>-2112.7356000000009</v>
      </c>
      <c r="CO63" s="197">
        <f>CJ63-CM63</f>
        <v>-1641.0956000000006</v>
      </c>
      <c r="CP63" s="1014">
        <f>CH63/(1+$E$4)^(CB63-1)</f>
        <v>4674.2</v>
      </c>
      <c r="CQ63" s="213">
        <f>CI63/(1+$E$4)^(CB63-1)</f>
        <v>471.64</v>
      </c>
      <c r="CR63" s="213">
        <f>CM63/(1+$E$4)^(CB63-1)</f>
        <v>6786.9356000000007</v>
      </c>
      <c r="CS63" s="213">
        <f>CN63/(1+$E$4)^(CB63-1)</f>
        <v>-2112.7356000000009</v>
      </c>
      <c r="CT63" s="924">
        <f>CO63/(1+$E$4)^(CB63-1)</f>
        <v>-1641.0956000000006</v>
      </c>
      <c r="CU63" s="196">
        <f>CP63</f>
        <v>4674.2</v>
      </c>
      <c r="CV63" s="197">
        <f>CQ63</f>
        <v>471.64</v>
      </c>
      <c r="CW63" s="197">
        <f>CR63</f>
        <v>6786.9356000000007</v>
      </c>
      <c r="CX63" s="197">
        <f>CS63</f>
        <v>-2112.7356000000009</v>
      </c>
      <c r="CY63" s="199">
        <f>CT63</f>
        <v>-1641.0956000000006</v>
      </c>
      <c r="DB63" s="204">
        <v>1</v>
      </c>
      <c r="DC63" s="219" t="s">
        <v>4</v>
      </c>
      <c r="DD63" s="757">
        <f>'Arable Inputs'!$D$18</f>
        <v>4.5999999999999996</v>
      </c>
      <c r="DE63" s="757">
        <f>'Arable Inputs'!$D$25</f>
        <v>867</v>
      </c>
      <c r="DF63" s="757">
        <f>'Arable Inputs'!$D$19</f>
        <v>4.9000000000000004</v>
      </c>
      <c r="DG63" s="757">
        <f>'Arable Inputs'!$D$26</f>
        <v>140</v>
      </c>
      <c r="DH63" s="759">
        <f>DD63*DE63+DF63*DG63</f>
        <v>4674.2</v>
      </c>
      <c r="DI63" s="197">
        <f>'Arable NPV'!$E143</f>
        <v>471.64</v>
      </c>
      <c r="DJ63" s="197">
        <f>DH63+DI63</f>
        <v>5145.84</v>
      </c>
      <c r="DK63" s="197">
        <f>'Arable NPV'!$G143</f>
        <v>2731.3292000000006</v>
      </c>
      <c r="DL63" s="197">
        <f>'Arable NPV'!$H143</f>
        <v>4055.6064000000006</v>
      </c>
      <c r="DM63" s="197">
        <f>DK63+DL63</f>
        <v>6786.9356000000007</v>
      </c>
      <c r="DN63" s="197">
        <f>DH63-DM63</f>
        <v>-2112.7356000000009</v>
      </c>
      <c r="DO63" s="197">
        <f>DJ63-DM63</f>
        <v>-1641.0956000000006</v>
      </c>
      <c r="DP63" s="1014">
        <f>DH63/(1+$F$4)^(DB63-1)</f>
        <v>4674.2</v>
      </c>
      <c r="DQ63" s="213">
        <f>DI63/(1+$F$4)^(DB63-1)</f>
        <v>471.64</v>
      </c>
      <c r="DR63" s="213">
        <f>DM63/(1+$F$4)^(DB63-1)</f>
        <v>6786.9356000000007</v>
      </c>
      <c r="DS63" s="213">
        <f>DN63/(1+$F$4)^(DB63-1)</f>
        <v>-2112.7356000000009</v>
      </c>
      <c r="DT63" s="924">
        <f>DO63/(1+$F$4)^(DB63-1)</f>
        <v>-1641.0956000000006</v>
      </c>
      <c r="DU63" s="196">
        <f>DP63</f>
        <v>4674.2</v>
      </c>
      <c r="DV63" s="197">
        <f>DQ63</f>
        <v>471.64</v>
      </c>
      <c r="DW63" s="197">
        <f>DR63</f>
        <v>6786.9356000000007</v>
      </c>
      <c r="DX63" s="197">
        <f>DS63</f>
        <v>-2112.7356000000009</v>
      </c>
      <c r="DY63" s="199">
        <f>DT63</f>
        <v>-1641.0956000000006</v>
      </c>
    </row>
    <row r="64" spans="2:129" x14ac:dyDescent="0.3">
      <c r="B64" s="204">
        <v>2</v>
      </c>
      <c r="C64" s="219" t="s">
        <v>6</v>
      </c>
      <c r="D64" s="757">
        <f>'Arable Inputs'!$G$18</f>
        <v>56.8</v>
      </c>
      <c r="E64" s="757">
        <f>'Arable Inputs'!$G$25</f>
        <v>120</v>
      </c>
      <c r="F64" s="757"/>
      <c r="G64" s="757"/>
      <c r="H64" s="759">
        <f>D64*E64</f>
        <v>6816</v>
      </c>
      <c r="I64" s="197">
        <f>'Arable NPV'!$E144</f>
        <v>471.64</v>
      </c>
      <c r="J64" s="197">
        <f t="shared" ref="J64:J78" si="153">H64+I64</f>
        <v>7287.64</v>
      </c>
      <c r="K64" s="197">
        <f>'Arable NPV'!$G144</f>
        <v>3648.3062999999997</v>
      </c>
      <c r="L64" s="197">
        <f>'Arable NPV'!$H144</f>
        <v>3375.8132000000005</v>
      </c>
      <c r="M64" s="197">
        <f t="shared" ref="M64:M78" si="154">K64+L64</f>
        <v>7024.1195000000007</v>
      </c>
      <c r="N64" s="197">
        <f t="shared" ref="N64:N78" si="155">H64-M64</f>
        <v>-208.1195000000007</v>
      </c>
      <c r="O64" s="197">
        <f t="shared" ref="O64:O78" si="156">J64-M64</f>
        <v>263.52049999999963</v>
      </c>
      <c r="P64" s="196">
        <f t="shared" si="148"/>
        <v>6553.8461538461534</v>
      </c>
      <c r="Q64" s="197">
        <f t="shared" si="149"/>
        <v>453.49999999999994</v>
      </c>
      <c r="R64" s="197">
        <f t="shared" si="150"/>
        <v>6753.9610576923078</v>
      </c>
      <c r="S64" s="197">
        <f t="shared" si="151"/>
        <v>-200.1149038461545</v>
      </c>
      <c r="T64" s="199">
        <f t="shared" si="152"/>
        <v>253.38509615384578</v>
      </c>
      <c r="U64" s="196">
        <f t="shared" ref="U64:Y78" si="157">U63+P64</f>
        <v>11228.046153846153</v>
      </c>
      <c r="V64" s="197">
        <f t="shared" si="157"/>
        <v>925.13999999999987</v>
      </c>
      <c r="W64" s="197">
        <f t="shared" si="157"/>
        <v>13540.896657692309</v>
      </c>
      <c r="X64" s="197">
        <f t="shared" si="157"/>
        <v>-2312.8505038461553</v>
      </c>
      <c r="Y64" s="199">
        <f t="shared" si="157"/>
        <v>-1387.7105038461548</v>
      </c>
      <c r="AB64" s="204">
        <v>2</v>
      </c>
      <c r="AC64" s="219" t="s">
        <v>6</v>
      </c>
      <c r="AD64" s="757">
        <f>'Arable Inputs'!$G$18</f>
        <v>56.8</v>
      </c>
      <c r="AE64" s="757">
        <f>'Arable Inputs'!$G$25</f>
        <v>120</v>
      </c>
      <c r="AF64" s="757"/>
      <c r="AG64" s="757"/>
      <c r="AH64" s="759">
        <f>AD64*AE64</f>
        <v>6816</v>
      </c>
      <c r="AI64" s="197">
        <f>'Arable NPV'!$E144</f>
        <v>471.64</v>
      </c>
      <c r="AJ64" s="197">
        <f t="shared" ref="AJ64:AJ78" si="158">AH64+AI64</f>
        <v>7287.64</v>
      </c>
      <c r="AK64" s="197">
        <f>'Arable NPV'!$G144</f>
        <v>3648.3062999999997</v>
      </c>
      <c r="AL64" s="197">
        <f>'Arable NPV'!$H144</f>
        <v>3375.8132000000005</v>
      </c>
      <c r="AM64" s="197">
        <f t="shared" ref="AM64:AM78" si="159">AK64+AL64</f>
        <v>7024.1195000000007</v>
      </c>
      <c r="AN64" s="197">
        <f t="shared" ref="AN64:AN78" si="160">AH64-AM64</f>
        <v>-208.1195000000007</v>
      </c>
      <c r="AO64" s="197">
        <f t="shared" ref="AO64:AO78" si="161">AJ64-AM64</f>
        <v>263.52049999999963</v>
      </c>
      <c r="AP64" s="196">
        <f t="shared" ref="AP64:AP78" si="162">AH64/(1+$C$4)^(AB64-1)</f>
        <v>6430.1886792452824</v>
      </c>
      <c r="AQ64" s="197">
        <f t="shared" ref="AQ64:AQ78" si="163">AI64/(1+$C$4)^(AB64-1)</f>
        <v>444.94339622641508</v>
      </c>
      <c r="AR64" s="197">
        <f t="shared" ref="AR64:AR78" si="164">AM64/(1+$C$4)^(AB64-1)</f>
        <v>6626.5278301886792</v>
      </c>
      <c r="AS64" s="197">
        <f t="shared" ref="AS64:AS78" si="165">AN64/(1+$C$4)^(AB64-1)</f>
        <v>-196.33915094339687</v>
      </c>
      <c r="AT64" s="199">
        <f t="shared" ref="AT64:AT78" si="166">AO64/(1+$C$4)^(AB64-1)</f>
        <v>248.60424528301851</v>
      </c>
      <c r="AU64" s="196">
        <f t="shared" ref="AU64:AY78" si="167">AU63+AP64</f>
        <v>11104.388679245283</v>
      </c>
      <c r="AV64" s="197">
        <f t="shared" si="167"/>
        <v>916.58339622641506</v>
      </c>
      <c r="AW64" s="197">
        <f t="shared" si="167"/>
        <v>13413.46343018868</v>
      </c>
      <c r="AX64" s="197">
        <f t="shared" si="167"/>
        <v>-2309.0747509433977</v>
      </c>
      <c r="AY64" s="199">
        <f t="shared" si="167"/>
        <v>-1392.491354716982</v>
      </c>
      <c r="BB64" s="204">
        <v>2</v>
      </c>
      <c r="BC64" s="219" t="s">
        <v>6</v>
      </c>
      <c r="BD64" s="757">
        <f>'Arable Inputs'!$G$18</f>
        <v>56.8</v>
      </c>
      <c r="BE64" s="757">
        <f>'Arable Inputs'!$G$25</f>
        <v>120</v>
      </c>
      <c r="BF64" s="757"/>
      <c r="BG64" s="757"/>
      <c r="BH64" s="759">
        <f>BD64*BE64</f>
        <v>6816</v>
      </c>
      <c r="BI64" s="197">
        <f>'Arable NPV'!$E144</f>
        <v>471.64</v>
      </c>
      <c r="BJ64" s="197">
        <f t="shared" ref="BJ64:BJ78" si="168">BH64+BI64</f>
        <v>7287.64</v>
      </c>
      <c r="BK64" s="197">
        <f>'Arable NPV'!$G144</f>
        <v>3648.3062999999997</v>
      </c>
      <c r="BL64" s="197">
        <f>'Arable NPV'!$H144</f>
        <v>3375.8132000000005</v>
      </c>
      <c r="BM64" s="197">
        <f t="shared" ref="BM64:BM78" si="169">BK64+BL64</f>
        <v>7024.1195000000007</v>
      </c>
      <c r="BN64" s="197">
        <f t="shared" ref="BN64:BN78" si="170">BH64-BM64</f>
        <v>-208.1195000000007</v>
      </c>
      <c r="BO64" s="197">
        <f t="shared" ref="BO64:BO78" si="171">BJ64-BM64</f>
        <v>263.52049999999963</v>
      </c>
      <c r="BP64" s="196">
        <f t="shared" ref="BP64:BP78" si="172">BH64/(1+$D$4)^(BB64-1)</f>
        <v>6682.3529411764703</v>
      </c>
      <c r="BQ64" s="197">
        <f t="shared" ref="BQ64:BQ78" si="173">BI64/(1+$D$4)^(BB64-1)</f>
        <v>462.39215686274508</v>
      </c>
      <c r="BR64" s="197">
        <f t="shared" ref="BR64:BR78" si="174">BM64/(1+$D$4)^(BB64-1)</f>
        <v>6886.3916666666673</v>
      </c>
      <c r="BS64" s="197">
        <f t="shared" ref="BS64:BS78" si="175">BN64/(1+$D$4)^(BB64-1)</f>
        <v>-204.03872549019675</v>
      </c>
      <c r="BT64" s="199">
        <f t="shared" ref="BT64:BT78" si="176">BO64/(1+$D$4)^(BB64-1)</f>
        <v>258.35343137254864</v>
      </c>
      <c r="BU64" s="196">
        <f t="shared" ref="BU64:BY78" si="177">BU63+BP64</f>
        <v>11356.552941176469</v>
      </c>
      <c r="BV64" s="197">
        <f t="shared" si="177"/>
        <v>934.03215686274507</v>
      </c>
      <c r="BW64" s="197">
        <f t="shared" si="177"/>
        <v>13673.327266666667</v>
      </c>
      <c r="BX64" s="197">
        <f t="shared" si="177"/>
        <v>-2316.7743254901975</v>
      </c>
      <c r="BY64" s="199">
        <f t="shared" si="177"/>
        <v>-1382.742168627452</v>
      </c>
      <c r="CB64" s="204">
        <v>2</v>
      </c>
      <c r="CC64" s="219" t="s">
        <v>6</v>
      </c>
      <c r="CD64" s="757">
        <f>'Arable Inputs'!$G$18</f>
        <v>56.8</v>
      </c>
      <c r="CE64" s="757">
        <f>'Arable Inputs'!$G$25</f>
        <v>120</v>
      </c>
      <c r="CF64" s="757"/>
      <c r="CG64" s="757"/>
      <c r="CH64" s="759">
        <f>CD64*CE64</f>
        <v>6816</v>
      </c>
      <c r="CI64" s="197">
        <f>'Arable NPV'!$E144</f>
        <v>471.64</v>
      </c>
      <c r="CJ64" s="197">
        <f t="shared" ref="CJ64:CJ78" si="178">CH64+CI64</f>
        <v>7287.64</v>
      </c>
      <c r="CK64" s="197">
        <f>'Arable NPV'!$G144</f>
        <v>3648.3062999999997</v>
      </c>
      <c r="CL64" s="197">
        <f>'Arable NPV'!$H144</f>
        <v>3375.8132000000005</v>
      </c>
      <c r="CM64" s="197">
        <f t="shared" ref="CM64:CM78" si="179">CK64+CL64</f>
        <v>7024.1195000000007</v>
      </c>
      <c r="CN64" s="197">
        <f t="shared" ref="CN64:CN78" si="180">CH64-CM64</f>
        <v>-208.1195000000007</v>
      </c>
      <c r="CO64" s="197">
        <f t="shared" ref="CO64:CO78" si="181">CJ64-CM64</f>
        <v>263.52049999999963</v>
      </c>
      <c r="CP64" s="196">
        <f t="shared" ref="CP64:CP78" si="182">CH64/(1+$E$4)^(CB64-1)</f>
        <v>6311.1111111111104</v>
      </c>
      <c r="CQ64" s="197">
        <f t="shared" ref="CQ64:CQ78" si="183">CI64/(1+$E$4)^(CB64-1)</f>
        <v>436.70370370370364</v>
      </c>
      <c r="CR64" s="197">
        <f t="shared" ref="CR64:CR78" si="184">CM64/(1+$E$4)^(CB64-1)</f>
        <v>6503.8143518518518</v>
      </c>
      <c r="CS64" s="197">
        <f t="shared" ref="CS64:CS78" si="185">CN64/(1+$E$4)^(CB64-1)</f>
        <v>-192.70324074074136</v>
      </c>
      <c r="CT64" s="199">
        <f t="shared" ref="CT64:CT78" si="186">CO64/(1+$E$4)^(CB64-1)</f>
        <v>244.00046296296262</v>
      </c>
      <c r="CU64" s="196">
        <f t="shared" ref="CU64:CY78" si="187">CU63+CP64</f>
        <v>10985.31111111111</v>
      </c>
      <c r="CV64" s="197">
        <f t="shared" si="187"/>
        <v>908.34370370370357</v>
      </c>
      <c r="CW64" s="197">
        <f t="shared" si="187"/>
        <v>13290.749951851853</v>
      </c>
      <c r="CX64" s="197">
        <f t="shared" si="187"/>
        <v>-2305.4388407407423</v>
      </c>
      <c r="CY64" s="199">
        <f t="shared" si="187"/>
        <v>-1397.0951370370381</v>
      </c>
      <c r="DB64" s="204">
        <f t="shared" ref="DB64:DB78" si="188">DB63+1</f>
        <v>2</v>
      </c>
      <c r="DC64" s="219" t="s">
        <v>6</v>
      </c>
      <c r="DD64" s="757">
        <f>'Arable Inputs'!$G$18</f>
        <v>56.8</v>
      </c>
      <c r="DE64" s="757">
        <f>'Arable Inputs'!$G$25</f>
        <v>120</v>
      </c>
      <c r="DF64" s="757"/>
      <c r="DG64" s="757"/>
      <c r="DH64" s="759">
        <f>DD64*DE64</f>
        <v>6816</v>
      </c>
      <c r="DI64" s="197">
        <f>'Arable NPV'!$E144</f>
        <v>471.64</v>
      </c>
      <c r="DJ64" s="197">
        <f t="shared" ref="DJ64:DJ78" si="189">DH64+DI64</f>
        <v>7287.64</v>
      </c>
      <c r="DK64" s="197">
        <f>'Arable NPV'!$G144</f>
        <v>3648.3062999999997</v>
      </c>
      <c r="DL64" s="197">
        <f>'Arable NPV'!$H144</f>
        <v>3375.8132000000005</v>
      </c>
      <c r="DM64" s="197">
        <f t="shared" ref="DM64:DM78" si="190">DK64+DL64</f>
        <v>7024.1195000000007</v>
      </c>
      <c r="DN64" s="197">
        <f t="shared" ref="DN64:DN78" si="191">DH64-DM64</f>
        <v>-208.1195000000007</v>
      </c>
      <c r="DO64" s="197">
        <f t="shared" ref="DO64:DO78" si="192">DJ64-DM64</f>
        <v>263.52049999999963</v>
      </c>
      <c r="DP64" s="196">
        <f t="shared" ref="DP64:DP78" si="193">DH64/(1+$F$4)^(DB64-1)</f>
        <v>6816</v>
      </c>
      <c r="DQ64" s="197">
        <f t="shared" ref="DQ64:DQ78" si="194">DI64/(1+$F$4)^(DB64-1)</f>
        <v>471.64</v>
      </c>
      <c r="DR64" s="197">
        <f t="shared" ref="DR64:DR78" si="195">DM64/(1+$F$4)^(DB64-1)</f>
        <v>7024.1195000000007</v>
      </c>
      <c r="DS64" s="197">
        <f t="shared" ref="DS64:DS78" si="196">DN64/(1+$F$4)^(DB64-1)</f>
        <v>-208.1195000000007</v>
      </c>
      <c r="DT64" s="199">
        <f t="shared" ref="DT64:DT78" si="197">DO64/(1+$F$4)^(DB64-1)</f>
        <v>263.52049999999963</v>
      </c>
      <c r="DU64" s="196">
        <f t="shared" ref="DU64:DY78" si="198">DU63+DP64</f>
        <v>11490.2</v>
      </c>
      <c r="DV64" s="197">
        <f t="shared" si="198"/>
        <v>943.28</v>
      </c>
      <c r="DW64" s="197">
        <f t="shared" si="198"/>
        <v>13811.055100000001</v>
      </c>
      <c r="DX64" s="197">
        <f t="shared" si="198"/>
        <v>-2320.8551000000016</v>
      </c>
      <c r="DY64" s="199">
        <f t="shared" si="198"/>
        <v>-1377.5751000000009</v>
      </c>
    </row>
    <row r="65" spans="2:129" x14ac:dyDescent="0.3">
      <c r="B65" s="204">
        <f t="shared" ref="B65:B78" si="199">B64+1</f>
        <v>3</v>
      </c>
      <c r="C65" s="219" t="s">
        <v>29</v>
      </c>
      <c r="D65" s="757">
        <f>'Arable Inputs'!$H$18</f>
        <v>12</v>
      </c>
      <c r="E65" s="757">
        <f>'Arable Inputs'!$H$25</f>
        <v>724</v>
      </c>
      <c r="F65" s="757"/>
      <c r="G65" s="757"/>
      <c r="H65" s="759">
        <f>D65*E65</f>
        <v>8688</v>
      </c>
      <c r="I65" s="197">
        <f>'Arable NPV'!$E145</f>
        <v>471.64</v>
      </c>
      <c r="J65" s="197">
        <f t="shared" si="153"/>
        <v>9159.64</v>
      </c>
      <c r="K65" s="197">
        <f>'Arable NPV'!$G145</f>
        <v>2474.37212</v>
      </c>
      <c r="L65" s="197">
        <f>'Arable NPV'!$H145</f>
        <v>3226.3624</v>
      </c>
      <c r="M65" s="197">
        <f t="shared" si="154"/>
        <v>5700.73452</v>
      </c>
      <c r="N65" s="197">
        <f t="shared" si="155"/>
        <v>2987.26548</v>
      </c>
      <c r="O65" s="197">
        <f t="shared" si="156"/>
        <v>3458.9054799999994</v>
      </c>
      <c r="P65" s="196">
        <f t="shared" si="148"/>
        <v>8032.5443786982241</v>
      </c>
      <c r="Q65" s="197">
        <f t="shared" si="149"/>
        <v>436.05769230769226</v>
      </c>
      <c r="R65" s="197">
        <f t="shared" si="150"/>
        <v>5270.6495192307684</v>
      </c>
      <c r="S65" s="197">
        <f t="shared" si="151"/>
        <v>2761.8948594674553</v>
      </c>
      <c r="T65" s="199">
        <f t="shared" si="152"/>
        <v>3197.9525517751472</v>
      </c>
      <c r="U65" s="196">
        <f t="shared" si="157"/>
        <v>19260.590532544378</v>
      </c>
      <c r="V65" s="197">
        <f t="shared" si="157"/>
        <v>1361.1976923076923</v>
      </c>
      <c r="W65" s="197">
        <f t="shared" si="157"/>
        <v>18811.546176923075</v>
      </c>
      <c r="X65" s="197">
        <f t="shared" si="157"/>
        <v>449.04435562129993</v>
      </c>
      <c r="Y65" s="199">
        <f t="shared" si="157"/>
        <v>1810.2420479289924</v>
      </c>
      <c r="AB65" s="204">
        <f t="shared" ref="AB65:AB78" si="200">AB64+1</f>
        <v>3</v>
      </c>
      <c r="AC65" s="219" t="s">
        <v>29</v>
      </c>
      <c r="AD65" s="757">
        <f>'Arable Inputs'!$H$18</f>
        <v>12</v>
      </c>
      <c r="AE65" s="757">
        <f>'Arable Inputs'!$H$25</f>
        <v>724</v>
      </c>
      <c r="AF65" s="757"/>
      <c r="AG65" s="757"/>
      <c r="AH65" s="759">
        <f>AD65*AE65</f>
        <v>8688</v>
      </c>
      <c r="AI65" s="197">
        <f>'Arable NPV'!$E145</f>
        <v>471.64</v>
      </c>
      <c r="AJ65" s="197">
        <f t="shared" si="158"/>
        <v>9159.64</v>
      </c>
      <c r="AK65" s="197">
        <f>'Arable NPV'!$G145</f>
        <v>2474.37212</v>
      </c>
      <c r="AL65" s="197">
        <f>'Arable NPV'!$H145</f>
        <v>3226.3624</v>
      </c>
      <c r="AM65" s="197">
        <f t="shared" si="159"/>
        <v>5700.73452</v>
      </c>
      <c r="AN65" s="197">
        <f t="shared" si="160"/>
        <v>2987.26548</v>
      </c>
      <c r="AO65" s="197">
        <f t="shared" si="161"/>
        <v>3458.9054799999994</v>
      </c>
      <c r="AP65" s="196">
        <f t="shared" si="162"/>
        <v>7732.2890708437153</v>
      </c>
      <c r="AQ65" s="197">
        <f t="shared" si="163"/>
        <v>419.75792096831606</v>
      </c>
      <c r="AR65" s="197">
        <f t="shared" si="164"/>
        <v>5073.6334282662865</v>
      </c>
      <c r="AS65" s="197">
        <f t="shared" si="165"/>
        <v>2658.6556425774293</v>
      </c>
      <c r="AT65" s="199">
        <f t="shared" si="166"/>
        <v>3078.4135635457451</v>
      </c>
      <c r="AU65" s="196">
        <f t="shared" si="167"/>
        <v>18836.677750088998</v>
      </c>
      <c r="AV65" s="197">
        <f t="shared" si="167"/>
        <v>1336.3413171947311</v>
      </c>
      <c r="AW65" s="197">
        <f t="shared" si="167"/>
        <v>18487.096858454966</v>
      </c>
      <c r="AX65" s="197">
        <f t="shared" si="167"/>
        <v>349.58089163403156</v>
      </c>
      <c r="AY65" s="199">
        <f t="shared" si="167"/>
        <v>1685.9222088287631</v>
      </c>
      <c r="BB65" s="204">
        <f t="shared" ref="BB65:BB78" si="201">BB64+1</f>
        <v>3</v>
      </c>
      <c r="BC65" s="219" t="s">
        <v>29</v>
      </c>
      <c r="BD65" s="757">
        <f>'Arable Inputs'!$H$18</f>
        <v>12</v>
      </c>
      <c r="BE65" s="757">
        <f>'Arable Inputs'!$H$25</f>
        <v>724</v>
      </c>
      <c r="BF65" s="757"/>
      <c r="BG65" s="757"/>
      <c r="BH65" s="759">
        <f>BD65*BE65</f>
        <v>8688</v>
      </c>
      <c r="BI65" s="197">
        <f>'Arable NPV'!$E145</f>
        <v>471.64</v>
      </c>
      <c r="BJ65" s="197">
        <f t="shared" si="168"/>
        <v>9159.64</v>
      </c>
      <c r="BK65" s="197">
        <f>'Arable NPV'!$G145</f>
        <v>2474.37212</v>
      </c>
      <c r="BL65" s="197">
        <f>'Arable NPV'!$H145</f>
        <v>3226.3624</v>
      </c>
      <c r="BM65" s="197">
        <f t="shared" si="169"/>
        <v>5700.73452</v>
      </c>
      <c r="BN65" s="197">
        <f t="shared" si="170"/>
        <v>2987.26548</v>
      </c>
      <c r="BO65" s="197">
        <f t="shared" si="171"/>
        <v>3458.9054799999994</v>
      </c>
      <c r="BP65" s="196">
        <f t="shared" si="172"/>
        <v>8350.6343713956176</v>
      </c>
      <c r="BQ65" s="197">
        <f t="shared" si="173"/>
        <v>453.32564398308341</v>
      </c>
      <c r="BR65" s="197">
        <f t="shared" si="174"/>
        <v>5479.368050749712</v>
      </c>
      <c r="BS65" s="197">
        <f t="shared" si="175"/>
        <v>2871.2663206459056</v>
      </c>
      <c r="BT65" s="199">
        <f t="shared" si="176"/>
        <v>3324.5919646289885</v>
      </c>
      <c r="BU65" s="196">
        <f t="shared" si="177"/>
        <v>19707.187312572089</v>
      </c>
      <c r="BV65" s="197">
        <f t="shared" si="177"/>
        <v>1387.3578008458285</v>
      </c>
      <c r="BW65" s="197">
        <f t="shared" si="177"/>
        <v>19152.695317416379</v>
      </c>
      <c r="BX65" s="197">
        <f t="shared" si="177"/>
        <v>554.49199515570808</v>
      </c>
      <c r="BY65" s="199">
        <f t="shared" si="177"/>
        <v>1941.8497960015366</v>
      </c>
      <c r="CB65" s="204">
        <f t="shared" ref="CB65:CB78" si="202">CB64+1</f>
        <v>3</v>
      </c>
      <c r="CC65" s="219" t="s">
        <v>29</v>
      </c>
      <c r="CD65" s="757">
        <f>'Arable Inputs'!$H$18</f>
        <v>12</v>
      </c>
      <c r="CE65" s="757">
        <f>'Arable Inputs'!$H$25</f>
        <v>724</v>
      </c>
      <c r="CF65" s="757"/>
      <c r="CG65" s="757"/>
      <c r="CH65" s="759">
        <f>CD65*CE65</f>
        <v>8688</v>
      </c>
      <c r="CI65" s="197">
        <f>'Arable NPV'!$E145</f>
        <v>471.64</v>
      </c>
      <c r="CJ65" s="197">
        <f t="shared" si="178"/>
        <v>9159.64</v>
      </c>
      <c r="CK65" s="197">
        <f>'Arable NPV'!$G145</f>
        <v>2474.37212</v>
      </c>
      <c r="CL65" s="197">
        <f>'Arable NPV'!$H145</f>
        <v>3226.3624</v>
      </c>
      <c r="CM65" s="197">
        <f t="shared" si="179"/>
        <v>5700.73452</v>
      </c>
      <c r="CN65" s="197">
        <f t="shared" si="180"/>
        <v>2987.26548</v>
      </c>
      <c r="CO65" s="197">
        <f t="shared" si="181"/>
        <v>3458.9054799999994</v>
      </c>
      <c r="CP65" s="196">
        <f t="shared" si="182"/>
        <v>7448.5596707818922</v>
      </c>
      <c r="CQ65" s="197">
        <f t="shared" si="183"/>
        <v>404.35528120713303</v>
      </c>
      <c r="CR65" s="197">
        <f t="shared" si="184"/>
        <v>4887.4610082304525</v>
      </c>
      <c r="CS65" s="197">
        <f t="shared" si="185"/>
        <v>2561.0986625514402</v>
      </c>
      <c r="CT65" s="199">
        <f t="shared" si="186"/>
        <v>2965.4539437585727</v>
      </c>
      <c r="CU65" s="196">
        <f t="shared" si="187"/>
        <v>18433.870781893002</v>
      </c>
      <c r="CV65" s="197">
        <f t="shared" si="187"/>
        <v>1312.6989849108365</v>
      </c>
      <c r="CW65" s="197">
        <f t="shared" si="187"/>
        <v>18178.210960082306</v>
      </c>
      <c r="CX65" s="197">
        <f t="shared" si="187"/>
        <v>255.65982181069785</v>
      </c>
      <c r="CY65" s="199">
        <f t="shared" si="187"/>
        <v>1568.3588067215346</v>
      </c>
      <c r="DB65" s="204">
        <f t="shared" si="188"/>
        <v>3</v>
      </c>
      <c r="DC65" s="219" t="s">
        <v>29</v>
      </c>
      <c r="DD65" s="757">
        <f>'Arable Inputs'!$H$18</f>
        <v>12</v>
      </c>
      <c r="DE65" s="757">
        <f>'Arable Inputs'!$H$25</f>
        <v>724</v>
      </c>
      <c r="DF65" s="757"/>
      <c r="DG65" s="757"/>
      <c r="DH65" s="759">
        <f>DD65*DE65</f>
        <v>8688</v>
      </c>
      <c r="DI65" s="197">
        <f>'Arable NPV'!$E145</f>
        <v>471.64</v>
      </c>
      <c r="DJ65" s="197">
        <f t="shared" si="189"/>
        <v>9159.64</v>
      </c>
      <c r="DK65" s="197">
        <f>'Arable NPV'!$G145</f>
        <v>2474.37212</v>
      </c>
      <c r="DL65" s="197">
        <f>'Arable NPV'!$H145</f>
        <v>3226.3624</v>
      </c>
      <c r="DM65" s="197">
        <f t="shared" si="190"/>
        <v>5700.73452</v>
      </c>
      <c r="DN65" s="197">
        <f t="shared" si="191"/>
        <v>2987.26548</v>
      </c>
      <c r="DO65" s="197">
        <f t="shared" si="192"/>
        <v>3458.9054799999994</v>
      </c>
      <c r="DP65" s="196">
        <f t="shared" si="193"/>
        <v>8688</v>
      </c>
      <c r="DQ65" s="197">
        <f t="shared" si="194"/>
        <v>471.64</v>
      </c>
      <c r="DR65" s="197">
        <f t="shared" si="195"/>
        <v>5700.73452</v>
      </c>
      <c r="DS65" s="197">
        <f t="shared" si="196"/>
        <v>2987.26548</v>
      </c>
      <c r="DT65" s="199">
        <f t="shared" si="197"/>
        <v>3458.9054799999994</v>
      </c>
      <c r="DU65" s="196">
        <f t="shared" si="198"/>
        <v>20178.2</v>
      </c>
      <c r="DV65" s="197">
        <f t="shared" si="198"/>
        <v>1414.92</v>
      </c>
      <c r="DW65" s="197">
        <f t="shared" si="198"/>
        <v>19511.789620000003</v>
      </c>
      <c r="DX65" s="197">
        <f t="shared" si="198"/>
        <v>666.41037999999844</v>
      </c>
      <c r="DY65" s="199">
        <f t="shared" si="198"/>
        <v>2081.3303799999985</v>
      </c>
    </row>
    <row r="66" spans="2:129" x14ac:dyDescent="0.3">
      <c r="B66" s="204">
        <f t="shared" si="199"/>
        <v>4</v>
      </c>
      <c r="C66" s="219" t="s">
        <v>5</v>
      </c>
      <c r="D66" s="757">
        <f>'Arable Inputs'!$F$18</f>
        <v>3.5</v>
      </c>
      <c r="E66" s="757">
        <f>'Arable Inputs'!$F$25</f>
        <v>1645</v>
      </c>
      <c r="F66" s="757">
        <f>'Arable Inputs'!$F$19</f>
        <v>5.6</v>
      </c>
      <c r="G66" s="757">
        <f>'Arable Inputs'!$F$26</f>
        <v>120</v>
      </c>
      <c r="H66" s="759">
        <f>D66*E66+F66*G66</f>
        <v>6429.5</v>
      </c>
      <c r="I66" s="197">
        <f>'Arable NPV'!$E146</f>
        <v>471.64</v>
      </c>
      <c r="J66" s="197">
        <f t="shared" si="153"/>
        <v>6901.14</v>
      </c>
      <c r="K66" s="197">
        <f>'Arable NPV'!$G146</f>
        <v>3562.03775</v>
      </c>
      <c r="L66" s="197">
        <f>'Arable NPV'!$H146</f>
        <v>2542.6675999999998</v>
      </c>
      <c r="M66" s="197">
        <f t="shared" si="154"/>
        <v>6104.7053500000002</v>
      </c>
      <c r="N66" s="197">
        <f t="shared" si="155"/>
        <v>324.79464999999982</v>
      </c>
      <c r="O66" s="197">
        <f t="shared" si="156"/>
        <v>796.43465000000015</v>
      </c>
      <c r="P66" s="196">
        <f t="shared" si="148"/>
        <v>5715.8020880746471</v>
      </c>
      <c r="Q66" s="197">
        <f t="shared" si="149"/>
        <v>419.28624260355025</v>
      </c>
      <c r="R66" s="197">
        <f t="shared" si="150"/>
        <v>5427.0608269088525</v>
      </c>
      <c r="S66" s="197">
        <f t="shared" si="151"/>
        <v>288.74126116579407</v>
      </c>
      <c r="T66" s="199">
        <f t="shared" si="152"/>
        <v>708.02750376934466</v>
      </c>
      <c r="U66" s="196">
        <f t="shared" si="157"/>
        <v>24976.392620619026</v>
      </c>
      <c r="V66" s="197">
        <f t="shared" si="157"/>
        <v>1780.4839349112426</v>
      </c>
      <c r="W66" s="197">
        <f t="shared" si="157"/>
        <v>24238.607003831927</v>
      </c>
      <c r="X66" s="197">
        <f t="shared" si="157"/>
        <v>737.785616787094</v>
      </c>
      <c r="Y66" s="199">
        <f t="shared" si="157"/>
        <v>2518.2695516983372</v>
      </c>
      <c r="AB66" s="204">
        <f t="shared" si="200"/>
        <v>4</v>
      </c>
      <c r="AC66" s="219" t="s">
        <v>5</v>
      </c>
      <c r="AD66" s="757">
        <f>'Arable Inputs'!$F$18</f>
        <v>3.5</v>
      </c>
      <c r="AE66" s="757">
        <f>'Arable Inputs'!$F$25</f>
        <v>1645</v>
      </c>
      <c r="AF66" s="757">
        <f>'Arable Inputs'!$F$19</f>
        <v>5.6</v>
      </c>
      <c r="AG66" s="757">
        <f>'Arable Inputs'!$F$26</f>
        <v>120</v>
      </c>
      <c r="AH66" s="759">
        <f>AD66*AE66+AF66*AG66</f>
        <v>6429.5</v>
      </c>
      <c r="AI66" s="197">
        <f>'Arable NPV'!$E146</f>
        <v>471.64</v>
      </c>
      <c r="AJ66" s="197">
        <f t="shared" si="158"/>
        <v>6901.14</v>
      </c>
      <c r="AK66" s="197">
        <f>'Arable NPV'!$G146</f>
        <v>3562.03775</v>
      </c>
      <c r="AL66" s="197">
        <f>'Arable NPV'!$H146</f>
        <v>2542.6675999999998</v>
      </c>
      <c r="AM66" s="197">
        <f t="shared" si="159"/>
        <v>6104.7053500000002</v>
      </c>
      <c r="AN66" s="197">
        <f t="shared" si="160"/>
        <v>324.79464999999982</v>
      </c>
      <c r="AO66" s="197">
        <f t="shared" si="161"/>
        <v>796.43465000000015</v>
      </c>
      <c r="AP66" s="196">
        <f t="shared" si="162"/>
        <v>5398.3321802561832</v>
      </c>
      <c r="AQ66" s="197">
        <f t="shared" si="163"/>
        <v>395.99803864935473</v>
      </c>
      <c r="AR66" s="197">
        <f t="shared" si="164"/>
        <v>5125.6283290904557</v>
      </c>
      <c r="AS66" s="197">
        <f t="shared" si="165"/>
        <v>272.7038511657272</v>
      </c>
      <c r="AT66" s="199">
        <f t="shared" si="166"/>
        <v>668.70188981508215</v>
      </c>
      <c r="AU66" s="196">
        <f t="shared" si="167"/>
        <v>24235.009930345183</v>
      </c>
      <c r="AV66" s="197">
        <f t="shared" si="167"/>
        <v>1732.3393558440857</v>
      </c>
      <c r="AW66" s="197">
        <f t="shared" si="167"/>
        <v>23612.725187545424</v>
      </c>
      <c r="AX66" s="197">
        <f t="shared" si="167"/>
        <v>622.28474279975876</v>
      </c>
      <c r="AY66" s="199">
        <f t="shared" si="167"/>
        <v>2354.6240986438452</v>
      </c>
      <c r="BB66" s="204">
        <f t="shared" si="201"/>
        <v>4</v>
      </c>
      <c r="BC66" s="219" t="s">
        <v>5</v>
      </c>
      <c r="BD66" s="757">
        <f>'Arable Inputs'!$F$18</f>
        <v>3.5</v>
      </c>
      <c r="BE66" s="757">
        <f>'Arable Inputs'!$F$25</f>
        <v>1645</v>
      </c>
      <c r="BF66" s="757">
        <f>'Arable Inputs'!$F$19</f>
        <v>5.6</v>
      </c>
      <c r="BG66" s="757">
        <f>'Arable Inputs'!$F$26</f>
        <v>120</v>
      </c>
      <c r="BH66" s="759">
        <f>BD66*BE66+BF66*BG66</f>
        <v>6429.5</v>
      </c>
      <c r="BI66" s="197">
        <f>'Arable NPV'!$E146</f>
        <v>471.64</v>
      </c>
      <c r="BJ66" s="197">
        <f t="shared" si="168"/>
        <v>6901.14</v>
      </c>
      <c r="BK66" s="197">
        <f>'Arable NPV'!$G146</f>
        <v>3562.03775</v>
      </c>
      <c r="BL66" s="197">
        <f>'Arable NPV'!$H146</f>
        <v>2542.6675999999998</v>
      </c>
      <c r="BM66" s="197">
        <f t="shared" si="169"/>
        <v>6104.7053500000002</v>
      </c>
      <c r="BN66" s="197">
        <f t="shared" si="170"/>
        <v>324.79464999999982</v>
      </c>
      <c r="BO66" s="197">
        <f t="shared" si="171"/>
        <v>796.43465000000015</v>
      </c>
      <c r="BP66" s="196">
        <f t="shared" si="172"/>
        <v>6058.6614499702227</v>
      </c>
      <c r="BQ66" s="197">
        <f t="shared" si="173"/>
        <v>444.4369058657681</v>
      </c>
      <c r="BR66" s="197">
        <f t="shared" si="174"/>
        <v>5752.6001971338328</v>
      </c>
      <c r="BS66" s="197">
        <f t="shared" si="175"/>
        <v>306.06125283639005</v>
      </c>
      <c r="BT66" s="199">
        <f t="shared" si="176"/>
        <v>750.49815870215843</v>
      </c>
      <c r="BU66" s="196">
        <f t="shared" si="177"/>
        <v>25765.848762542311</v>
      </c>
      <c r="BV66" s="197">
        <f t="shared" si="177"/>
        <v>1831.7947067115965</v>
      </c>
      <c r="BW66" s="197">
        <f t="shared" si="177"/>
        <v>24905.295514550213</v>
      </c>
      <c r="BX66" s="197">
        <f t="shared" si="177"/>
        <v>860.55324799209814</v>
      </c>
      <c r="BY66" s="199">
        <f t="shared" si="177"/>
        <v>2692.347954703695</v>
      </c>
      <c r="CB66" s="204">
        <f t="shared" si="202"/>
        <v>4</v>
      </c>
      <c r="CC66" s="219" t="s">
        <v>5</v>
      </c>
      <c r="CD66" s="757">
        <f>'Arable Inputs'!$F$18</f>
        <v>3.5</v>
      </c>
      <c r="CE66" s="757">
        <f>'Arable Inputs'!$F$25</f>
        <v>1645</v>
      </c>
      <c r="CF66" s="757">
        <f>'Arable Inputs'!$F$19</f>
        <v>5.6</v>
      </c>
      <c r="CG66" s="757">
        <f>'Arable Inputs'!$F$26</f>
        <v>120</v>
      </c>
      <c r="CH66" s="759">
        <f>CD66*CE66+CF66*CG66</f>
        <v>6429.5</v>
      </c>
      <c r="CI66" s="197">
        <f>'Arable NPV'!$E146</f>
        <v>471.64</v>
      </c>
      <c r="CJ66" s="197">
        <f t="shared" si="178"/>
        <v>6901.14</v>
      </c>
      <c r="CK66" s="197">
        <f>'Arable NPV'!$G146</f>
        <v>3562.03775</v>
      </c>
      <c r="CL66" s="197">
        <f>'Arable NPV'!$H146</f>
        <v>2542.6675999999998</v>
      </c>
      <c r="CM66" s="197">
        <f t="shared" si="179"/>
        <v>6104.7053500000002</v>
      </c>
      <c r="CN66" s="197">
        <f t="shared" si="180"/>
        <v>324.79464999999982</v>
      </c>
      <c r="CO66" s="197">
        <f t="shared" si="181"/>
        <v>796.43465000000015</v>
      </c>
      <c r="CP66" s="196">
        <f t="shared" si="182"/>
        <v>5103.9443936391799</v>
      </c>
      <c r="CQ66" s="197">
        <f t="shared" si="183"/>
        <v>374.40303815475278</v>
      </c>
      <c r="CR66" s="197">
        <f t="shared" si="184"/>
        <v>4846.1119287583188</v>
      </c>
      <c r="CS66" s="197">
        <f t="shared" si="185"/>
        <v>257.83246488086149</v>
      </c>
      <c r="CT66" s="199">
        <f t="shared" si="186"/>
        <v>632.23550303561456</v>
      </c>
      <c r="CU66" s="196">
        <f t="shared" si="187"/>
        <v>23537.815175532181</v>
      </c>
      <c r="CV66" s="197">
        <f t="shared" si="187"/>
        <v>1687.1020230655893</v>
      </c>
      <c r="CW66" s="197">
        <f t="shared" si="187"/>
        <v>23024.322888840623</v>
      </c>
      <c r="CX66" s="197">
        <f t="shared" si="187"/>
        <v>513.49228669155934</v>
      </c>
      <c r="CY66" s="199">
        <f t="shared" si="187"/>
        <v>2200.5943097571489</v>
      </c>
      <c r="DB66" s="204">
        <f t="shared" si="188"/>
        <v>4</v>
      </c>
      <c r="DC66" s="219" t="s">
        <v>5</v>
      </c>
      <c r="DD66" s="757">
        <f>'Arable Inputs'!$F$18</f>
        <v>3.5</v>
      </c>
      <c r="DE66" s="757">
        <f>'Arable Inputs'!$F$25</f>
        <v>1645</v>
      </c>
      <c r="DF66" s="757">
        <f>'Arable Inputs'!$F$19</f>
        <v>5.6</v>
      </c>
      <c r="DG66" s="757">
        <f>'Arable Inputs'!$F$26</f>
        <v>120</v>
      </c>
      <c r="DH66" s="759">
        <f>DD66*DE66+DF66*DG66</f>
        <v>6429.5</v>
      </c>
      <c r="DI66" s="197">
        <f>'Arable NPV'!$E146</f>
        <v>471.64</v>
      </c>
      <c r="DJ66" s="197">
        <f t="shared" si="189"/>
        <v>6901.14</v>
      </c>
      <c r="DK66" s="197">
        <f>'Arable NPV'!$G146</f>
        <v>3562.03775</v>
      </c>
      <c r="DL66" s="197">
        <f>'Arable NPV'!$H146</f>
        <v>2542.6675999999998</v>
      </c>
      <c r="DM66" s="197">
        <f t="shared" si="190"/>
        <v>6104.7053500000002</v>
      </c>
      <c r="DN66" s="197">
        <f t="shared" si="191"/>
        <v>324.79464999999982</v>
      </c>
      <c r="DO66" s="197">
        <f t="shared" si="192"/>
        <v>796.43465000000015</v>
      </c>
      <c r="DP66" s="196">
        <f t="shared" si="193"/>
        <v>6429.5</v>
      </c>
      <c r="DQ66" s="197">
        <f t="shared" si="194"/>
        <v>471.64</v>
      </c>
      <c r="DR66" s="197">
        <f t="shared" si="195"/>
        <v>6104.7053500000002</v>
      </c>
      <c r="DS66" s="197">
        <f t="shared" si="196"/>
        <v>324.79464999999982</v>
      </c>
      <c r="DT66" s="199">
        <f t="shared" si="197"/>
        <v>796.43465000000015</v>
      </c>
      <c r="DU66" s="196">
        <f t="shared" si="198"/>
        <v>26607.7</v>
      </c>
      <c r="DV66" s="197">
        <f t="shared" si="198"/>
        <v>1886.56</v>
      </c>
      <c r="DW66" s="197">
        <f t="shared" si="198"/>
        <v>25616.494970000003</v>
      </c>
      <c r="DX66" s="197">
        <f t="shared" si="198"/>
        <v>991.20502999999826</v>
      </c>
      <c r="DY66" s="199">
        <f t="shared" si="198"/>
        <v>2877.7650299999987</v>
      </c>
    </row>
    <row r="67" spans="2:129" x14ac:dyDescent="0.3">
      <c r="B67" s="204">
        <f t="shared" si="199"/>
        <v>5</v>
      </c>
      <c r="C67" s="219" t="s">
        <v>647</v>
      </c>
      <c r="D67" s="757">
        <f>'Arable Inputs'!$E$18</f>
        <v>2.5</v>
      </c>
      <c r="E67" s="757">
        <f>'Arable Inputs'!$E$25</f>
        <v>721</v>
      </c>
      <c r="F67" s="757">
        <f>'Arable Inputs'!$E$19</f>
        <v>3</v>
      </c>
      <c r="G67" s="757">
        <f>'Arable Inputs'!$E$26</f>
        <v>120</v>
      </c>
      <c r="H67" s="759">
        <f>D67*E67+F67*G67</f>
        <v>2162.5</v>
      </c>
      <c r="I67" s="197">
        <f>'Arable NPV'!$E147</f>
        <v>471.64</v>
      </c>
      <c r="J67" s="197">
        <f t="shared" si="153"/>
        <v>2634.14</v>
      </c>
      <c r="K67" s="197">
        <f>'Arable NPV'!$G147</f>
        <v>1959.4805899999999</v>
      </c>
      <c r="L67" s="197">
        <f>'Arable NPV'!$H147</f>
        <v>3608.9468000000006</v>
      </c>
      <c r="M67" s="197">
        <f t="shared" si="154"/>
        <v>5568.4273900000007</v>
      </c>
      <c r="N67" s="197">
        <f t="shared" si="155"/>
        <v>-3405.9273900000007</v>
      </c>
      <c r="O67" s="197">
        <f t="shared" si="156"/>
        <v>-2934.2873900000009</v>
      </c>
      <c r="P67" s="196">
        <f t="shared" si="148"/>
        <v>1848.5140631017819</v>
      </c>
      <c r="Q67" s="197">
        <f t="shared" si="149"/>
        <v>403.15984865725983</v>
      </c>
      <c r="R67" s="197">
        <f t="shared" si="150"/>
        <v>4759.9150704167178</v>
      </c>
      <c r="S67" s="197">
        <f t="shared" si="151"/>
        <v>-2911.4010073149357</v>
      </c>
      <c r="T67" s="199">
        <f t="shared" si="152"/>
        <v>-2508.2411586576759</v>
      </c>
      <c r="U67" s="196">
        <f t="shared" si="157"/>
        <v>26824.906683720808</v>
      </c>
      <c r="V67" s="197">
        <f t="shared" si="157"/>
        <v>2183.6437835685024</v>
      </c>
      <c r="W67" s="197">
        <f t="shared" si="157"/>
        <v>28998.522074248645</v>
      </c>
      <c r="X67" s="197">
        <f t="shared" si="157"/>
        <v>-2173.6153905278416</v>
      </c>
      <c r="Y67" s="199">
        <f t="shared" si="157"/>
        <v>10.028393040661285</v>
      </c>
      <c r="AB67" s="204">
        <f t="shared" si="200"/>
        <v>5</v>
      </c>
      <c r="AC67" s="219" t="s">
        <v>647</v>
      </c>
      <c r="AD67" s="757">
        <f>'Arable Inputs'!$E$18</f>
        <v>2.5</v>
      </c>
      <c r="AE67" s="757">
        <f>'Arable Inputs'!$E$25</f>
        <v>721</v>
      </c>
      <c r="AF67" s="757">
        <f>'Arable Inputs'!$E$19</f>
        <v>3</v>
      </c>
      <c r="AG67" s="757">
        <f>'Arable Inputs'!$E$26</f>
        <v>120</v>
      </c>
      <c r="AH67" s="759">
        <f>AD67*AE67+AF67*AG67</f>
        <v>2162.5</v>
      </c>
      <c r="AI67" s="197">
        <f>'Arable NPV'!$E147</f>
        <v>471.64</v>
      </c>
      <c r="AJ67" s="197">
        <f t="shared" si="158"/>
        <v>2634.14</v>
      </c>
      <c r="AK67" s="197">
        <f>'Arable NPV'!$G147</f>
        <v>1959.4805899999999</v>
      </c>
      <c r="AL67" s="197">
        <f>'Arable NPV'!$H147</f>
        <v>3608.9468000000006</v>
      </c>
      <c r="AM67" s="197">
        <f t="shared" si="159"/>
        <v>5568.4273900000007</v>
      </c>
      <c r="AN67" s="197">
        <f t="shared" si="160"/>
        <v>-3405.9273900000007</v>
      </c>
      <c r="AO67" s="197">
        <f t="shared" si="161"/>
        <v>-2934.2873900000009</v>
      </c>
      <c r="AP67" s="196">
        <f t="shared" si="162"/>
        <v>1712.9025467522192</v>
      </c>
      <c r="AQ67" s="197">
        <f t="shared" si="163"/>
        <v>373.58305532957991</v>
      </c>
      <c r="AR67" s="197">
        <f t="shared" si="164"/>
        <v>4410.7160498200292</v>
      </c>
      <c r="AS67" s="197">
        <f t="shared" si="165"/>
        <v>-2697.8135030678104</v>
      </c>
      <c r="AT67" s="199">
        <f t="shared" si="166"/>
        <v>-2324.2304477382304</v>
      </c>
      <c r="AU67" s="196">
        <f t="shared" si="167"/>
        <v>25947.912477097401</v>
      </c>
      <c r="AV67" s="197">
        <f t="shared" si="167"/>
        <v>2105.9224111736658</v>
      </c>
      <c r="AW67" s="197">
        <f t="shared" si="167"/>
        <v>28023.441237365452</v>
      </c>
      <c r="AX67" s="197">
        <f t="shared" si="167"/>
        <v>-2075.5287602680519</v>
      </c>
      <c r="AY67" s="199">
        <f t="shared" si="167"/>
        <v>30.393650905614777</v>
      </c>
      <c r="BB67" s="204">
        <f t="shared" si="201"/>
        <v>5</v>
      </c>
      <c r="BC67" s="219" t="s">
        <v>647</v>
      </c>
      <c r="BD67" s="757">
        <f>'Arable Inputs'!$E$18</f>
        <v>2.5</v>
      </c>
      <c r="BE67" s="757">
        <f>'Arable Inputs'!$E$25</f>
        <v>721</v>
      </c>
      <c r="BF67" s="757">
        <f>'Arable Inputs'!$E$19</f>
        <v>3</v>
      </c>
      <c r="BG67" s="757">
        <f>'Arable Inputs'!$E$26</f>
        <v>120</v>
      </c>
      <c r="BH67" s="759">
        <f>BD67*BE67+BF67*BG67</f>
        <v>2162.5</v>
      </c>
      <c r="BI67" s="197">
        <f>'Arable NPV'!$E147</f>
        <v>471.64</v>
      </c>
      <c r="BJ67" s="197">
        <f t="shared" si="168"/>
        <v>2634.14</v>
      </c>
      <c r="BK67" s="197">
        <f>'Arable NPV'!$G147</f>
        <v>1959.4805899999999</v>
      </c>
      <c r="BL67" s="197">
        <f>'Arable NPV'!$H147</f>
        <v>3608.9468000000006</v>
      </c>
      <c r="BM67" s="197">
        <f t="shared" si="169"/>
        <v>5568.4273900000007</v>
      </c>
      <c r="BN67" s="197">
        <f t="shared" si="170"/>
        <v>-3405.9273900000007</v>
      </c>
      <c r="BO67" s="197">
        <f t="shared" si="171"/>
        <v>-2934.2873900000009</v>
      </c>
      <c r="BP67" s="196">
        <f t="shared" si="172"/>
        <v>1997.815733782337</v>
      </c>
      <c r="BQ67" s="197">
        <f t="shared" si="173"/>
        <v>435.72245673114514</v>
      </c>
      <c r="BR67" s="197">
        <f t="shared" si="174"/>
        <v>5144.366174412261</v>
      </c>
      <c r="BS67" s="197">
        <f t="shared" si="175"/>
        <v>-3146.5504406299242</v>
      </c>
      <c r="BT67" s="199">
        <f t="shared" si="176"/>
        <v>-2710.8279838987792</v>
      </c>
      <c r="BU67" s="196">
        <f t="shared" si="177"/>
        <v>27763.664496324647</v>
      </c>
      <c r="BV67" s="197">
        <f t="shared" si="177"/>
        <v>2267.5171634427415</v>
      </c>
      <c r="BW67" s="197">
        <f t="shared" si="177"/>
        <v>30049.661688962475</v>
      </c>
      <c r="BX67" s="197">
        <f t="shared" si="177"/>
        <v>-2285.9971926378262</v>
      </c>
      <c r="BY67" s="199">
        <f t="shared" si="177"/>
        <v>-18.480029195084171</v>
      </c>
      <c r="CB67" s="204">
        <f t="shared" si="202"/>
        <v>5</v>
      </c>
      <c r="CC67" s="219" t="s">
        <v>647</v>
      </c>
      <c r="CD67" s="757">
        <f>'Arable Inputs'!$E$18</f>
        <v>2.5</v>
      </c>
      <c r="CE67" s="757">
        <f>'Arable Inputs'!$E$25</f>
        <v>721</v>
      </c>
      <c r="CF67" s="757">
        <f>'Arable Inputs'!$E$19</f>
        <v>3</v>
      </c>
      <c r="CG67" s="757">
        <f>'Arable Inputs'!$E$26</f>
        <v>120</v>
      </c>
      <c r="CH67" s="759">
        <f>CD67*CE67+CF67*CG67</f>
        <v>2162.5</v>
      </c>
      <c r="CI67" s="197">
        <f>'Arable NPV'!$E147</f>
        <v>471.64</v>
      </c>
      <c r="CJ67" s="197">
        <f t="shared" si="178"/>
        <v>2634.14</v>
      </c>
      <c r="CK67" s="197">
        <f>'Arable NPV'!$G147</f>
        <v>1959.4805899999999</v>
      </c>
      <c r="CL67" s="197">
        <f>'Arable NPV'!$H147</f>
        <v>3608.9468000000006</v>
      </c>
      <c r="CM67" s="197">
        <f t="shared" si="179"/>
        <v>5568.4273900000007</v>
      </c>
      <c r="CN67" s="197">
        <f t="shared" si="180"/>
        <v>-3405.9273900000007</v>
      </c>
      <c r="CO67" s="197">
        <f t="shared" si="181"/>
        <v>-2934.2873900000009</v>
      </c>
      <c r="CP67" s="196">
        <f t="shared" si="182"/>
        <v>1589.5020566723301</v>
      </c>
      <c r="CQ67" s="197">
        <f t="shared" si="183"/>
        <v>346.6694797729192</v>
      </c>
      <c r="CR67" s="197">
        <f t="shared" si="184"/>
        <v>4092.9603647794388</v>
      </c>
      <c r="CS67" s="197">
        <f t="shared" si="185"/>
        <v>-2503.4583081071087</v>
      </c>
      <c r="CT67" s="199">
        <f t="shared" si="186"/>
        <v>-2156.7888283341895</v>
      </c>
      <c r="CU67" s="196">
        <f t="shared" si="187"/>
        <v>25127.31723220451</v>
      </c>
      <c r="CV67" s="197">
        <f t="shared" si="187"/>
        <v>2033.7715028385085</v>
      </c>
      <c r="CW67" s="197">
        <f t="shared" si="187"/>
        <v>27117.283253620062</v>
      </c>
      <c r="CX67" s="197">
        <f t="shared" si="187"/>
        <v>-1989.9660214155492</v>
      </c>
      <c r="CY67" s="199">
        <f t="shared" si="187"/>
        <v>43.805481422959474</v>
      </c>
      <c r="DB67" s="204">
        <f t="shared" si="188"/>
        <v>5</v>
      </c>
      <c r="DC67" s="219" t="s">
        <v>647</v>
      </c>
      <c r="DD67" s="757">
        <f>'Arable Inputs'!$E$18</f>
        <v>2.5</v>
      </c>
      <c r="DE67" s="757">
        <f>'Arable Inputs'!$E$25</f>
        <v>721</v>
      </c>
      <c r="DF67" s="757">
        <f>'Arable Inputs'!$E$19</f>
        <v>3</v>
      </c>
      <c r="DG67" s="757">
        <f>'Arable Inputs'!$E$26</f>
        <v>120</v>
      </c>
      <c r="DH67" s="759">
        <f>DD67*DE67+DF67*DG67</f>
        <v>2162.5</v>
      </c>
      <c r="DI67" s="197">
        <f>'Arable NPV'!$E147</f>
        <v>471.64</v>
      </c>
      <c r="DJ67" s="197">
        <f t="shared" si="189"/>
        <v>2634.14</v>
      </c>
      <c r="DK67" s="197">
        <f>'Arable NPV'!$G147</f>
        <v>1959.4805899999999</v>
      </c>
      <c r="DL67" s="197">
        <f>'Arable NPV'!$H147</f>
        <v>3608.9468000000006</v>
      </c>
      <c r="DM67" s="197">
        <f t="shared" si="190"/>
        <v>5568.4273900000007</v>
      </c>
      <c r="DN67" s="197">
        <f t="shared" si="191"/>
        <v>-3405.9273900000007</v>
      </c>
      <c r="DO67" s="197">
        <f t="shared" si="192"/>
        <v>-2934.2873900000009</v>
      </c>
      <c r="DP67" s="196">
        <f t="shared" si="193"/>
        <v>2162.5</v>
      </c>
      <c r="DQ67" s="197">
        <f t="shared" si="194"/>
        <v>471.64</v>
      </c>
      <c r="DR67" s="197">
        <f t="shared" si="195"/>
        <v>5568.4273900000007</v>
      </c>
      <c r="DS67" s="197">
        <f t="shared" si="196"/>
        <v>-3405.9273900000007</v>
      </c>
      <c r="DT67" s="199">
        <f t="shared" si="197"/>
        <v>-2934.2873900000009</v>
      </c>
      <c r="DU67" s="196">
        <f t="shared" si="198"/>
        <v>28770.2</v>
      </c>
      <c r="DV67" s="197">
        <f t="shared" si="198"/>
        <v>2358.1999999999998</v>
      </c>
      <c r="DW67" s="197">
        <f t="shared" si="198"/>
        <v>31184.922360000004</v>
      </c>
      <c r="DX67" s="197">
        <f t="shared" si="198"/>
        <v>-2414.7223600000025</v>
      </c>
      <c r="DY67" s="199">
        <f t="shared" si="198"/>
        <v>-56.522360000002209</v>
      </c>
    </row>
    <row r="68" spans="2:129" x14ac:dyDescent="0.3">
      <c r="B68" s="204">
        <f t="shared" si="199"/>
        <v>6</v>
      </c>
      <c r="C68" s="219" t="s">
        <v>4</v>
      </c>
      <c r="D68" s="757">
        <f>'Arable Inputs'!$D$18</f>
        <v>4.5999999999999996</v>
      </c>
      <c r="E68" s="757">
        <f>'Arable Inputs'!$D$25</f>
        <v>867</v>
      </c>
      <c r="F68" s="757">
        <f>'Arable Inputs'!$D$19</f>
        <v>4.9000000000000004</v>
      </c>
      <c r="G68" s="757">
        <f>'Arable Inputs'!$D$26</f>
        <v>140</v>
      </c>
      <c r="H68" s="759">
        <f>D68*E68+F68*G68</f>
        <v>4674.2</v>
      </c>
      <c r="I68" s="197">
        <f>'Arable NPV'!$E148</f>
        <v>471.64</v>
      </c>
      <c r="J68" s="197">
        <f t="shared" si="153"/>
        <v>5145.84</v>
      </c>
      <c r="K68" s="197">
        <f>'Arable NPV'!$G148</f>
        <v>2731.3292000000006</v>
      </c>
      <c r="L68" s="197">
        <f>'Arable NPV'!$H148</f>
        <v>4055.6064000000006</v>
      </c>
      <c r="M68" s="197">
        <f t="shared" si="154"/>
        <v>6786.9356000000007</v>
      </c>
      <c r="N68" s="197">
        <f t="shared" si="155"/>
        <v>-2112.7356000000009</v>
      </c>
      <c r="O68" s="197">
        <f t="shared" si="156"/>
        <v>-1641.0956000000006</v>
      </c>
      <c r="P68" s="196">
        <f t="shared" si="148"/>
        <v>3841.8516824145609</v>
      </c>
      <c r="Q68" s="197">
        <f t="shared" si="149"/>
        <v>387.65370063198054</v>
      </c>
      <c r="R68" s="197">
        <f t="shared" si="150"/>
        <v>5578.3663414700441</v>
      </c>
      <c r="S68" s="197">
        <f t="shared" si="151"/>
        <v>-1736.5146590554834</v>
      </c>
      <c r="T68" s="199">
        <f t="shared" si="152"/>
        <v>-1348.8609584235026</v>
      </c>
      <c r="U68" s="196">
        <f t="shared" si="157"/>
        <v>30666.758366135371</v>
      </c>
      <c r="V68" s="197">
        <f t="shared" si="157"/>
        <v>2571.2974842004828</v>
      </c>
      <c r="W68" s="197">
        <f t="shared" si="157"/>
        <v>34576.888415718691</v>
      </c>
      <c r="X68" s="197">
        <f t="shared" si="157"/>
        <v>-3910.1300495833248</v>
      </c>
      <c r="Y68" s="199">
        <f t="shared" si="157"/>
        <v>-1338.8325653828413</v>
      </c>
      <c r="AB68" s="204">
        <f t="shared" si="200"/>
        <v>6</v>
      </c>
      <c r="AC68" s="219" t="s">
        <v>4</v>
      </c>
      <c r="AD68" s="757">
        <f>'Arable Inputs'!$D$18</f>
        <v>4.5999999999999996</v>
      </c>
      <c r="AE68" s="757">
        <f>'Arable Inputs'!$D$25</f>
        <v>867</v>
      </c>
      <c r="AF68" s="757">
        <f>'Arable Inputs'!$D$19</f>
        <v>4.9000000000000004</v>
      </c>
      <c r="AG68" s="757">
        <f>'Arable Inputs'!$D$26</f>
        <v>140</v>
      </c>
      <c r="AH68" s="759">
        <f>AD68*AE68+AF68*AG68</f>
        <v>4674.2</v>
      </c>
      <c r="AI68" s="197">
        <f>'Arable NPV'!$E148</f>
        <v>471.64</v>
      </c>
      <c r="AJ68" s="197">
        <f t="shared" si="158"/>
        <v>5145.84</v>
      </c>
      <c r="AK68" s="197">
        <f>'Arable NPV'!$G148</f>
        <v>2731.3292000000006</v>
      </c>
      <c r="AL68" s="197">
        <f>'Arable NPV'!$H148</f>
        <v>4055.6064000000006</v>
      </c>
      <c r="AM68" s="197">
        <f t="shared" si="159"/>
        <v>6786.9356000000007</v>
      </c>
      <c r="AN68" s="197">
        <f t="shared" si="160"/>
        <v>-2112.7356000000009</v>
      </c>
      <c r="AO68" s="197">
        <f t="shared" si="161"/>
        <v>-1641.0956000000006</v>
      </c>
      <c r="AP68" s="196">
        <f t="shared" si="162"/>
        <v>3492.8341516105229</v>
      </c>
      <c r="AQ68" s="197">
        <f t="shared" si="163"/>
        <v>352.43684465054707</v>
      </c>
      <c r="AR68" s="197">
        <f t="shared" si="164"/>
        <v>5071.5930958155959</v>
      </c>
      <c r="AS68" s="197">
        <f t="shared" si="165"/>
        <v>-1578.758944205073</v>
      </c>
      <c r="AT68" s="199">
        <f t="shared" si="166"/>
        <v>-1226.3220995545257</v>
      </c>
      <c r="AU68" s="196">
        <f t="shared" si="167"/>
        <v>29440.746628707922</v>
      </c>
      <c r="AV68" s="197">
        <f t="shared" si="167"/>
        <v>2458.3592558242126</v>
      </c>
      <c r="AW68" s="197">
        <f t="shared" si="167"/>
        <v>33095.034333181051</v>
      </c>
      <c r="AX68" s="197">
        <f t="shared" si="167"/>
        <v>-3654.2877044731249</v>
      </c>
      <c r="AY68" s="199">
        <f t="shared" si="167"/>
        <v>-1195.9284486489109</v>
      </c>
      <c r="BB68" s="204">
        <f t="shared" si="201"/>
        <v>6</v>
      </c>
      <c r="BC68" s="219" t="s">
        <v>4</v>
      </c>
      <c r="BD68" s="757">
        <f>'Arable Inputs'!$D$18</f>
        <v>4.5999999999999996</v>
      </c>
      <c r="BE68" s="757">
        <f>'Arable Inputs'!$D$25</f>
        <v>867</v>
      </c>
      <c r="BF68" s="757">
        <f>'Arable Inputs'!$D$19</f>
        <v>4.9000000000000004</v>
      </c>
      <c r="BG68" s="757">
        <f>'Arable Inputs'!$D$26</f>
        <v>140</v>
      </c>
      <c r="BH68" s="759">
        <f>BD68*BE68+BF68*BG68</f>
        <v>4674.2</v>
      </c>
      <c r="BI68" s="197">
        <f>'Arable NPV'!$E148</f>
        <v>471.64</v>
      </c>
      <c r="BJ68" s="197">
        <f t="shared" si="168"/>
        <v>5145.84</v>
      </c>
      <c r="BK68" s="197">
        <f>'Arable NPV'!$G148</f>
        <v>2731.3292000000006</v>
      </c>
      <c r="BL68" s="197">
        <f>'Arable NPV'!$H148</f>
        <v>4055.6064000000006</v>
      </c>
      <c r="BM68" s="197">
        <f t="shared" si="169"/>
        <v>6786.9356000000007</v>
      </c>
      <c r="BN68" s="197">
        <f t="shared" si="170"/>
        <v>-2112.7356000000009</v>
      </c>
      <c r="BO68" s="197">
        <f t="shared" si="171"/>
        <v>-1641.0956000000006</v>
      </c>
      <c r="BP68" s="196">
        <f t="shared" si="172"/>
        <v>4233.5669513069925</v>
      </c>
      <c r="BQ68" s="197">
        <f t="shared" si="173"/>
        <v>427.17887914818152</v>
      </c>
      <c r="BR68" s="197">
        <f t="shared" si="174"/>
        <v>6147.1366772514866</v>
      </c>
      <c r="BS68" s="197">
        <f t="shared" si="175"/>
        <v>-1913.5697259444939</v>
      </c>
      <c r="BT68" s="199">
        <f t="shared" si="176"/>
        <v>-1486.3908467963122</v>
      </c>
      <c r="BU68" s="196">
        <f t="shared" si="177"/>
        <v>31997.231447631639</v>
      </c>
      <c r="BV68" s="197">
        <f t="shared" si="177"/>
        <v>2694.6960425909228</v>
      </c>
      <c r="BW68" s="197">
        <f t="shared" si="177"/>
        <v>36196.79836621396</v>
      </c>
      <c r="BX68" s="197">
        <f t="shared" si="177"/>
        <v>-4199.5669185823199</v>
      </c>
      <c r="BY68" s="199">
        <f t="shared" si="177"/>
        <v>-1504.8708759913964</v>
      </c>
      <c r="CB68" s="204">
        <f t="shared" si="202"/>
        <v>6</v>
      </c>
      <c r="CC68" s="219" t="s">
        <v>4</v>
      </c>
      <c r="CD68" s="757">
        <f>'Arable Inputs'!$D$18</f>
        <v>4.5999999999999996</v>
      </c>
      <c r="CE68" s="757">
        <f>'Arable Inputs'!$D$25</f>
        <v>867</v>
      </c>
      <c r="CF68" s="757">
        <f>'Arable Inputs'!$D$19</f>
        <v>4.9000000000000004</v>
      </c>
      <c r="CG68" s="757">
        <f>'Arable Inputs'!$D$26</f>
        <v>140</v>
      </c>
      <c r="CH68" s="759">
        <f>CD68*CE68+CF68*CG68</f>
        <v>4674.2</v>
      </c>
      <c r="CI68" s="197">
        <f>'Arable NPV'!$E148</f>
        <v>471.64</v>
      </c>
      <c r="CJ68" s="197">
        <f t="shared" si="178"/>
        <v>5145.84</v>
      </c>
      <c r="CK68" s="197">
        <f>'Arable NPV'!$G148</f>
        <v>2731.3292000000006</v>
      </c>
      <c r="CL68" s="197">
        <f>'Arable NPV'!$H148</f>
        <v>4055.6064000000006</v>
      </c>
      <c r="CM68" s="197">
        <f t="shared" si="179"/>
        <v>6786.9356000000007</v>
      </c>
      <c r="CN68" s="197">
        <f t="shared" si="180"/>
        <v>-2112.7356000000009</v>
      </c>
      <c r="CO68" s="197">
        <f t="shared" si="181"/>
        <v>-1641.0956000000006</v>
      </c>
      <c r="CP68" s="196">
        <f t="shared" si="182"/>
        <v>3181.181979575168</v>
      </c>
      <c r="CQ68" s="197">
        <f t="shared" si="183"/>
        <v>320.99025904899923</v>
      </c>
      <c r="CR68" s="197">
        <f t="shared" si="184"/>
        <v>4619.0743287101932</v>
      </c>
      <c r="CS68" s="197">
        <f t="shared" si="185"/>
        <v>-1437.8923491350249</v>
      </c>
      <c r="CT68" s="199">
        <f t="shared" si="186"/>
        <v>-1116.9020900860255</v>
      </c>
      <c r="CU68" s="196">
        <f t="shared" si="187"/>
        <v>28308.499211779679</v>
      </c>
      <c r="CV68" s="197">
        <f t="shared" si="187"/>
        <v>2354.7617618875079</v>
      </c>
      <c r="CW68" s="197">
        <f t="shared" si="187"/>
        <v>31736.357582330256</v>
      </c>
      <c r="CX68" s="197">
        <f t="shared" si="187"/>
        <v>-3427.8583705505744</v>
      </c>
      <c r="CY68" s="199">
        <f t="shared" si="187"/>
        <v>-1073.096608663066</v>
      </c>
      <c r="DB68" s="204">
        <f t="shared" si="188"/>
        <v>6</v>
      </c>
      <c r="DC68" s="219" t="s">
        <v>4</v>
      </c>
      <c r="DD68" s="757">
        <f>'Arable Inputs'!$D$18</f>
        <v>4.5999999999999996</v>
      </c>
      <c r="DE68" s="757">
        <f>'Arable Inputs'!$D$25</f>
        <v>867</v>
      </c>
      <c r="DF68" s="757">
        <f>'Arable Inputs'!$D$19</f>
        <v>4.9000000000000004</v>
      </c>
      <c r="DG68" s="757">
        <f>'Arable Inputs'!$D$26</f>
        <v>140</v>
      </c>
      <c r="DH68" s="759">
        <f>DD68*DE68+DF68*DG68</f>
        <v>4674.2</v>
      </c>
      <c r="DI68" s="197">
        <f>'Arable NPV'!$E148</f>
        <v>471.64</v>
      </c>
      <c r="DJ68" s="197">
        <f t="shared" si="189"/>
        <v>5145.84</v>
      </c>
      <c r="DK68" s="197">
        <f>'Arable NPV'!$G148</f>
        <v>2731.3292000000006</v>
      </c>
      <c r="DL68" s="197">
        <f>'Arable NPV'!$H148</f>
        <v>4055.6064000000006</v>
      </c>
      <c r="DM68" s="197">
        <f t="shared" si="190"/>
        <v>6786.9356000000007</v>
      </c>
      <c r="DN68" s="197">
        <f t="shared" si="191"/>
        <v>-2112.7356000000009</v>
      </c>
      <c r="DO68" s="197">
        <f t="shared" si="192"/>
        <v>-1641.0956000000006</v>
      </c>
      <c r="DP68" s="196">
        <f t="shared" si="193"/>
        <v>4674.2</v>
      </c>
      <c r="DQ68" s="197">
        <f t="shared" si="194"/>
        <v>471.64</v>
      </c>
      <c r="DR68" s="197">
        <f t="shared" si="195"/>
        <v>6786.9356000000007</v>
      </c>
      <c r="DS68" s="197">
        <f t="shared" si="196"/>
        <v>-2112.7356000000009</v>
      </c>
      <c r="DT68" s="199">
        <f t="shared" si="197"/>
        <v>-1641.0956000000006</v>
      </c>
      <c r="DU68" s="196">
        <f t="shared" si="198"/>
        <v>33444.400000000001</v>
      </c>
      <c r="DV68" s="197">
        <f t="shared" si="198"/>
        <v>2829.8399999999997</v>
      </c>
      <c r="DW68" s="197">
        <f t="shared" si="198"/>
        <v>37971.857960000008</v>
      </c>
      <c r="DX68" s="197">
        <f t="shared" si="198"/>
        <v>-4527.4579600000034</v>
      </c>
      <c r="DY68" s="199">
        <f t="shared" si="198"/>
        <v>-1697.6179600000028</v>
      </c>
    </row>
    <row r="69" spans="2:129" x14ac:dyDescent="0.3">
      <c r="B69" s="204">
        <f t="shared" si="199"/>
        <v>7</v>
      </c>
      <c r="C69" s="219" t="s">
        <v>6</v>
      </c>
      <c r="D69" s="757">
        <f>'Arable Inputs'!$G$18</f>
        <v>56.8</v>
      </c>
      <c r="E69" s="757">
        <f>'Arable Inputs'!$G$25</f>
        <v>120</v>
      </c>
      <c r="H69" s="759">
        <f>D69*E69</f>
        <v>6816</v>
      </c>
      <c r="I69" s="197">
        <f>'Arable NPV'!$E149</f>
        <v>471.64</v>
      </c>
      <c r="J69" s="197">
        <f t="shared" si="153"/>
        <v>7287.64</v>
      </c>
      <c r="K69" s="197">
        <f>'Arable NPV'!$G149</f>
        <v>3648.3062999999997</v>
      </c>
      <c r="L69" s="197">
        <f>'Arable NPV'!$H149</f>
        <v>3375.8132000000005</v>
      </c>
      <c r="M69" s="197">
        <f t="shared" si="154"/>
        <v>7024.1195000000007</v>
      </c>
      <c r="N69" s="197">
        <f t="shared" si="155"/>
        <v>-208.1195000000007</v>
      </c>
      <c r="O69" s="197">
        <f t="shared" si="156"/>
        <v>263.52049999999963</v>
      </c>
      <c r="P69" s="196">
        <f t="shared" si="148"/>
        <v>5386.7838073766734</v>
      </c>
      <c r="Q69" s="197">
        <f t="shared" si="149"/>
        <v>372.74394291536589</v>
      </c>
      <c r="R69" s="197">
        <f t="shared" si="150"/>
        <v>5551.2636713143684</v>
      </c>
      <c r="S69" s="197">
        <f t="shared" si="151"/>
        <v>-164.47986393769563</v>
      </c>
      <c r="T69" s="199">
        <f t="shared" si="152"/>
        <v>208.26407897767058</v>
      </c>
      <c r="U69" s="196">
        <f t="shared" si="157"/>
        <v>36053.542173512047</v>
      </c>
      <c r="V69" s="197">
        <f t="shared" si="157"/>
        <v>2944.0414271158488</v>
      </c>
      <c r="W69" s="197">
        <f t="shared" si="157"/>
        <v>40128.152087033057</v>
      </c>
      <c r="X69" s="197">
        <f t="shared" si="157"/>
        <v>-4074.6099135210202</v>
      </c>
      <c r="Y69" s="199">
        <f t="shared" si="157"/>
        <v>-1130.5684864051707</v>
      </c>
      <c r="AB69" s="204">
        <f t="shared" si="200"/>
        <v>7</v>
      </c>
      <c r="AC69" s="219" t="s">
        <v>6</v>
      </c>
      <c r="AD69" s="757">
        <f>'Arable Inputs'!$G$18</f>
        <v>56.8</v>
      </c>
      <c r="AE69" s="757">
        <f>'Arable Inputs'!$G$25</f>
        <v>120</v>
      </c>
      <c r="AH69" s="759">
        <f>AD69*AE69</f>
        <v>6816</v>
      </c>
      <c r="AI69" s="197">
        <f>'Arable NPV'!$E149</f>
        <v>471.64</v>
      </c>
      <c r="AJ69" s="197">
        <f t="shared" si="158"/>
        <v>7287.64</v>
      </c>
      <c r="AK69" s="197">
        <f>'Arable NPV'!$G149</f>
        <v>3648.3062999999997</v>
      </c>
      <c r="AL69" s="197">
        <f>'Arable NPV'!$H149</f>
        <v>3375.8132000000005</v>
      </c>
      <c r="AM69" s="197">
        <f t="shared" si="159"/>
        <v>7024.1195000000007</v>
      </c>
      <c r="AN69" s="197">
        <f t="shared" si="160"/>
        <v>-208.1195000000007</v>
      </c>
      <c r="AO69" s="197">
        <f t="shared" si="161"/>
        <v>263.52049999999963</v>
      </c>
      <c r="AP69" s="196">
        <f t="shared" si="162"/>
        <v>4805.0110436368332</v>
      </c>
      <c r="AQ69" s="197">
        <f t="shared" si="163"/>
        <v>332.48758929296889</v>
      </c>
      <c r="AR69" s="197">
        <f t="shared" si="164"/>
        <v>4951.7270788328697</v>
      </c>
      <c r="AS69" s="197">
        <f t="shared" si="165"/>
        <v>-146.7160351960357</v>
      </c>
      <c r="AT69" s="199">
        <f t="shared" si="166"/>
        <v>185.77155409693344</v>
      </c>
      <c r="AU69" s="196">
        <f t="shared" si="167"/>
        <v>34245.757672344756</v>
      </c>
      <c r="AV69" s="197">
        <f t="shared" si="167"/>
        <v>2790.8468451171816</v>
      </c>
      <c r="AW69" s="197">
        <f t="shared" si="167"/>
        <v>38046.761412013919</v>
      </c>
      <c r="AX69" s="197">
        <f t="shared" si="167"/>
        <v>-3801.0037396691605</v>
      </c>
      <c r="AY69" s="199">
        <f t="shared" si="167"/>
        <v>-1010.1568945519775</v>
      </c>
      <c r="BB69" s="204">
        <f t="shared" si="201"/>
        <v>7</v>
      </c>
      <c r="BC69" s="219" t="s">
        <v>6</v>
      </c>
      <c r="BD69" s="757">
        <f>'Arable Inputs'!$G$18</f>
        <v>56.8</v>
      </c>
      <c r="BE69" s="757">
        <f>'Arable Inputs'!$G$25</f>
        <v>120</v>
      </c>
      <c r="BH69" s="759">
        <f>BD69*BE69</f>
        <v>6816</v>
      </c>
      <c r="BI69" s="197">
        <f>'Arable NPV'!$E149</f>
        <v>471.64</v>
      </c>
      <c r="BJ69" s="197">
        <f t="shared" si="168"/>
        <v>7287.64</v>
      </c>
      <c r="BK69" s="197">
        <f>'Arable NPV'!$G149</f>
        <v>3648.3062999999997</v>
      </c>
      <c r="BL69" s="197">
        <f>'Arable NPV'!$H149</f>
        <v>3375.8132000000005</v>
      </c>
      <c r="BM69" s="197">
        <f t="shared" si="169"/>
        <v>7024.1195000000007</v>
      </c>
      <c r="BN69" s="197">
        <f t="shared" si="170"/>
        <v>-208.1195000000007</v>
      </c>
      <c r="BO69" s="197">
        <f t="shared" si="171"/>
        <v>263.52049999999963</v>
      </c>
      <c r="BP69" s="196">
        <f t="shared" si="172"/>
        <v>6052.4129409810848</v>
      </c>
      <c r="BQ69" s="197">
        <f t="shared" si="173"/>
        <v>418.80282269429557</v>
      </c>
      <c r="BR69" s="197">
        <f t="shared" si="174"/>
        <v>6237.2171010559841</v>
      </c>
      <c r="BS69" s="197">
        <f t="shared" si="175"/>
        <v>-184.80416007489981</v>
      </c>
      <c r="BT69" s="199">
        <f t="shared" si="176"/>
        <v>233.99866261939607</v>
      </c>
      <c r="BU69" s="196">
        <f t="shared" si="177"/>
        <v>38049.644388612724</v>
      </c>
      <c r="BV69" s="197">
        <f t="shared" si="177"/>
        <v>3113.4988652852185</v>
      </c>
      <c r="BW69" s="197">
        <f t="shared" si="177"/>
        <v>42434.015467269943</v>
      </c>
      <c r="BX69" s="197">
        <f t="shared" si="177"/>
        <v>-4384.3710786572201</v>
      </c>
      <c r="BY69" s="199">
        <f t="shared" si="177"/>
        <v>-1270.8722133720003</v>
      </c>
      <c r="CB69" s="204">
        <f t="shared" si="202"/>
        <v>7</v>
      </c>
      <c r="CC69" s="219" t="s">
        <v>6</v>
      </c>
      <c r="CD69" s="757">
        <f>'Arable Inputs'!$G$18</f>
        <v>56.8</v>
      </c>
      <c r="CE69" s="757">
        <f>'Arable Inputs'!$G$25</f>
        <v>120</v>
      </c>
      <c r="CH69" s="759">
        <f>CD69*CE69</f>
        <v>6816</v>
      </c>
      <c r="CI69" s="197">
        <f>'Arable NPV'!$E149</f>
        <v>471.64</v>
      </c>
      <c r="CJ69" s="197">
        <f t="shared" si="178"/>
        <v>7287.64</v>
      </c>
      <c r="CK69" s="197">
        <f>'Arable NPV'!$G149</f>
        <v>3648.3062999999997</v>
      </c>
      <c r="CL69" s="197">
        <f>'Arable NPV'!$H149</f>
        <v>3375.8132000000005</v>
      </c>
      <c r="CM69" s="197">
        <f t="shared" si="179"/>
        <v>7024.1195000000007</v>
      </c>
      <c r="CN69" s="197">
        <f t="shared" si="180"/>
        <v>-208.1195000000007</v>
      </c>
      <c r="CO69" s="197">
        <f t="shared" si="181"/>
        <v>263.52049999999963</v>
      </c>
      <c r="CP69" s="196">
        <f t="shared" si="182"/>
        <v>4295.2361768352403</v>
      </c>
      <c r="CQ69" s="197">
        <f t="shared" si="183"/>
        <v>297.21320282314741</v>
      </c>
      <c r="CR69" s="197">
        <f t="shared" si="184"/>
        <v>4426.3867644973398</v>
      </c>
      <c r="CS69" s="197">
        <f t="shared" si="185"/>
        <v>-131.15058766209873</v>
      </c>
      <c r="CT69" s="199">
        <f t="shared" si="186"/>
        <v>166.06261516104891</v>
      </c>
      <c r="CU69" s="196">
        <f t="shared" si="187"/>
        <v>32603.735388614921</v>
      </c>
      <c r="CV69" s="197">
        <f t="shared" si="187"/>
        <v>2651.9749647106555</v>
      </c>
      <c r="CW69" s="197">
        <f t="shared" si="187"/>
        <v>36162.744346827596</v>
      </c>
      <c r="CX69" s="197">
        <f t="shared" si="187"/>
        <v>-3559.008958212673</v>
      </c>
      <c r="CY69" s="199">
        <f t="shared" si="187"/>
        <v>-907.0339935020171</v>
      </c>
      <c r="DB69" s="204">
        <f t="shared" si="188"/>
        <v>7</v>
      </c>
      <c r="DC69" s="219" t="s">
        <v>6</v>
      </c>
      <c r="DD69" s="757">
        <f>'Arable Inputs'!$G$18</f>
        <v>56.8</v>
      </c>
      <c r="DE69" s="757">
        <f>'Arable Inputs'!$G$25</f>
        <v>120</v>
      </c>
      <c r="DH69" s="759">
        <f>DD69*DE69</f>
        <v>6816</v>
      </c>
      <c r="DI69" s="197">
        <f>'Arable NPV'!$E149</f>
        <v>471.64</v>
      </c>
      <c r="DJ69" s="197">
        <f t="shared" si="189"/>
        <v>7287.64</v>
      </c>
      <c r="DK69" s="197">
        <f>'Arable NPV'!$G149</f>
        <v>3648.3062999999997</v>
      </c>
      <c r="DL69" s="197">
        <f>'Arable NPV'!$H149</f>
        <v>3375.8132000000005</v>
      </c>
      <c r="DM69" s="197">
        <f t="shared" si="190"/>
        <v>7024.1195000000007</v>
      </c>
      <c r="DN69" s="197">
        <f t="shared" si="191"/>
        <v>-208.1195000000007</v>
      </c>
      <c r="DO69" s="197">
        <f t="shared" si="192"/>
        <v>263.52049999999963</v>
      </c>
      <c r="DP69" s="196">
        <f t="shared" si="193"/>
        <v>6816</v>
      </c>
      <c r="DQ69" s="197">
        <f t="shared" si="194"/>
        <v>471.64</v>
      </c>
      <c r="DR69" s="197">
        <f t="shared" si="195"/>
        <v>7024.1195000000007</v>
      </c>
      <c r="DS69" s="197">
        <f t="shared" si="196"/>
        <v>-208.1195000000007</v>
      </c>
      <c r="DT69" s="199">
        <f t="shared" si="197"/>
        <v>263.52049999999963</v>
      </c>
      <c r="DU69" s="196">
        <f t="shared" si="198"/>
        <v>40260.400000000001</v>
      </c>
      <c r="DV69" s="197">
        <f t="shared" si="198"/>
        <v>3301.4799999999996</v>
      </c>
      <c r="DW69" s="197">
        <f t="shared" si="198"/>
        <v>44995.977460000009</v>
      </c>
      <c r="DX69" s="197">
        <f t="shared" si="198"/>
        <v>-4735.5774600000041</v>
      </c>
      <c r="DY69" s="199">
        <f t="shared" si="198"/>
        <v>-1434.0974600000031</v>
      </c>
    </row>
    <row r="70" spans="2:129" x14ac:dyDescent="0.3">
      <c r="B70" s="204">
        <f t="shared" si="199"/>
        <v>8</v>
      </c>
      <c r="C70" s="219" t="s">
        <v>29</v>
      </c>
      <c r="D70" s="757">
        <f>'Arable Inputs'!$H$18</f>
        <v>12</v>
      </c>
      <c r="E70" s="757">
        <f>'Arable Inputs'!$H$25</f>
        <v>724</v>
      </c>
      <c r="H70" s="759">
        <f>D70*E70</f>
        <v>8688</v>
      </c>
      <c r="I70" s="197">
        <f>'Arable NPV'!$E150</f>
        <v>471.64</v>
      </c>
      <c r="J70" s="197">
        <f t="shared" si="153"/>
        <v>9159.64</v>
      </c>
      <c r="K70" s="197">
        <f>'Arable NPV'!$G150</f>
        <v>2474.37212</v>
      </c>
      <c r="L70" s="197">
        <f>'Arable NPV'!$H150</f>
        <v>3226.3624</v>
      </c>
      <c r="M70" s="197">
        <f t="shared" si="154"/>
        <v>5700.73452</v>
      </c>
      <c r="N70" s="197">
        <f t="shared" si="155"/>
        <v>2987.26548</v>
      </c>
      <c r="O70" s="197">
        <f t="shared" si="156"/>
        <v>3458.9054799999994</v>
      </c>
      <c r="P70" s="196">
        <f t="shared" si="148"/>
        <v>6602.1659610995257</v>
      </c>
      <c r="Q70" s="197">
        <f t="shared" si="149"/>
        <v>358.40763741862111</v>
      </c>
      <c r="R70" s="197">
        <f t="shared" si="150"/>
        <v>4332.0897100839138</v>
      </c>
      <c r="S70" s="197">
        <f t="shared" si="151"/>
        <v>2270.0762510156119</v>
      </c>
      <c r="T70" s="199">
        <f t="shared" si="152"/>
        <v>2628.4838884342325</v>
      </c>
      <c r="U70" s="196">
        <f t="shared" si="157"/>
        <v>42655.708134611574</v>
      </c>
      <c r="V70" s="197">
        <f t="shared" si="157"/>
        <v>3302.4490645344699</v>
      </c>
      <c r="W70" s="197">
        <f t="shared" si="157"/>
        <v>44460.241797116971</v>
      </c>
      <c r="X70" s="197">
        <f t="shared" si="157"/>
        <v>-1804.5336625054083</v>
      </c>
      <c r="Y70" s="199">
        <f t="shared" si="157"/>
        <v>1497.9154020290619</v>
      </c>
      <c r="AB70" s="204">
        <f t="shared" si="200"/>
        <v>8</v>
      </c>
      <c r="AC70" s="219" t="s">
        <v>29</v>
      </c>
      <c r="AD70" s="757">
        <f>'Arable Inputs'!$H$18</f>
        <v>12</v>
      </c>
      <c r="AE70" s="757">
        <f>'Arable Inputs'!$H$25</f>
        <v>724</v>
      </c>
      <c r="AH70" s="759">
        <f>AD70*AE70</f>
        <v>8688</v>
      </c>
      <c r="AI70" s="197">
        <f>'Arable NPV'!$E150</f>
        <v>471.64</v>
      </c>
      <c r="AJ70" s="197">
        <f t="shared" si="158"/>
        <v>9159.64</v>
      </c>
      <c r="AK70" s="197">
        <f>'Arable NPV'!$G150</f>
        <v>2474.37212</v>
      </c>
      <c r="AL70" s="197">
        <f>'Arable NPV'!$H150</f>
        <v>3226.3624</v>
      </c>
      <c r="AM70" s="197">
        <f t="shared" si="159"/>
        <v>5700.73452</v>
      </c>
      <c r="AN70" s="197">
        <f t="shared" si="160"/>
        <v>2987.26548</v>
      </c>
      <c r="AO70" s="197">
        <f t="shared" si="161"/>
        <v>3458.9054799999994</v>
      </c>
      <c r="AP70" s="196">
        <f t="shared" si="162"/>
        <v>5778.0162031508553</v>
      </c>
      <c r="AQ70" s="197">
        <f t="shared" si="163"/>
        <v>313.66753706883856</v>
      </c>
      <c r="AR70" s="197">
        <f t="shared" si="164"/>
        <v>3791.3140453984133</v>
      </c>
      <c r="AS70" s="197">
        <f t="shared" si="165"/>
        <v>1986.7021577524422</v>
      </c>
      <c r="AT70" s="199">
        <f t="shared" si="166"/>
        <v>2300.3696948212805</v>
      </c>
      <c r="AU70" s="196">
        <f t="shared" si="167"/>
        <v>40023.773875495608</v>
      </c>
      <c r="AV70" s="197">
        <f t="shared" si="167"/>
        <v>3104.5143821860202</v>
      </c>
      <c r="AW70" s="197">
        <f t="shared" si="167"/>
        <v>41838.075457412335</v>
      </c>
      <c r="AX70" s="197">
        <f t="shared" si="167"/>
        <v>-1814.3015819167183</v>
      </c>
      <c r="AY70" s="199">
        <f t="shared" si="167"/>
        <v>1290.212800269303</v>
      </c>
      <c r="BB70" s="204">
        <f t="shared" si="201"/>
        <v>8</v>
      </c>
      <c r="BC70" s="219" t="s">
        <v>29</v>
      </c>
      <c r="BD70" s="757">
        <f>'Arable Inputs'!$H$18</f>
        <v>12</v>
      </c>
      <c r="BE70" s="757">
        <f>'Arable Inputs'!$H$25</f>
        <v>724</v>
      </c>
      <c r="BH70" s="759">
        <f>BD70*BE70</f>
        <v>8688</v>
      </c>
      <c r="BI70" s="197">
        <f>'Arable NPV'!$E150</f>
        <v>471.64</v>
      </c>
      <c r="BJ70" s="197">
        <f t="shared" si="168"/>
        <v>9159.64</v>
      </c>
      <c r="BK70" s="197">
        <f>'Arable NPV'!$G150</f>
        <v>2474.37212</v>
      </c>
      <c r="BL70" s="197">
        <f>'Arable NPV'!$H150</f>
        <v>3226.3624</v>
      </c>
      <c r="BM70" s="197">
        <f t="shared" si="169"/>
        <v>5700.73452</v>
      </c>
      <c r="BN70" s="197">
        <f t="shared" si="170"/>
        <v>2987.26548</v>
      </c>
      <c r="BO70" s="197">
        <f t="shared" si="171"/>
        <v>3458.9054799999994</v>
      </c>
      <c r="BP70" s="196">
        <f t="shared" si="172"/>
        <v>7563.4268317976839</v>
      </c>
      <c r="BQ70" s="197">
        <f t="shared" si="173"/>
        <v>410.59100264146633</v>
      </c>
      <c r="BR70" s="197">
        <f t="shared" si="174"/>
        <v>4962.8324619617051</v>
      </c>
      <c r="BS70" s="197">
        <f t="shared" si="175"/>
        <v>2600.5943698359793</v>
      </c>
      <c r="BT70" s="199">
        <f t="shared" si="176"/>
        <v>3011.1853724774451</v>
      </c>
      <c r="BU70" s="196">
        <f t="shared" si="177"/>
        <v>45613.071220410406</v>
      </c>
      <c r="BV70" s="197">
        <f t="shared" si="177"/>
        <v>3524.0898679266847</v>
      </c>
      <c r="BW70" s="197">
        <f t="shared" si="177"/>
        <v>47396.847929231648</v>
      </c>
      <c r="BX70" s="197">
        <f t="shared" si="177"/>
        <v>-1783.7767088212408</v>
      </c>
      <c r="BY70" s="199">
        <f t="shared" si="177"/>
        <v>1740.3131591054448</v>
      </c>
      <c r="CB70" s="204">
        <f t="shared" si="202"/>
        <v>8</v>
      </c>
      <c r="CC70" s="219" t="s">
        <v>29</v>
      </c>
      <c r="CD70" s="757">
        <f>'Arable Inputs'!$H$18</f>
        <v>12</v>
      </c>
      <c r="CE70" s="757">
        <f>'Arable Inputs'!$H$25</f>
        <v>724</v>
      </c>
      <c r="CH70" s="759">
        <f>CD70*CE70</f>
        <v>8688</v>
      </c>
      <c r="CI70" s="197">
        <f>'Arable NPV'!$E150</f>
        <v>471.64</v>
      </c>
      <c r="CJ70" s="197">
        <f t="shared" si="178"/>
        <v>9159.64</v>
      </c>
      <c r="CK70" s="197">
        <f>'Arable NPV'!$G150</f>
        <v>2474.37212</v>
      </c>
      <c r="CL70" s="197">
        <f>'Arable NPV'!$H150</f>
        <v>3226.3624</v>
      </c>
      <c r="CM70" s="197">
        <f t="shared" si="179"/>
        <v>5700.73452</v>
      </c>
      <c r="CN70" s="197">
        <f t="shared" si="180"/>
        <v>2987.26548</v>
      </c>
      <c r="CO70" s="197">
        <f t="shared" si="181"/>
        <v>3458.9054799999994</v>
      </c>
      <c r="CP70" s="196">
        <f t="shared" si="182"/>
        <v>5069.3645540374191</v>
      </c>
      <c r="CQ70" s="197">
        <f t="shared" si="183"/>
        <v>275.1974100214328</v>
      </c>
      <c r="CR70" s="197">
        <f t="shared" si="184"/>
        <v>3326.3238383592907</v>
      </c>
      <c r="CS70" s="197">
        <f t="shared" si="185"/>
        <v>1743.040715678128</v>
      </c>
      <c r="CT70" s="199">
        <f t="shared" si="186"/>
        <v>2018.2381256995604</v>
      </c>
      <c r="CU70" s="196">
        <f t="shared" si="187"/>
        <v>37673.099942652341</v>
      </c>
      <c r="CV70" s="197">
        <f t="shared" si="187"/>
        <v>2927.1723747320884</v>
      </c>
      <c r="CW70" s="197">
        <f t="shared" si="187"/>
        <v>39489.068185186887</v>
      </c>
      <c r="CX70" s="197">
        <f t="shared" si="187"/>
        <v>-1815.968242534545</v>
      </c>
      <c r="CY70" s="199">
        <f t="shared" si="187"/>
        <v>1111.2041321975435</v>
      </c>
      <c r="DB70" s="204">
        <f t="shared" si="188"/>
        <v>8</v>
      </c>
      <c r="DC70" s="219" t="s">
        <v>29</v>
      </c>
      <c r="DD70" s="757">
        <f>'Arable Inputs'!$H$18</f>
        <v>12</v>
      </c>
      <c r="DE70" s="757">
        <f>'Arable Inputs'!$H$25</f>
        <v>724</v>
      </c>
      <c r="DH70" s="759">
        <f>DD70*DE70</f>
        <v>8688</v>
      </c>
      <c r="DI70" s="197">
        <f>'Arable NPV'!$E150</f>
        <v>471.64</v>
      </c>
      <c r="DJ70" s="197">
        <f t="shared" si="189"/>
        <v>9159.64</v>
      </c>
      <c r="DK70" s="197">
        <f>'Arable NPV'!$G150</f>
        <v>2474.37212</v>
      </c>
      <c r="DL70" s="197">
        <f>'Arable NPV'!$H150</f>
        <v>3226.3624</v>
      </c>
      <c r="DM70" s="197">
        <f t="shared" si="190"/>
        <v>5700.73452</v>
      </c>
      <c r="DN70" s="197">
        <f t="shared" si="191"/>
        <v>2987.26548</v>
      </c>
      <c r="DO70" s="197">
        <f t="shared" si="192"/>
        <v>3458.9054799999994</v>
      </c>
      <c r="DP70" s="196">
        <f t="shared" si="193"/>
        <v>8688</v>
      </c>
      <c r="DQ70" s="197">
        <f t="shared" si="194"/>
        <v>471.64</v>
      </c>
      <c r="DR70" s="197">
        <f t="shared" si="195"/>
        <v>5700.73452</v>
      </c>
      <c r="DS70" s="197">
        <f t="shared" si="196"/>
        <v>2987.26548</v>
      </c>
      <c r="DT70" s="199">
        <f t="shared" si="197"/>
        <v>3458.9054799999994</v>
      </c>
      <c r="DU70" s="196">
        <f t="shared" si="198"/>
        <v>48948.4</v>
      </c>
      <c r="DV70" s="197">
        <f t="shared" si="198"/>
        <v>3773.1199999999994</v>
      </c>
      <c r="DW70" s="197">
        <f t="shared" si="198"/>
        <v>50696.711980000007</v>
      </c>
      <c r="DX70" s="197">
        <f t="shared" si="198"/>
        <v>-1748.311980000004</v>
      </c>
      <c r="DY70" s="199">
        <f t="shared" si="198"/>
        <v>2024.8080199999963</v>
      </c>
    </row>
    <row r="71" spans="2:129" x14ac:dyDescent="0.3">
      <c r="B71" s="204">
        <f t="shared" si="199"/>
        <v>9</v>
      </c>
      <c r="C71" s="219" t="s">
        <v>5</v>
      </c>
      <c r="D71" s="757">
        <f>'Arable Inputs'!$F$18</f>
        <v>3.5</v>
      </c>
      <c r="E71" s="757">
        <f>'Arable Inputs'!$F$25</f>
        <v>1645</v>
      </c>
      <c r="F71" s="757">
        <f>'Arable Inputs'!$F$19</f>
        <v>5.6</v>
      </c>
      <c r="G71" s="757">
        <f>'Arable Inputs'!$F$26</f>
        <v>120</v>
      </c>
      <c r="H71" s="759">
        <f>D71*E71+F71*G71</f>
        <v>6429.5</v>
      </c>
      <c r="I71" s="197">
        <f>'Arable NPV'!$E151</f>
        <v>471.64</v>
      </c>
      <c r="J71" s="197">
        <f t="shared" si="153"/>
        <v>6901.14</v>
      </c>
      <c r="K71" s="197">
        <f>'Arable NPV'!$G151</f>
        <v>3562.03775</v>
      </c>
      <c r="L71" s="197">
        <f>'Arable NPV'!$H151</f>
        <v>2542.6675999999998</v>
      </c>
      <c r="M71" s="197">
        <f t="shared" si="154"/>
        <v>6104.7053500000002</v>
      </c>
      <c r="N71" s="197">
        <f t="shared" si="155"/>
        <v>324.79464999999982</v>
      </c>
      <c r="O71" s="197">
        <f t="shared" si="156"/>
        <v>796.43465000000015</v>
      </c>
      <c r="P71" s="196">
        <f t="shared" si="148"/>
        <v>4697.9726730602542</v>
      </c>
      <c r="Q71" s="197">
        <f t="shared" si="149"/>
        <v>344.6227282871356</v>
      </c>
      <c r="R71" s="197">
        <f t="shared" si="150"/>
        <v>4460.6484036682068</v>
      </c>
      <c r="S71" s="197">
        <f t="shared" si="151"/>
        <v>237.32426939204743</v>
      </c>
      <c r="T71" s="199">
        <f t="shared" si="152"/>
        <v>581.94699767918326</v>
      </c>
      <c r="U71" s="196">
        <f t="shared" si="157"/>
        <v>47353.68080767183</v>
      </c>
      <c r="V71" s="197">
        <f t="shared" si="157"/>
        <v>3647.0717928216054</v>
      </c>
      <c r="W71" s="197">
        <f t="shared" si="157"/>
        <v>48920.890200785179</v>
      </c>
      <c r="X71" s="197">
        <f t="shared" si="157"/>
        <v>-1567.2093931133609</v>
      </c>
      <c r="Y71" s="199">
        <f t="shared" si="157"/>
        <v>2079.862399708245</v>
      </c>
      <c r="AB71" s="204">
        <f t="shared" si="200"/>
        <v>9</v>
      </c>
      <c r="AC71" s="219" t="s">
        <v>5</v>
      </c>
      <c r="AD71" s="757">
        <f>'Arable Inputs'!$F$18</f>
        <v>3.5</v>
      </c>
      <c r="AE71" s="757">
        <f>'Arable Inputs'!$F$25</f>
        <v>1645</v>
      </c>
      <c r="AF71" s="757">
        <f>'Arable Inputs'!$F$19</f>
        <v>5.6</v>
      </c>
      <c r="AG71" s="757">
        <f>'Arable Inputs'!$F$26</f>
        <v>120</v>
      </c>
      <c r="AH71" s="759">
        <f>AD71*AE71+AF71*AG71</f>
        <v>6429.5</v>
      </c>
      <c r="AI71" s="197">
        <f>'Arable NPV'!$E151</f>
        <v>471.64</v>
      </c>
      <c r="AJ71" s="197">
        <f t="shared" si="158"/>
        <v>6901.14</v>
      </c>
      <c r="AK71" s="197">
        <f>'Arable NPV'!$G151</f>
        <v>3562.03775</v>
      </c>
      <c r="AL71" s="197">
        <f>'Arable NPV'!$H151</f>
        <v>2542.6675999999998</v>
      </c>
      <c r="AM71" s="197">
        <f t="shared" si="159"/>
        <v>6104.7053500000002</v>
      </c>
      <c r="AN71" s="197">
        <f t="shared" si="160"/>
        <v>324.79464999999982</v>
      </c>
      <c r="AO71" s="197">
        <f t="shared" si="161"/>
        <v>796.43465000000015</v>
      </c>
      <c r="AP71" s="196">
        <f t="shared" si="162"/>
        <v>4033.9478415422736</v>
      </c>
      <c r="AQ71" s="197">
        <f t="shared" si="163"/>
        <v>295.91277081965904</v>
      </c>
      <c r="AR71" s="197">
        <f t="shared" si="164"/>
        <v>3830.167659986635</v>
      </c>
      <c r="AS71" s="197">
        <f t="shared" si="165"/>
        <v>203.78018155563845</v>
      </c>
      <c r="AT71" s="199">
        <f t="shared" si="166"/>
        <v>499.69295237529769</v>
      </c>
      <c r="AU71" s="196">
        <f t="shared" si="167"/>
        <v>44057.721717037879</v>
      </c>
      <c r="AV71" s="197">
        <f t="shared" si="167"/>
        <v>3400.4271530056794</v>
      </c>
      <c r="AW71" s="197">
        <f t="shared" si="167"/>
        <v>45668.243117398968</v>
      </c>
      <c r="AX71" s="197">
        <f t="shared" si="167"/>
        <v>-1610.5214003610799</v>
      </c>
      <c r="AY71" s="199">
        <f t="shared" si="167"/>
        <v>1789.9057526446006</v>
      </c>
      <c r="BB71" s="204">
        <f t="shared" si="201"/>
        <v>9</v>
      </c>
      <c r="BC71" s="219" t="s">
        <v>5</v>
      </c>
      <c r="BD71" s="757">
        <f>'Arable Inputs'!$F$18</f>
        <v>3.5</v>
      </c>
      <c r="BE71" s="757">
        <f>'Arable Inputs'!$F$25</f>
        <v>1645</v>
      </c>
      <c r="BF71" s="757">
        <f>'Arable Inputs'!$F$19</f>
        <v>5.6</v>
      </c>
      <c r="BG71" s="757">
        <f>'Arable Inputs'!$F$26</f>
        <v>120</v>
      </c>
      <c r="BH71" s="759">
        <f>BD71*BE71+BF71*BG71</f>
        <v>6429.5</v>
      </c>
      <c r="BI71" s="197">
        <f>'Arable NPV'!$E151</f>
        <v>471.64</v>
      </c>
      <c r="BJ71" s="197">
        <f t="shared" si="168"/>
        <v>6901.14</v>
      </c>
      <c r="BK71" s="197">
        <f>'Arable NPV'!$G151</f>
        <v>3562.03775</v>
      </c>
      <c r="BL71" s="197">
        <f>'Arable NPV'!$H151</f>
        <v>2542.6675999999998</v>
      </c>
      <c r="BM71" s="197">
        <f t="shared" si="169"/>
        <v>6104.7053500000002</v>
      </c>
      <c r="BN71" s="197">
        <f t="shared" si="170"/>
        <v>324.79464999999982</v>
      </c>
      <c r="BO71" s="197">
        <f t="shared" si="171"/>
        <v>796.43465000000015</v>
      </c>
      <c r="BP71" s="196">
        <f t="shared" si="172"/>
        <v>5487.516341566823</v>
      </c>
      <c r="BQ71" s="197">
        <f t="shared" si="173"/>
        <v>402.54019866810421</v>
      </c>
      <c r="BR71" s="197">
        <f t="shared" si="174"/>
        <v>5210.30723517776</v>
      </c>
      <c r="BS71" s="197">
        <f t="shared" si="175"/>
        <v>277.20910638906224</v>
      </c>
      <c r="BT71" s="199">
        <f t="shared" si="176"/>
        <v>679.74930505716679</v>
      </c>
      <c r="BU71" s="196">
        <f t="shared" si="177"/>
        <v>51100.587561977227</v>
      </c>
      <c r="BV71" s="197">
        <f t="shared" si="177"/>
        <v>3926.6300665947888</v>
      </c>
      <c r="BW71" s="197">
        <f t="shared" si="177"/>
        <v>52607.155164409407</v>
      </c>
      <c r="BX71" s="197">
        <f t="shared" si="177"/>
        <v>-1506.5676024321785</v>
      </c>
      <c r="BY71" s="199">
        <f t="shared" si="177"/>
        <v>2420.0624641626118</v>
      </c>
      <c r="CB71" s="204">
        <f t="shared" si="202"/>
        <v>9</v>
      </c>
      <c r="CC71" s="219" t="s">
        <v>5</v>
      </c>
      <c r="CD71" s="757">
        <f>'Arable Inputs'!$F$18</f>
        <v>3.5</v>
      </c>
      <c r="CE71" s="757">
        <f>'Arable Inputs'!$F$25</f>
        <v>1645</v>
      </c>
      <c r="CF71" s="757">
        <f>'Arable Inputs'!$F$19</f>
        <v>5.6</v>
      </c>
      <c r="CG71" s="757">
        <f>'Arable Inputs'!$F$26</f>
        <v>120</v>
      </c>
      <c r="CH71" s="759">
        <f>CD71*CE71+CF71*CG71</f>
        <v>6429.5</v>
      </c>
      <c r="CI71" s="197">
        <f>'Arable NPV'!$E151</f>
        <v>471.64</v>
      </c>
      <c r="CJ71" s="197">
        <f t="shared" si="178"/>
        <v>6901.14</v>
      </c>
      <c r="CK71" s="197">
        <f>'Arable NPV'!$G151</f>
        <v>3562.03775</v>
      </c>
      <c r="CL71" s="197">
        <f>'Arable NPV'!$H151</f>
        <v>2542.6675999999998</v>
      </c>
      <c r="CM71" s="197">
        <f t="shared" si="179"/>
        <v>6104.7053500000002</v>
      </c>
      <c r="CN71" s="197">
        <f t="shared" si="180"/>
        <v>324.79464999999982</v>
      </c>
      <c r="CO71" s="197">
        <f t="shared" si="181"/>
        <v>796.43465000000015</v>
      </c>
      <c r="CP71" s="196">
        <f t="shared" si="182"/>
        <v>3473.6587929054531</v>
      </c>
      <c r="CQ71" s="197">
        <f t="shared" si="183"/>
        <v>254.81241668651185</v>
      </c>
      <c r="CR71" s="197">
        <f t="shared" si="184"/>
        <v>3298.1823496577435</v>
      </c>
      <c r="CS71" s="197">
        <f t="shared" si="185"/>
        <v>175.47644324770954</v>
      </c>
      <c r="CT71" s="199">
        <f t="shared" si="186"/>
        <v>430.28885993422159</v>
      </c>
      <c r="CU71" s="196">
        <f t="shared" si="187"/>
        <v>41146.758735557793</v>
      </c>
      <c r="CV71" s="197">
        <f t="shared" si="187"/>
        <v>3181.9847914186003</v>
      </c>
      <c r="CW71" s="197">
        <f t="shared" si="187"/>
        <v>42787.250534844628</v>
      </c>
      <c r="CX71" s="197">
        <f t="shared" si="187"/>
        <v>-1640.4917992868354</v>
      </c>
      <c r="CY71" s="199">
        <f t="shared" si="187"/>
        <v>1541.492992131765</v>
      </c>
      <c r="DB71" s="204">
        <f t="shared" si="188"/>
        <v>9</v>
      </c>
      <c r="DC71" s="219" t="s">
        <v>5</v>
      </c>
      <c r="DD71" s="757">
        <f>'Arable Inputs'!$F$18</f>
        <v>3.5</v>
      </c>
      <c r="DE71" s="757">
        <f>'Arable Inputs'!$F$25</f>
        <v>1645</v>
      </c>
      <c r="DF71" s="757">
        <f>'Arable Inputs'!$F$19</f>
        <v>5.6</v>
      </c>
      <c r="DG71" s="757">
        <f>'Arable Inputs'!$F$26</f>
        <v>120</v>
      </c>
      <c r="DH71" s="759">
        <f>DD71*DE71+DF71*DG71</f>
        <v>6429.5</v>
      </c>
      <c r="DI71" s="197">
        <f>'Arable NPV'!$E151</f>
        <v>471.64</v>
      </c>
      <c r="DJ71" s="197">
        <f t="shared" si="189"/>
        <v>6901.14</v>
      </c>
      <c r="DK71" s="197">
        <f>'Arable NPV'!$G151</f>
        <v>3562.03775</v>
      </c>
      <c r="DL71" s="197">
        <f>'Arable NPV'!$H151</f>
        <v>2542.6675999999998</v>
      </c>
      <c r="DM71" s="197">
        <f t="shared" si="190"/>
        <v>6104.7053500000002</v>
      </c>
      <c r="DN71" s="197">
        <f t="shared" si="191"/>
        <v>324.79464999999982</v>
      </c>
      <c r="DO71" s="197">
        <f t="shared" si="192"/>
        <v>796.43465000000015</v>
      </c>
      <c r="DP71" s="196">
        <f t="shared" si="193"/>
        <v>6429.5</v>
      </c>
      <c r="DQ71" s="197">
        <f t="shared" si="194"/>
        <v>471.64</v>
      </c>
      <c r="DR71" s="197">
        <f t="shared" si="195"/>
        <v>6104.7053500000002</v>
      </c>
      <c r="DS71" s="197">
        <f t="shared" si="196"/>
        <v>324.79464999999982</v>
      </c>
      <c r="DT71" s="199">
        <f t="shared" si="197"/>
        <v>796.43465000000015</v>
      </c>
      <c r="DU71" s="196">
        <f t="shared" si="198"/>
        <v>55377.9</v>
      </c>
      <c r="DV71" s="197">
        <f t="shared" si="198"/>
        <v>4244.7599999999993</v>
      </c>
      <c r="DW71" s="197">
        <f t="shared" si="198"/>
        <v>56801.417330000011</v>
      </c>
      <c r="DX71" s="197">
        <f t="shared" si="198"/>
        <v>-1423.5173300000042</v>
      </c>
      <c r="DY71" s="199">
        <f t="shared" si="198"/>
        <v>2821.2426699999965</v>
      </c>
    </row>
    <row r="72" spans="2:129" x14ac:dyDescent="0.3">
      <c r="B72" s="204">
        <f t="shared" si="199"/>
        <v>10</v>
      </c>
      <c r="C72" s="219" t="s">
        <v>647</v>
      </c>
      <c r="D72" s="757">
        <f>'Arable Inputs'!$E$18</f>
        <v>2.5</v>
      </c>
      <c r="E72" s="757">
        <f>'Arable Inputs'!$E$25</f>
        <v>721</v>
      </c>
      <c r="F72" s="757">
        <f>'Arable Inputs'!$E$19</f>
        <v>3</v>
      </c>
      <c r="G72" s="757">
        <f>'Arable Inputs'!$E$26</f>
        <v>120</v>
      </c>
      <c r="H72" s="759">
        <f>D72*E72+F72*G72</f>
        <v>2162.5</v>
      </c>
      <c r="I72" s="197">
        <f>'Arable NPV'!$E152</f>
        <v>471.64</v>
      </c>
      <c r="J72" s="197">
        <f t="shared" si="153"/>
        <v>2634.14</v>
      </c>
      <c r="K72" s="197">
        <f>'Arable NPV'!$G152</f>
        <v>1959.4805899999999</v>
      </c>
      <c r="L72" s="197">
        <f>'Arable NPV'!$H152</f>
        <v>3608.9468000000006</v>
      </c>
      <c r="M72" s="197">
        <f t="shared" si="154"/>
        <v>5568.4273900000007</v>
      </c>
      <c r="N72" s="197">
        <f t="shared" si="155"/>
        <v>-3405.9273900000007</v>
      </c>
      <c r="O72" s="197">
        <f t="shared" si="156"/>
        <v>-2934.2873900000009</v>
      </c>
      <c r="P72" s="196">
        <f t="shared" si="148"/>
        <v>1519.3438156892209</v>
      </c>
      <c r="Q72" s="197">
        <f t="shared" si="149"/>
        <v>331.36800796839958</v>
      </c>
      <c r="R72" s="197">
        <f t="shared" si="150"/>
        <v>3912.3032222478478</v>
      </c>
      <c r="S72" s="197">
        <f t="shared" si="151"/>
        <v>-2392.9594065586266</v>
      </c>
      <c r="T72" s="199">
        <f t="shared" si="152"/>
        <v>-2061.5913985902271</v>
      </c>
      <c r="U72" s="196">
        <f t="shared" si="157"/>
        <v>48873.024623361052</v>
      </c>
      <c r="V72" s="197">
        <f t="shared" si="157"/>
        <v>3978.4398007900049</v>
      </c>
      <c r="W72" s="197">
        <f t="shared" si="157"/>
        <v>52833.19342303303</v>
      </c>
      <c r="X72" s="197">
        <f t="shared" si="157"/>
        <v>-3960.1687996719875</v>
      </c>
      <c r="Y72" s="199">
        <f t="shared" si="157"/>
        <v>18.271001118017921</v>
      </c>
      <c r="AB72" s="204">
        <f t="shared" si="200"/>
        <v>10</v>
      </c>
      <c r="AC72" s="219" t="s">
        <v>647</v>
      </c>
      <c r="AD72" s="757">
        <f>'Arable Inputs'!$E$18</f>
        <v>2.5</v>
      </c>
      <c r="AE72" s="757">
        <f>'Arable Inputs'!$E$25</f>
        <v>721</v>
      </c>
      <c r="AF72" s="757">
        <f>'Arable Inputs'!$E$19</f>
        <v>3</v>
      </c>
      <c r="AG72" s="757">
        <f>'Arable Inputs'!$E$26</f>
        <v>120</v>
      </c>
      <c r="AH72" s="759">
        <f>AD72*AE72+AF72*AG72</f>
        <v>2162.5</v>
      </c>
      <c r="AI72" s="197">
        <f>'Arable NPV'!$E152</f>
        <v>471.64</v>
      </c>
      <c r="AJ72" s="197">
        <f t="shared" si="158"/>
        <v>2634.14</v>
      </c>
      <c r="AK72" s="197">
        <f>'Arable NPV'!$G152</f>
        <v>1959.4805899999999</v>
      </c>
      <c r="AL72" s="197">
        <f>'Arable NPV'!$H152</f>
        <v>3608.9468000000006</v>
      </c>
      <c r="AM72" s="197">
        <f t="shared" si="159"/>
        <v>5568.4273900000007</v>
      </c>
      <c r="AN72" s="197">
        <f t="shared" si="160"/>
        <v>-3405.9273900000007</v>
      </c>
      <c r="AO72" s="197">
        <f t="shared" si="161"/>
        <v>-2934.2873900000009</v>
      </c>
      <c r="AP72" s="196">
        <f t="shared" si="162"/>
        <v>1279.9804273836792</v>
      </c>
      <c r="AQ72" s="197">
        <f t="shared" si="163"/>
        <v>279.16299133930096</v>
      </c>
      <c r="AR72" s="197">
        <f t="shared" si="164"/>
        <v>3295.9436164195076</v>
      </c>
      <c r="AS72" s="197">
        <f t="shared" si="165"/>
        <v>-2015.9631890358287</v>
      </c>
      <c r="AT72" s="199">
        <f t="shared" si="166"/>
        <v>-1736.8001976965277</v>
      </c>
      <c r="AU72" s="196">
        <f t="shared" si="167"/>
        <v>45337.702144421557</v>
      </c>
      <c r="AV72" s="197">
        <f t="shared" si="167"/>
        <v>3679.5901443449802</v>
      </c>
      <c r="AW72" s="197">
        <f t="shared" si="167"/>
        <v>48964.186733818475</v>
      </c>
      <c r="AX72" s="197">
        <f t="shared" si="167"/>
        <v>-3626.4845893969086</v>
      </c>
      <c r="AY72" s="199">
        <f t="shared" si="167"/>
        <v>53.10555494807295</v>
      </c>
      <c r="BB72" s="204">
        <f t="shared" si="201"/>
        <v>10</v>
      </c>
      <c r="BC72" s="219" t="s">
        <v>647</v>
      </c>
      <c r="BD72" s="757">
        <f>'Arable Inputs'!$E$18</f>
        <v>2.5</v>
      </c>
      <c r="BE72" s="757">
        <f>'Arable Inputs'!$E$25</f>
        <v>721</v>
      </c>
      <c r="BF72" s="757">
        <f>'Arable Inputs'!$E$19</f>
        <v>3</v>
      </c>
      <c r="BG72" s="757">
        <f>'Arable Inputs'!$E$26</f>
        <v>120</v>
      </c>
      <c r="BH72" s="759">
        <f>BD72*BE72+BF72*BG72</f>
        <v>2162.5</v>
      </c>
      <c r="BI72" s="197">
        <f>'Arable NPV'!$E152</f>
        <v>471.64</v>
      </c>
      <c r="BJ72" s="197">
        <f t="shared" si="168"/>
        <v>2634.14</v>
      </c>
      <c r="BK72" s="197">
        <f>'Arable NPV'!$G152</f>
        <v>1959.4805899999999</v>
      </c>
      <c r="BL72" s="197">
        <f>'Arable NPV'!$H152</f>
        <v>3608.9468000000006</v>
      </c>
      <c r="BM72" s="197">
        <f t="shared" si="169"/>
        <v>5568.4273900000007</v>
      </c>
      <c r="BN72" s="197">
        <f t="shared" si="170"/>
        <v>-3405.9273900000007</v>
      </c>
      <c r="BO72" s="197">
        <f t="shared" si="171"/>
        <v>-2934.2873900000009</v>
      </c>
      <c r="BP72" s="196">
        <f t="shared" si="172"/>
        <v>1809.4832624496239</v>
      </c>
      <c r="BQ72" s="197">
        <f t="shared" si="173"/>
        <v>394.64725359618063</v>
      </c>
      <c r="BR72" s="197">
        <f t="shared" si="174"/>
        <v>4659.4109412120442</v>
      </c>
      <c r="BS72" s="197">
        <f t="shared" si="175"/>
        <v>-2849.9276787624203</v>
      </c>
      <c r="BT72" s="199">
        <f t="shared" si="176"/>
        <v>-2455.2804251662396</v>
      </c>
      <c r="BU72" s="196">
        <f t="shared" si="177"/>
        <v>52910.070824426854</v>
      </c>
      <c r="BV72" s="197">
        <f t="shared" si="177"/>
        <v>4321.2773201909695</v>
      </c>
      <c r="BW72" s="197">
        <f t="shared" si="177"/>
        <v>57266.566105621452</v>
      </c>
      <c r="BX72" s="197">
        <f t="shared" si="177"/>
        <v>-4356.4952811945986</v>
      </c>
      <c r="BY72" s="199">
        <f t="shared" si="177"/>
        <v>-35.217961003627806</v>
      </c>
      <c r="CB72" s="204">
        <f t="shared" si="202"/>
        <v>10</v>
      </c>
      <c r="CC72" s="219" t="s">
        <v>647</v>
      </c>
      <c r="CD72" s="757">
        <f>'Arable Inputs'!$E$18</f>
        <v>2.5</v>
      </c>
      <c r="CE72" s="757">
        <f>'Arable Inputs'!$E$25</f>
        <v>721</v>
      </c>
      <c r="CF72" s="757">
        <f>'Arable Inputs'!$E$19</f>
        <v>3</v>
      </c>
      <c r="CG72" s="757">
        <f>'Arable Inputs'!$E$26</f>
        <v>120</v>
      </c>
      <c r="CH72" s="759">
        <f>CD72*CE72+CF72*CG72</f>
        <v>2162.5</v>
      </c>
      <c r="CI72" s="197">
        <f>'Arable NPV'!$E152</f>
        <v>471.64</v>
      </c>
      <c r="CJ72" s="197">
        <f t="shared" si="178"/>
        <v>2634.14</v>
      </c>
      <c r="CK72" s="197">
        <f>'Arable NPV'!$G152</f>
        <v>1959.4805899999999</v>
      </c>
      <c r="CL72" s="197">
        <f>'Arable NPV'!$H152</f>
        <v>3608.9468000000006</v>
      </c>
      <c r="CM72" s="197">
        <f t="shared" si="179"/>
        <v>5568.4273900000007</v>
      </c>
      <c r="CN72" s="197">
        <f t="shared" si="180"/>
        <v>-3405.9273900000007</v>
      </c>
      <c r="CO72" s="197">
        <f t="shared" si="181"/>
        <v>-2934.2873900000009</v>
      </c>
      <c r="CP72" s="196">
        <f t="shared" si="182"/>
        <v>1081.78839142178</v>
      </c>
      <c r="CQ72" s="197">
        <f t="shared" si="183"/>
        <v>235.93742285788133</v>
      </c>
      <c r="CR72" s="197">
        <f t="shared" si="184"/>
        <v>2785.6000503940263</v>
      </c>
      <c r="CS72" s="197">
        <f t="shared" si="185"/>
        <v>-1703.8116589722463</v>
      </c>
      <c r="CT72" s="199">
        <f t="shared" si="186"/>
        <v>-1467.874236114365</v>
      </c>
      <c r="CU72" s="196">
        <f t="shared" si="187"/>
        <v>42228.547126979574</v>
      </c>
      <c r="CV72" s="197">
        <f t="shared" si="187"/>
        <v>3417.9222142764816</v>
      </c>
      <c r="CW72" s="197">
        <f t="shared" si="187"/>
        <v>45572.850585238652</v>
      </c>
      <c r="CX72" s="197">
        <f t="shared" si="187"/>
        <v>-3344.3034582590817</v>
      </c>
      <c r="CY72" s="199">
        <f t="shared" si="187"/>
        <v>73.618756017400074</v>
      </c>
      <c r="DB72" s="204">
        <f t="shared" si="188"/>
        <v>10</v>
      </c>
      <c r="DC72" s="219" t="s">
        <v>647</v>
      </c>
      <c r="DD72" s="757">
        <f>'Arable Inputs'!$E$18</f>
        <v>2.5</v>
      </c>
      <c r="DE72" s="757">
        <f>'Arable Inputs'!$E$25</f>
        <v>721</v>
      </c>
      <c r="DF72" s="757">
        <f>'Arable Inputs'!$E$19</f>
        <v>3</v>
      </c>
      <c r="DG72" s="757">
        <f>'Arable Inputs'!$E$26</f>
        <v>120</v>
      </c>
      <c r="DH72" s="759">
        <f>DD72*DE72+DF72*DG72</f>
        <v>2162.5</v>
      </c>
      <c r="DI72" s="197">
        <f>'Arable NPV'!$E152</f>
        <v>471.64</v>
      </c>
      <c r="DJ72" s="197">
        <f t="shared" si="189"/>
        <v>2634.14</v>
      </c>
      <c r="DK72" s="197">
        <f>'Arable NPV'!$G152</f>
        <v>1959.4805899999999</v>
      </c>
      <c r="DL72" s="197">
        <f>'Arable NPV'!$H152</f>
        <v>3608.9468000000006</v>
      </c>
      <c r="DM72" s="197">
        <f t="shared" si="190"/>
        <v>5568.4273900000007</v>
      </c>
      <c r="DN72" s="197">
        <f t="shared" si="191"/>
        <v>-3405.9273900000007</v>
      </c>
      <c r="DO72" s="197">
        <f t="shared" si="192"/>
        <v>-2934.2873900000009</v>
      </c>
      <c r="DP72" s="196">
        <f t="shared" si="193"/>
        <v>2162.5</v>
      </c>
      <c r="DQ72" s="197">
        <f t="shared" si="194"/>
        <v>471.64</v>
      </c>
      <c r="DR72" s="197">
        <f t="shared" si="195"/>
        <v>5568.4273900000007</v>
      </c>
      <c r="DS72" s="197">
        <f t="shared" si="196"/>
        <v>-3405.9273900000007</v>
      </c>
      <c r="DT72" s="199">
        <f t="shared" si="197"/>
        <v>-2934.2873900000009</v>
      </c>
      <c r="DU72" s="196">
        <f t="shared" si="198"/>
        <v>57540.4</v>
      </c>
      <c r="DV72" s="197">
        <f t="shared" si="198"/>
        <v>4716.3999999999996</v>
      </c>
      <c r="DW72" s="197">
        <f t="shared" si="198"/>
        <v>62369.844720000008</v>
      </c>
      <c r="DX72" s="197">
        <f t="shared" si="198"/>
        <v>-4829.444720000005</v>
      </c>
      <c r="DY72" s="199">
        <f t="shared" si="198"/>
        <v>-113.04472000000442</v>
      </c>
    </row>
    <row r="73" spans="2:129" x14ac:dyDescent="0.3">
      <c r="B73" s="204">
        <f t="shared" si="199"/>
        <v>11</v>
      </c>
      <c r="C73" s="219" t="s">
        <v>4</v>
      </c>
      <c r="D73" s="757">
        <f>'Arable Inputs'!$D$18</f>
        <v>4.5999999999999996</v>
      </c>
      <c r="E73" s="757">
        <f>'Arable Inputs'!$D$25</f>
        <v>867</v>
      </c>
      <c r="F73" s="757">
        <f>'Arable Inputs'!$D$19</f>
        <v>4.9000000000000004</v>
      </c>
      <c r="G73" s="757">
        <f>'Arable Inputs'!$D$26</f>
        <v>140</v>
      </c>
      <c r="H73" s="759">
        <f>D73*E73+F73*G73</f>
        <v>4674.2</v>
      </c>
      <c r="I73" s="197">
        <f>'Arable NPV'!$E153</f>
        <v>471.64</v>
      </c>
      <c r="J73" s="197">
        <f t="shared" si="153"/>
        <v>5145.84</v>
      </c>
      <c r="K73" s="197">
        <f>'Arable NPV'!$G153</f>
        <v>2731.3292000000006</v>
      </c>
      <c r="L73" s="197">
        <f>'Arable NPV'!$H153</f>
        <v>4055.6064000000006</v>
      </c>
      <c r="M73" s="197">
        <f t="shared" si="154"/>
        <v>6786.9356000000007</v>
      </c>
      <c r="N73" s="197">
        <f t="shared" si="155"/>
        <v>-2112.7356000000009</v>
      </c>
      <c r="O73" s="197">
        <f t="shared" si="156"/>
        <v>-1641.0956000000006</v>
      </c>
      <c r="P73" s="196">
        <f t="shared" si="148"/>
        <v>3157.7220379255473</v>
      </c>
      <c r="Q73" s="197">
        <f t="shared" si="149"/>
        <v>318.62308458499962</v>
      </c>
      <c r="R73" s="197">
        <f t="shared" si="150"/>
        <v>4585.0105074882231</v>
      </c>
      <c r="S73" s="197">
        <f t="shared" si="151"/>
        <v>-1427.2884695626753</v>
      </c>
      <c r="T73" s="199">
        <f t="shared" si="152"/>
        <v>-1108.6653849776756</v>
      </c>
      <c r="U73" s="196">
        <f t="shared" si="157"/>
        <v>52030.746661286597</v>
      </c>
      <c r="V73" s="197">
        <f t="shared" si="157"/>
        <v>4297.062885375005</v>
      </c>
      <c r="W73" s="197">
        <f t="shared" si="157"/>
        <v>57418.203930521253</v>
      </c>
      <c r="X73" s="197">
        <f t="shared" si="157"/>
        <v>-5387.4572692346628</v>
      </c>
      <c r="Y73" s="199">
        <f t="shared" si="157"/>
        <v>-1090.3943838596576</v>
      </c>
      <c r="AB73" s="204">
        <f t="shared" si="200"/>
        <v>11</v>
      </c>
      <c r="AC73" s="219" t="s">
        <v>4</v>
      </c>
      <c r="AD73" s="757">
        <f>'Arable Inputs'!$D$18</f>
        <v>4.5999999999999996</v>
      </c>
      <c r="AE73" s="757">
        <f>'Arable Inputs'!$D$25</f>
        <v>867</v>
      </c>
      <c r="AF73" s="757">
        <f>'Arable Inputs'!$D$19</f>
        <v>4.9000000000000004</v>
      </c>
      <c r="AG73" s="757">
        <f>'Arable Inputs'!$D$26</f>
        <v>140</v>
      </c>
      <c r="AH73" s="759">
        <f>AD73*AE73+AF73*AG73</f>
        <v>4674.2</v>
      </c>
      <c r="AI73" s="197">
        <f>'Arable NPV'!$E153</f>
        <v>471.64</v>
      </c>
      <c r="AJ73" s="197">
        <f t="shared" si="158"/>
        <v>5145.84</v>
      </c>
      <c r="AK73" s="197">
        <f>'Arable NPV'!$G153</f>
        <v>2731.3292000000006</v>
      </c>
      <c r="AL73" s="197">
        <f>'Arable NPV'!$H153</f>
        <v>4055.6064000000006</v>
      </c>
      <c r="AM73" s="197">
        <f t="shared" si="159"/>
        <v>6786.9356000000007</v>
      </c>
      <c r="AN73" s="197">
        <f t="shared" si="160"/>
        <v>-2112.7356000000009</v>
      </c>
      <c r="AO73" s="197">
        <f t="shared" si="161"/>
        <v>-1641.0956000000006</v>
      </c>
      <c r="AP73" s="196">
        <f t="shared" si="162"/>
        <v>2610.048866256644</v>
      </c>
      <c r="AQ73" s="197">
        <f t="shared" si="163"/>
        <v>263.36131258424621</v>
      </c>
      <c r="AR73" s="197">
        <f t="shared" si="164"/>
        <v>3789.7893902992719</v>
      </c>
      <c r="AS73" s="197">
        <f t="shared" si="165"/>
        <v>-1179.7405240426283</v>
      </c>
      <c r="AT73" s="199">
        <f t="shared" si="166"/>
        <v>-916.37921145838186</v>
      </c>
      <c r="AU73" s="196">
        <f t="shared" si="167"/>
        <v>47947.751010678199</v>
      </c>
      <c r="AV73" s="197">
        <f t="shared" si="167"/>
        <v>3942.9514569292264</v>
      </c>
      <c r="AW73" s="197">
        <f t="shared" si="167"/>
        <v>52753.976124117748</v>
      </c>
      <c r="AX73" s="197">
        <f t="shared" si="167"/>
        <v>-4806.2251134395374</v>
      </c>
      <c r="AY73" s="199">
        <f t="shared" si="167"/>
        <v>-863.27365651030891</v>
      </c>
      <c r="BB73" s="204">
        <f t="shared" si="201"/>
        <v>11</v>
      </c>
      <c r="BC73" s="219" t="s">
        <v>4</v>
      </c>
      <c r="BD73" s="757">
        <f>'Arable Inputs'!$D$18</f>
        <v>4.5999999999999996</v>
      </c>
      <c r="BE73" s="757">
        <f>'Arable Inputs'!$D$25</f>
        <v>867</v>
      </c>
      <c r="BF73" s="757">
        <f>'Arable Inputs'!$D$19</f>
        <v>4.9000000000000004</v>
      </c>
      <c r="BG73" s="757">
        <f>'Arable Inputs'!$D$26</f>
        <v>140</v>
      </c>
      <c r="BH73" s="759">
        <f>BD73*BE73+BF73*BG73</f>
        <v>4674.2</v>
      </c>
      <c r="BI73" s="197">
        <f>'Arable NPV'!$E153</f>
        <v>471.64</v>
      </c>
      <c r="BJ73" s="197">
        <f t="shared" si="168"/>
        <v>5145.84</v>
      </c>
      <c r="BK73" s="197">
        <f>'Arable NPV'!$G153</f>
        <v>2731.3292000000006</v>
      </c>
      <c r="BL73" s="197">
        <f>'Arable NPV'!$H153</f>
        <v>4055.6064000000006</v>
      </c>
      <c r="BM73" s="197">
        <f t="shared" si="169"/>
        <v>6786.9356000000007</v>
      </c>
      <c r="BN73" s="197">
        <f t="shared" si="170"/>
        <v>-2112.7356000000009</v>
      </c>
      <c r="BO73" s="197">
        <f t="shared" si="171"/>
        <v>-1641.0956000000006</v>
      </c>
      <c r="BP73" s="196">
        <f t="shared" si="172"/>
        <v>3834.4720232764507</v>
      </c>
      <c r="BQ73" s="197">
        <f t="shared" si="173"/>
        <v>386.90907215311825</v>
      </c>
      <c r="BR73" s="197">
        <f t="shared" si="174"/>
        <v>5567.6510808221674</v>
      </c>
      <c r="BS73" s="197">
        <f t="shared" si="175"/>
        <v>-1733.1790575457169</v>
      </c>
      <c r="BT73" s="199">
        <f t="shared" si="176"/>
        <v>-1346.2699853925983</v>
      </c>
      <c r="BU73" s="196">
        <f t="shared" si="177"/>
        <v>56744.542847703306</v>
      </c>
      <c r="BV73" s="197">
        <f t="shared" si="177"/>
        <v>4708.1863923440878</v>
      </c>
      <c r="BW73" s="197">
        <f t="shared" si="177"/>
        <v>62834.217186443617</v>
      </c>
      <c r="BX73" s="197">
        <f t="shared" si="177"/>
        <v>-6089.6743387403158</v>
      </c>
      <c r="BY73" s="199">
        <f t="shared" si="177"/>
        <v>-1381.4879463962261</v>
      </c>
      <c r="CB73" s="204">
        <f t="shared" si="202"/>
        <v>11</v>
      </c>
      <c r="CC73" s="219" t="s">
        <v>4</v>
      </c>
      <c r="CD73" s="757">
        <f>'Arable Inputs'!$D$18</f>
        <v>4.5999999999999996</v>
      </c>
      <c r="CE73" s="757">
        <f>'Arable Inputs'!$D$25</f>
        <v>867</v>
      </c>
      <c r="CF73" s="757">
        <f>'Arable Inputs'!$D$19</f>
        <v>4.9000000000000004</v>
      </c>
      <c r="CG73" s="757">
        <f>'Arable Inputs'!$D$26</f>
        <v>140</v>
      </c>
      <c r="CH73" s="759">
        <f>CD73*CE73+CF73*CG73</f>
        <v>4674.2</v>
      </c>
      <c r="CI73" s="197">
        <f>'Arable NPV'!$E153</f>
        <v>471.64</v>
      </c>
      <c r="CJ73" s="197">
        <f t="shared" si="178"/>
        <v>5145.84</v>
      </c>
      <c r="CK73" s="197">
        <f>'Arable NPV'!$G153</f>
        <v>2731.3292000000006</v>
      </c>
      <c r="CL73" s="197">
        <f>'Arable NPV'!$H153</f>
        <v>4055.6064000000006</v>
      </c>
      <c r="CM73" s="197">
        <f t="shared" si="179"/>
        <v>6786.9356000000007</v>
      </c>
      <c r="CN73" s="197">
        <f t="shared" si="180"/>
        <v>-2112.7356000000009</v>
      </c>
      <c r="CO73" s="197">
        <f t="shared" si="181"/>
        <v>-1641.0956000000006</v>
      </c>
      <c r="CP73" s="196">
        <f t="shared" si="182"/>
        <v>2165.059002005431</v>
      </c>
      <c r="CQ73" s="197">
        <f t="shared" si="183"/>
        <v>218.46057672026046</v>
      </c>
      <c r="CR73" s="197">
        <f t="shared" si="184"/>
        <v>3143.6643739701199</v>
      </c>
      <c r="CS73" s="197">
        <f t="shared" si="185"/>
        <v>-978.60537196468863</v>
      </c>
      <c r="CT73" s="199">
        <f t="shared" si="186"/>
        <v>-760.144795244428</v>
      </c>
      <c r="CU73" s="196">
        <f t="shared" si="187"/>
        <v>44393.606128985004</v>
      </c>
      <c r="CV73" s="197">
        <f t="shared" si="187"/>
        <v>3636.3827909967422</v>
      </c>
      <c r="CW73" s="197">
        <f t="shared" si="187"/>
        <v>48716.514959208769</v>
      </c>
      <c r="CX73" s="197">
        <f t="shared" si="187"/>
        <v>-4322.9088302237706</v>
      </c>
      <c r="CY73" s="199">
        <f t="shared" si="187"/>
        <v>-686.52603922702792</v>
      </c>
      <c r="DB73" s="204">
        <f t="shared" si="188"/>
        <v>11</v>
      </c>
      <c r="DC73" s="219" t="s">
        <v>4</v>
      </c>
      <c r="DD73" s="757">
        <f>'Arable Inputs'!$D$18</f>
        <v>4.5999999999999996</v>
      </c>
      <c r="DE73" s="757">
        <f>'Arable Inputs'!$D$25</f>
        <v>867</v>
      </c>
      <c r="DF73" s="757">
        <f>'Arable Inputs'!$D$19</f>
        <v>4.9000000000000004</v>
      </c>
      <c r="DG73" s="757">
        <f>'Arable Inputs'!$D$26</f>
        <v>140</v>
      </c>
      <c r="DH73" s="759">
        <f>DD73*DE73+DF73*DG73</f>
        <v>4674.2</v>
      </c>
      <c r="DI73" s="197">
        <f>'Arable NPV'!$E153</f>
        <v>471.64</v>
      </c>
      <c r="DJ73" s="197">
        <f t="shared" si="189"/>
        <v>5145.84</v>
      </c>
      <c r="DK73" s="197">
        <f>'Arable NPV'!$G153</f>
        <v>2731.3292000000006</v>
      </c>
      <c r="DL73" s="197">
        <f>'Arable NPV'!$H153</f>
        <v>4055.6064000000006</v>
      </c>
      <c r="DM73" s="197">
        <f t="shared" si="190"/>
        <v>6786.9356000000007</v>
      </c>
      <c r="DN73" s="197">
        <f t="shared" si="191"/>
        <v>-2112.7356000000009</v>
      </c>
      <c r="DO73" s="197">
        <f t="shared" si="192"/>
        <v>-1641.0956000000006</v>
      </c>
      <c r="DP73" s="196">
        <f t="shared" si="193"/>
        <v>4674.2</v>
      </c>
      <c r="DQ73" s="197">
        <f t="shared" si="194"/>
        <v>471.64</v>
      </c>
      <c r="DR73" s="197">
        <f t="shared" si="195"/>
        <v>6786.9356000000007</v>
      </c>
      <c r="DS73" s="197">
        <f t="shared" si="196"/>
        <v>-2112.7356000000009</v>
      </c>
      <c r="DT73" s="199">
        <f t="shared" si="197"/>
        <v>-1641.0956000000006</v>
      </c>
      <c r="DU73" s="196">
        <f t="shared" si="198"/>
        <v>62214.6</v>
      </c>
      <c r="DV73" s="197">
        <f t="shared" si="198"/>
        <v>5188.04</v>
      </c>
      <c r="DW73" s="197">
        <f t="shared" si="198"/>
        <v>69156.780320000005</v>
      </c>
      <c r="DX73" s="197">
        <f t="shared" si="198"/>
        <v>-6942.1803200000058</v>
      </c>
      <c r="DY73" s="199">
        <f t="shared" si="198"/>
        <v>-1754.140320000005</v>
      </c>
    </row>
    <row r="74" spans="2:129" x14ac:dyDescent="0.3">
      <c r="B74" s="204">
        <f t="shared" si="199"/>
        <v>12</v>
      </c>
      <c r="C74" s="219" t="s">
        <v>6</v>
      </c>
      <c r="D74" s="757">
        <f>'Arable Inputs'!$G$18</f>
        <v>56.8</v>
      </c>
      <c r="E74" s="757">
        <f>'Arable Inputs'!$G$25</f>
        <v>120</v>
      </c>
      <c r="H74" s="759">
        <f>D74*E74</f>
        <v>6816</v>
      </c>
      <c r="I74" s="197">
        <f>'Arable NPV'!$E154</f>
        <v>471.64</v>
      </c>
      <c r="J74" s="197">
        <f t="shared" si="153"/>
        <v>7287.64</v>
      </c>
      <c r="K74" s="197">
        <f>'Arable NPV'!$G154</f>
        <v>3648.3062999999997</v>
      </c>
      <c r="L74" s="197">
        <f>'Arable NPV'!$H154</f>
        <v>3375.8132000000005</v>
      </c>
      <c r="M74" s="197">
        <f t="shared" si="154"/>
        <v>7024.1195000000007</v>
      </c>
      <c r="N74" s="197">
        <f t="shared" si="155"/>
        <v>-208.1195000000007</v>
      </c>
      <c r="O74" s="197">
        <f t="shared" si="156"/>
        <v>263.52049999999963</v>
      </c>
      <c r="P74" s="196">
        <f t="shared" si="148"/>
        <v>4427.5436295352338</v>
      </c>
      <c r="Q74" s="197">
        <f t="shared" si="149"/>
        <v>306.36835056249964</v>
      </c>
      <c r="R74" s="197">
        <f t="shared" si="150"/>
        <v>4562.7340882217159</v>
      </c>
      <c r="S74" s="197">
        <f t="shared" si="151"/>
        <v>-135.19045868648197</v>
      </c>
      <c r="T74" s="199">
        <f t="shared" si="152"/>
        <v>171.1778918760179</v>
      </c>
      <c r="U74" s="196">
        <f t="shared" si="157"/>
        <v>56458.290290821831</v>
      </c>
      <c r="V74" s="197">
        <f t="shared" si="157"/>
        <v>4603.4312359375044</v>
      </c>
      <c r="W74" s="197">
        <f t="shared" si="157"/>
        <v>61980.938018742971</v>
      </c>
      <c r="X74" s="197">
        <f t="shared" si="157"/>
        <v>-5522.6477279211449</v>
      </c>
      <c r="Y74" s="199">
        <f t="shared" si="157"/>
        <v>-919.2164919836398</v>
      </c>
      <c r="AB74" s="204">
        <f t="shared" si="200"/>
        <v>12</v>
      </c>
      <c r="AC74" s="219" t="s">
        <v>6</v>
      </c>
      <c r="AD74" s="757">
        <f>'Arable Inputs'!$G$18</f>
        <v>56.8</v>
      </c>
      <c r="AE74" s="757">
        <f>'Arable Inputs'!$G$25</f>
        <v>120</v>
      </c>
      <c r="AH74" s="759">
        <f>AD74*AE74</f>
        <v>6816</v>
      </c>
      <c r="AI74" s="197">
        <f>'Arable NPV'!$E154</f>
        <v>471.64</v>
      </c>
      <c r="AJ74" s="197">
        <f t="shared" si="158"/>
        <v>7287.64</v>
      </c>
      <c r="AK74" s="197">
        <f>'Arable NPV'!$G154</f>
        <v>3648.3062999999997</v>
      </c>
      <c r="AL74" s="197">
        <f>'Arable NPV'!$H154</f>
        <v>3375.8132000000005</v>
      </c>
      <c r="AM74" s="197">
        <f t="shared" si="159"/>
        <v>7024.1195000000007</v>
      </c>
      <c r="AN74" s="197">
        <f t="shared" si="160"/>
        <v>-208.1195000000007</v>
      </c>
      <c r="AO74" s="197">
        <f t="shared" si="161"/>
        <v>263.52049999999963</v>
      </c>
      <c r="AP74" s="196">
        <f t="shared" si="162"/>
        <v>3590.5837730692856</v>
      </c>
      <c r="AQ74" s="197">
        <f t="shared" si="163"/>
        <v>248.45406847570391</v>
      </c>
      <c r="AR74" s="197">
        <f t="shared" si="164"/>
        <v>3700.2185294600276</v>
      </c>
      <c r="AS74" s="197">
        <f t="shared" si="165"/>
        <v>-109.63475639074174</v>
      </c>
      <c r="AT74" s="199">
        <f t="shared" si="166"/>
        <v>138.81931208496235</v>
      </c>
      <c r="AU74" s="196">
        <f t="shared" si="167"/>
        <v>51538.334783747487</v>
      </c>
      <c r="AV74" s="197">
        <f t="shared" si="167"/>
        <v>4191.4055254049299</v>
      </c>
      <c r="AW74" s="197">
        <f t="shared" si="167"/>
        <v>56454.194653577775</v>
      </c>
      <c r="AX74" s="197">
        <f t="shared" si="167"/>
        <v>-4915.8598698302794</v>
      </c>
      <c r="AY74" s="199">
        <f t="shared" si="167"/>
        <v>-724.45434442534656</v>
      </c>
      <c r="BB74" s="204">
        <f t="shared" si="201"/>
        <v>12</v>
      </c>
      <c r="BC74" s="219" t="s">
        <v>6</v>
      </c>
      <c r="BD74" s="757">
        <f>'Arable Inputs'!$G$18</f>
        <v>56.8</v>
      </c>
      <c r="BE74" s="757">
        <f>'Arable Inputs'!$G$25</f>
        <v>120</v>
      </c>
      <c r="BH74" s="759">
        <f>BD74*BE74</f>
        <v>6816</v>
      </c>
      <c r="BI74" s="197">
        <f>'Arable NPV'!$E154</f>
        <v>471.64</v>
      </c>
      <c r="BJ74" s="197">
        <f t="shared" si="168"/>
        <v>7287.64</v>
      </c>
      <c r="BK74" s="197">
        <f>'Arable NPV'!$G154</f>
        <v>3648.3062999999997</v>
      </c>
      <c r="BL74" s="197">
        <f>'Arable NPV'!$H154</f>
        <v>3375.8132000000005</v>
      </c>
      <c r="BM74" s="197">
        <f t="shared" si="169"/>
        <v>7024.1195000000007</v>
      </c>
      <c r="BN74" s="197">
        <f t="shared" si="170"/>
        <v>-208.1195000000007</v>
      </c>
      <c r="BO74" s="197">
        <f t="shared" si="171"/>
        <v>263.52049999999963</v>
      </c>
      <c r="BP74" s="196">
        <f t="shared" si="172"/>
        <v>5481.8568744598624</v>
      </c>
      <c r="BQ74" s="197">
        <f t="shared" si="173"/>
        <v>379.3226197579591</v>
      </c>
      <c r="BR74" s="197">
        <f t="shared" si="174"/>
        <v>5649.2396960244387</v>
      </c>
      <c r="BS74" s="197">
        <f t="shared" si="175"/>
        <v>-167.38282156457646</v>
      </c>
      <c r="BT74" s="199">
        <f t="shared" si="176"/>
        <v>211.93979819338293</v>
      </c>
      <c r="BU74" s="196">
        <f t="shared" si="177"/>
        <v>62226.399722163165</v>
      </c>
      <c r="BV74" s="197">
        <f t="shared" si="177"/>
        <v>5087.5090121020467</v>
      </c>
      <c r="BW74" s="197">
        <f t="shared" si="177"/>
        <v>68483.456882468061</v>
      </c>
      <c r="BX74" s="197">
        <f t="shared" si="177"/>
        <v>-6257.057160304892</v>
      </c>
      <c r="BY74" s="199">
        <f t="shared" si="177"/>
        <v>-1169.5481482028431</v>
      </c>
      <c r="CB74" s="204">
        <f t="shared" si="202"/>
        <v>12</v>
      </c>
      <c r="CC74" s="219" t="s">
        <v>6</v>
      </c>
      <c r="CD74" s="757">
        <f>'Arable Inputs'!$G$18</f>
        <v>56.8</v>
      </c>
      <c r="CE74" s="757">
        <f>'Arable Inputs'!$G$25</f>
        <v>120</v>
      </c>
      <c r="CH74" s="759">
        <f>CD74*CE74</f>
        <v>6816</v>
      </c>
      <c r="CI74" s="197">
        <f>'Arable NPV'!$E154</f>
        <v>471.64</v>
      </c>
      <c r="CJ74" s="197">
        <f t="shared" si="178"/>
        <v>7287.64</v>
      </c>
      <c r="CK74" s="197">
        <f>'Arable NPV'!$G154</f>
        <v>3648.3062999999997</v>
      </c>
      <c r="CL74" s="197">
        <f>'Arable NPV'!$H154</f>
        <v>3375.8132000000005</v>
      </c>
      <c r="CM74" s="197">
        <f t="shared" si="179"/>
        <v>7024.1195000000007</v>
      </c>
      <c r="CN74" s="197">
        <f t="shared" si="180"/>
        <v>-208.1195000000007</v>
      </c>
      <c r="CO74" s="197">
        <f t="shared" si="181"/>
        <v>263.52049999999963</v>
      </c>
      <c r="CP74" s="196">
        <f t="shared" si="182"/>
        <v>2923.2655692455628</v>
      </c>
      <c r="CQ74" s="197">
        <f t="shared" si="183"/>
        <v>202.27831177801897</v>
      </c>
      <c r="CR74" s="197">
        <f t="shared" si="184"/>
        <v>3012.5244554894894</v>
      </c>
      <c r="CS74" s="197">
        <f t="shared" si="185"/>
        <v>-89.258886243926639</v>
      </c>
      <c r="CT74" s="199">
        <f t="shared" si="186"/>
        <v>113.01942553409246</v>
      </c>
      <c r="CU74" s="196">
        <f t="shared" si="187"/>
        <v>47316.871698230563</v>
      </c>
      <c r="CV74" s="197">
        <f t="shared" si="187"/>
        <v>3838.6611027747613</v>
      </c>
      <c r="CW74" s="197">
        <f t="shared" si="187"/>
        <v>51729.039414698258</v>
      </c>
      <c r="CX74" s="197">
        <f t="shared" si="187"/>
        <v>-4412.1677164676976</v>
      </c>
      <c r="CY74" s="199">
        <f t="shared" si="187"/>
        <v>-573.5066136929355</v>
      </c>
      <c r="DB74" s="204">
        <f t="shared" si="188"/>
        <v>12</v>
      </c>
      <c r="DC74" s="219" t="s">
        <v>6</v>
      </c>
      <c r="DD74" s="757">
        <f>'Arable Inputs'!$G$18</f>
        <v>56.8</v>
      </c>
      <c r="DE74" s="757">
        <f>'Arable Inputs'!$G$25</f>
        <v>120</v>
      </c>
      <c r="DH74" s="759">
        <f>DD74*DE74</f>
        <v>6816</v>
      </c>
      <c r="DI74" s="197">
        <f>'Arable NPV'!$E154</f>
        <v>471.64</v>
      </c>
      <c r="DJ74" s="197">
        <f t="shared" si="189"/>
        <v>7287.64</v>
      </c>
      <c r="DK74" s="197">
        <f>'Arable NPV'!$G154</f>
        <v>3648.3062999999997</v>
      </c>
      <c r="DL74" s="197">
        <f>'Arable NPV'!$H154</f>
        <v>3375.8132000000005</v>
      </c>
      <c r="DM74" s="197">
        <f t="shared" si="190"/>
        <v>7024.1195000000007</v>
      </c>
      <c r="DN74" s="197">
        <f t="shared" si="191"/>
        <v>-208.1195000000007</v>
      </c>
      <c r="DO74" s="197">
        <f t="shared" si="192"/>
        <v>263.52049999999963</v>
      </c>
      <c r="DP74" s="196">
        <f t="shared" si="193"/>
        <v>6816</v>
      </c>
      <c r="DQ74" s="197">
        <f t="shared" si="194"/>
        <v>471.64</v>
      </c>
      <c r="DR74" s="197">
        <f t="shared" si="195"/>
        <v>7024.1195000000007</v>
      </c>
      <c r="DS74" s="197">
        <f t="shared" si="196"/>
        <v>-208.1195000000007</v>
      </c>
      <c r="DT74" s="199">
        <f t="shared" si="197"/>
        <v>263.52049999999963</v>
      </c>
      <c r="DU74" s="196">
        <f t="shared" si="198"/>
        <v>69030.600000000006</v>
      </c>
      <c r="DV74" s="197">
        <f t="shared" si="198"/>
        <v>5659.68</v>
      </c>
      <c r="DW74" s="197">
        <f t="shared" si="198"/>
        <v>76180.899820000006</v>
      </c>
      <c r="DX74" s="197">
        <f t="shared" si="198"/>
        <v>-7150.2998200000065</v>
      </c>
      <c r="DY74" s="199">
        <f t="shared" si="198"/>
        <v>-1490.6198200000053</v>
      </c>
    </row>
    <row r="75" spans="2:129" x14ac:dyDescent="0.3">
      <c r="B75" s="204">
        <f t="shared" si="199"/>
        <v>13</v>
      </c>
      <c r="C75" s="219" t="s">
        <v>29</v>
      </c>
      <c r="D75" s="757">
        <f>'Arable Inputs'!$H$18</f>
        <v>12</v>
      </c>
      <c r="E75" s="757">
        <f>'Arable Inputs'!$H$25</f>
        <v>724</v>
      </c>
      <c r="H75" s="759">
        <f>D75*E75</f>
        <v>8688</v>
      </c>
      <c r="I75" s="197">
        <f>'Arable NPV'!$E155</f>
        <v>471.64</v>
      </c>
      <c r="J75" s="197">
        <f t="shared" si="153"/>
        <v>9159.64</v>
      </c>
      <c r="K75" s="197">
        <f>'Arable NPV'!$G155</f>
        <v>2474.37212</v>
      </c>
      <c r="L75" s="197">
        <f>'Arable NPV'!$H155</f>
        <v>3226.3624</v>
      </c>
      <c r="M75" s="197">
        <f t="shared" si="154"/>
        <v>5700.73452</v>
      </c>
      <c r="N75" s="197">
        <f t="shared" si="155"/>
        <v>2987.26548</v>
      </c>
      <c r="O75" s="197">
        <f t="shared" si="156"/>
        <v>3458.9054799999994</v>
      </c>
      <c r="P75" s="196">
        <f t="shared" si="148"/>
        <v>5426.499166751606</v>
      </c>
      <c r="Q75" s="197">
        <f t="shared" si="149"/>
        <v>294.58495246394193</v>
      </c>
      <c r="R75" s="197">
        <f t="shared" si="150"/>
        <v>3560.6619616312287</v>
      </c>
      <c r="S75" s="197">
        <f t="shared" si="151"/>
        <v>1865.8372051203771</v>
      </c>
      <c r="T75" s="199">
        <f t="shared" si="152"/>
        <v>2160.4221575843185</v>
      </c>
      <c r="U75" s="196">
        <f t="shared" si="157"/>
        <v>61884.789457573439</v>
      </c>
      <c r="V75" s="197">
        <f t="shared" si="157"/>
        <v>4898.016188401446</v>
      </c>
      <c r="W75" s="197">
        <f t="shared" si="157"/>
        <v>65541.599980374202</v>
      </c>
      <c r="X75" s="197">
        <f t="shared" si="157"/>
        <v>-3656.810522800768</v>
      </c>
      <c r="Y75" s="199">
        <f t="shared" si="157"/>
        <v>1241.2056656006787</v>
      </c>
      <c r="AB75" s="204">
        <f t="shared" si="200"/>
        <v>13</v>
      </c>
      <c r="AC75" s="219" t="s">
        <v>29</v>
      </c>
      <c r="AD75" s="757">
        <f>'Arable Inputs'!$H$18</f>
        <v>12</v>
      </c>
      <c r="AE75" s="757">
        <f>'Arable Inputs'!$H$25</f>
        <v>724</v>
      </c>
      <c r="AH75" s="759">
        <f>AD75*AE75</f>
        <v>8688</v>
      </c>
      <c r="AI75" s="197">
        <f>'Arable NPV'!$E155</f>
        <v>471.64</v>
      </c>
      <c r="AJ75" s="197">
        <f t="shared" si="158"/>
        <v>9159.64</v>
      </c>
      <c r="AK75" s="197">
        <f>'Arable NPV'!$G155</f>
        <v>2474.37212</v>
      </c>
      <c r="AL75" s="197">
        <f>'Arable NPV'!$H155</f>
        <v>3226.3624</v>
      </c>
      <c r="AM75" s="197">
        <f t="shared" si="159"/>
        <v>5700.73452</v>
      </c>
      <c r="AN75" s="197">
        <f t="shared" si="160"/>
        <v>2987.26548</v>
      </c>
      <c r="AO75" s="197">
        <f t="shared" si="161"/>
        <v>3458.9054799999994</v>
      </c>
      <c r="AP75" s="196">
        <f t="shared" si="162"/>
        <v>4317.6698307569804</v>
      </c>
      <c r="AQ75" s="197">
        <f t="shared" si="163"/>
        <v>234.3906306374565</v>
      </c>
      <c r="AR75" s="197">
        <f t="shared" si="164"/>
        <v>2833.0904063258372</v>
      </c>
      <c r="AS75" s="197">
        <f t="shared" si="165"/>
        <v>1484.579424431143</v>
      </c>
      <c r="AT75" s="199">
        <f t="shared" si="166"/>
        <v>1718.9700550685991</v>
      </c>
      <c r="AU75" s="196">
        <f t="shared" si="167"/>
        <v>55856.004614504469</v>
      </c>
      <c r="AV75" s="197">
        <f t="shared" si="167"/>
        <v>4425.7961560423864</v>
      </c>
      <c r="AW75" s="197">
        <f t="shared" si="167"/>
        <v>59287.28505990361</v>
      </c>
      <c r="AX75" s="197">
        <f t="shared" si="167"/>
        <v>-3431.2804453991366</v>
      </c>
      <c r="AY75" s="199">
        <f t="shared" si="167"/>
        <v>994.51571064325253</v>
      </c>
      <c r="BB75" s="204">
        <f t="shared" si="201"/>
        <v>13</v>
      </c>
      <c r="BC75" s="219" t="s">
        <v>29</v>
      </c>
      <c r="BD75" s="757">
        <f>'Arable Inputs'!$H$18</f>
        <v>12</v>
      </c>
      <c r="BE75" s="757">
        <f>'Arable Inputs'!$H$25</f>
        <v>724</v>
      </c>
      <c r="BH75" s="759">
        <f>BD75*BE75</f>
        <v>8688</v>
      </c>
      <c r="BI75" s="197">
        <f>'Arable NPV'!$E155</f>
        <v>471.64</v>
      </c>
      <c r="BJ75" s="197">
        <f t="shared" si="168"/>
        <v>9159.64</v>
      </c>
      <c r="BK75" s="197">
        <f>'Arable NPV'!$G155</f>
        <v>2474.37212</v>
      </c>
      <c r="BL75" s="197">
        <f>'Arable NPV'!$H155</f>
        <v>3226.3624</v>
      </c>
      <c r="BM75" s="197">
        <f t="shared" si="169"/>
        <v>5700.73452</v>
      </c>
      <c r="BN75" s="197">
        <f t="shared" si="170"/>
        <v>2987.26548</v>
      </c>
      <c r="BO75" s="197">
        <f t="shared" si="171"/>
        <v>3458.9054799999994</v>
      </c>
      <c r="BP75" s="196">
        <f t="shared" si="172"/>
        <v>6850.4287094534311</v>
      </c>
      <c r="BQ75" s="197">
        <f t="shared" si="173"/>
        <v>371.88492133133241</v>
      </c>
      <c r="BR75" s="197">
        <f t="shared" si="174"/>
        <v>4494.9902648227699</v>
      </c>
      <c r="BS75" s="197">
        <f t="shared" si="175"/>
        <v>2355.4384446306613</v>
      </c>
      <c r="BT75" s="199">
        <f t="shared" si="176"/>
        <v>2727.3233659619932</v>
      </c>
      <c r="BU75" s="196">
        <f t="shared" si="177"/>
        <v>69076.828431616595</v>
      </c>
      <c r="BV75" s="197">
        <f t="shared" si="177"/>
        <v>5459.3939334333791</v>
      </c>
      <c r="BW75" s="197">
        <f t="shared" si="177"/>
        <v>72978.447147290834</v>
      </c>
      <c r="BX75" s="197">
        <f t="shared" si="177"/>
        <v>-3901.6187156742308</v>
      </c>
      <c r="BY75" s="199">
        <f t="shared" si="177"/>
        <v>1557.7752177591501</v>
      </c>
      <c r="CB75" s="204">
        <f t="shared" si="202"/>
        <v>13</v>
      </c>
      <c r="CC75" s="219" t="s">
        <v>29</v>
      </c>
      <c r="CD75" s="757">
        <f>'Arable Inputs'!$H$18</f>
        <v>12</v>
      </c>
      <c r="CE75" s="757">
        <f>'Arable Inputs'!$H$25</f>
        <v>724</v>
      </c>
      <c r="CH75" s="759">
        <f>CD75*CE75</f>
        <v>8688</v>
      </c>
      <c r="CI75" s="197">
        <f>'Arable NPV'!$E155</f>
        <v>471.64</v>
      </c>
      <c r="CJ75" s="197">
        <f t="shared" si="178"/>
        <v>9159.64</v>
      </c>
      <c r="CK75" s="197">
        <f>'Arable NPV'!$G155</f>
        <v>2474.37212</v>
      </c>
      <c r="CL75" s="197">
        <f>'Arable NPV'!$H155</f>
        <v>3226.3624</v>
      </c>
      <c r="CM75" s="197">
        <f t="shared" si="179"/>
        <v>5700.73452</v>
      </c>
      <c r="CN75" s="197">
        <f t="shared" si="180"/>
        <v>2987.26548</v>
      </c>
      <c r="CO75" s="197">
        <f t="shared" si="181"/>
        <v>3458.9054799999994</v>
      </c>
      <c r="CP75" s="196">
        <f t="shared" si="182"/>
        <v>3450.1243351163721</v>
      </c>
      <c r="CQ75" s="197">
        <f t="shared" si="183"/>
        <v>187.29473312779533</v>
      </c>
      <c r="CR75" s="197">
        <f t="shared" si="184"/>
        <v>2263.8401122801511</v>
      </c>
      <c r="CS75" s="197">
        <f t="shared" si="185"/>
        <v>1186.2842228362213</v>
      </c>
      <c r="CT75" s="199">
        <f t="shared" si="186"/>
        <v>1373.5789559640164</v>
      </c>
      <c r="CU75" s="196">
        <f t="shared" si="187"/>
        <v>50766.996033346935</v>
      </c>
      <c r="CV75" s="197">
        <f t="shared" si="187"/>
        <v>4025.9558359025568</v>
      </c>
      <c r="CW75" s="197">
        <f t="shared" si="187"/>
        <v>53992.87952697841</v>
      </c>
      <c r="CX75" s="197">
        <f t="shared" si="187"/>
        <v>-3225.8834936314761</v>
      </c>
      <c r="CY75" s="199">
        <f t="shared" si="187"/>
        <v>800.07234227108086</v>
      </c>
      <c r="DB75" s="204">
        <f t="shared" si="188"/>
        <v>13</v>
      </c>
      <c r="DC75" s="219" t="s">
        <v>29</v>
      </c>
      <c r="DD75" s="757">
        <f>'Arable Inputs'!$H$18</f>
        <v>12</v>
      </c>
      <c r="DE75" s="757">
        <f>'Arable Inputs'!$H$25</f>
        <v>724</v>
      </c>
      <c r="DH75" s="759">
        <f>DD75*DE75</f>
        <v>8688</v>
      </c>
      <c r="DI75" s="197">
        <f>'Arable NPV'!$E155</f>
        <v>471.64</v>
      </c>
      <c r="DJ75" s="197">
        <f t="shared" si="189"/>
        <v>9159.64</v>
      </c>
      <c r="DK75" s="197">
        <f>'Arable NPV'!$G155</f>
        <v>2474.37212</v>
      </c>
      <c r="DL75" s="197">
        <f>'Arable NPV'!$H155</f>
        <v>3226.3624</v>
      </c>
      <c r="DM75" s="197">
        <f t="shared" si="190"/>
        <v>5700.73452</v>
      </c>
      <c r="DN75" s="197">
        <f t="shared" si="191"/>
        <v>2987.26548</v>
      </c>
      <c r="DO75" s="197">
        <f t="shared" si="192"/>
        <v>3458.9054799999994</v>
      </c>
      <c r="DP75" s="196">
        <f t="shared" si="193"/>
        <v>8688</v>
      </c>
      <c r="DQ75" s="197">
        <f t="shared" si="194"/>
        <v>471.64</v>
      </c>
      <c r="DR75" s="197">
        <f t="shared" si="195"/>
        <v>5700.73452</v>
      </c>
      <c r="DS75" s="197">
        <f t="shared" si="196"/>
        <v>2987.26548</v>
      </c>
      <c r="DT75" s="199">
        <f t="shared" si="197"/>
        <v>3458.9054799999994</v>
      </c>
      <c r="DU75" s="196">
        <f t="shared" si="198"/>
        <v>77718.600000000006</v>
      </c>
      <c r="DV75" s="197">
        <f t="shared" si="198"/>
        <v>6131.3200000000006</v>
      </c>
      <c r="DW75" s="197">
        <f t="shared" si="198"/>
        <v>81881.634340000004</v>
      </c>
      <c r="DX75" s="197">
        <f t="shared" si="198"/>
        <v>-4163.0343400000065</v>
      </c>
      <c r="DY75" s="199">
        <f t="shared" si="198"/>
        <v>1968.2856599999941</v>
      </c>
    </row>
    <row r="76" spans="2:129" x14ac:dyDescent="0.3">
      <c r="B76" s="204">
        <f t="shared" si="199"/>
        <v>14</v>
      </c>
      <c r="C76" s="219" t="s">
        <v>5</v>
      </c>
      <c r="D76" s="757">
        <f>'Arable Inputs'!$F$18</f>
        <v>3.5</v>
      </c>
      <c r="E76" s="757">
        <f>'Arable Inputs'!$F$25</f>
        <v>1645</v>
      </c>
      <c r="F76" s="757">
        <f>'Arable Inputs'!$F$19</f>
        <v>5.6</v>
      </c>
      <c r="G76" s="757">
        <f>'Arable Inputs'!$F$26</f>
        <v>120</v>
      </c>
      <c r="H76" s="759">
        <f>D76*E76+F76*G76</f>
        <v>6429.5</v>
      </c>
      <c r="I76" s="197">
        <f>'Arable NPV'!$E156</f>
        <v>471.64</v>
      </c>
      <c r="J76" s="197">
        <f t="shared" si="153"/>
        <v>6901.14</v>
      </c>
      <c r="K76" s="197">
        <f>'Arable NPV'!$G156</f>
        <v>3562.03775</v>
      </c>
      <c r="L76" s="197">
        <f>'Arable NPV'!$H156</f>
        <v>2542.6675999999998</v>
      </c>
      <c r="M76" s="197">
        <f t="shared" si="154"/>
        <v>6104.7053500000002</v>
      </c>
      <c r="N76" s="197">
        <f t="shared" si="155"/>
        <v>324.79464999999982</v>
      </c>
      <c r="O76" s="197">
        <f t="shared" si="156"/>
        <v>796.43465000000015</v>
      </c>
      <c r="P76" s="196">
        <f t="shared" si="148"/>
        <v>3861.391086802912</v>
      </c>
      <c r="Q76" s="197">
        <f t="shared" si="149"/>
        <v>283.25476198455954</v>
      </c>
      <c r="R76" s="197">
        <f t="shared" si="150"/>
        <v>3666.3278366977297</v>
      </c>
      <c r="S76" s="197">
        <f t="shared" si="151"/>
        <v>195.06325010518248</v>
      </c>
      <c r="T76" s="199">
        <f t="shared" si="152"/>
        <v>478.31801208974224</v>
      </c>
      <c r="U76" s="196">
        <f t="shared" si="157"/>
        <v>65746.180544376344</v>
      </c>
      <c r="V76" s="197">
        <f t="shared" si="157"/>
        <v>5181.270950386006</v>
      </c>
      <c r="W76" s="197">
        <f t="shared" si="157"/>
        <v>69207.927817071934</v>
      </c>
      <c r="X76" s="197">
        <f t="shared" si="157"/>
        <v>-3461.7472726955857</v>
      </c>
      <c r="Y76" s="199">
        <f t="shared" si="157"/>
        <v>1719.523677690421</v>
      </c>
      <c r="AB76" s="204">
        <f t="shared" si="200"/>
        <v>14</v>
      </c>
      <c r="AC76" s="219" t="s">
        <v>5</v>
      </c>
      <c r="AD76" s="757">
        <f>'Arable Inputs'!$F$18</f>
        <v>3.5</v>
      </c>
      <c r="AE76" s="757">
        <f>'Arable Inputs'!$F$25</f>
        <v>1645</v>
      </c>
      <c r="AF76" s="757">
        <f>'Arable Inputs'!$F$19</f>
        <v>5.6</v>
      </c>
      <c r="AG76" s="757">
        <f>'Arable Inputs'!$F$26</f>
        <v>120</v>
      </c>
      <c r="AH76" s="759">
        <f>AD76*AE76+AF76*AG76</f>
        <v>6429.5</v>
      </c>
      <c r="AI76" s="197">
        <f>'Arable NPV'!$E156</f>
        <v>471.64</v>
      </c>
      <c r="AJ76" s="197">
        <f t="shared" si="158"/>
        <v>6901.14</v>
      </c>
      <c r="AK76" s="197">
        <f>'Arable NPV'!$G156</f>
        <v>3562.03775</v>
      </c>
      <c r="AL76" s="197">
        <f>'Arable NPV'!$H156</f>
        <v>2542.6675999999998</v>
      </c>
      <c r="AM76" s="197">
        <f t="shared" si="159"/>
        <v>6104.7053500000002</v>
      </c>
      <c r="AN76" s="197">
        <f t="shared" si="160"/>
        <v>324.79464999999982</v>
      </c>
      <c r="AO76" s="197">
        <f t="shared" si="161"/>
        <v>796.43465000000015</v>
      </c>
      <c r="AP76" s="196">
        <f t="shared" si="162"/>
        <v>3014.4004935078533</v>
      </c>
      <c r="AQ76" s="197">
        <f t="shared" si="163"/>
        <v>221.12323645043065</v>
      </c>
      <c r="AR76" s="197">
        <f t="shared" si="164"/>
        <v>2862.1240873722736</v>
      </c>
      <c r="AS76" s="197">
        <f t="shared" si="165"/>
        <v>152.27640613557975</v>
      </c>
      <c r="AT76" s="199">
        <f t="shared" si="166"/>
        <v>373.39964258601054</v>
      </c>
      <c r="AU76" s="196">
        <f t="shared" si="167"/>
        <v>58870.405108012324</v>
      </c>
      <c r="AV76" s="197">
        <f t="shared" si="167"/>
        <v>4646.9193924928168</v>
      </c>
      <c r="AW76" s="197">
        <f t="shared" si="167"/>
        <v>62149.409147275881</v>
      </c>
      <c r="AX76" s="197">
        <f t="shared" si="167"/>
        <v>-3279.0040392635569</v>
      </c>
      <c r="AY76" s="199">
        <f t="shared" si="167"/>
        <v>1367.915353229263</v>
      </c>
      <c r="BB76" s="204">
        <f t="shared" si="201"/>
        <v>14</v>
      </c>
      <c r="BC76" s="219" t="s">
        <v>5</v>
      </c>
      <c r="BD76" s="757">
        <f>'Arable Inputs'!$F$18</f>
        <v>3.5</v>
      </c>
      <c r="BE76" s="757">
        <f>'Arable Inputs'!$F$25</f>
        <v>1645</v>
      </c>
      <c r="BF76" s="757">
        <f>'Arable Inputs'!$F$19</f>
        <v>5.6</v>
      </c>
      <c r="BG76" s="757">
        <f>'Arable Inputs'!$F$26</f>
        <v>120</v>
      </c>
      <c r="BH76" s="759">
        <f>BD76*BE76+BF76*BG76</f>
        <v>6429.5</v>
      </c>
      <c r="BI76" s="197">
        <f>'Arable NPV'!$E156</f>
        <v>471.64</v>
      </c>
      <c r="BJ76" s="197">
        <f t="shared" si="168"/>
        <v>6901.14</v>
      </c>
      <c r="BK76" s="197">
        <f>'Arable NPV'!$G156</f>
        <v>3562.03775</v>
      </c>
      <c r="BL76" s="197">
        <f>'Arable NPV'!$H156</f>
        <v>2542.6675999999998</v>
      </c>
      <c r="BM76" s="197">
        <f t="shared" si="169"/>
        <v>6104.7053500000002</v>
      </c>
      <c r="BN76" s="197">
        <f t="shared" si="170"/>
        <v>324.79464999999982</v>
      </c>
      <c r="BO76" s="197">
        <f t="shared" si="171"/>
        <v>796.43465000000015</v>
      </c>
      <c r="BP76" s="196">
        <f t="shared" si="172"/>
        <v>4970.2126200022158</v>
      </c>
      <c r="BQ76" s="197">
        <f t="shared" si="173"/>
        <v>364.59306012875732</v>
      </c>
      <c r="BR76" s="197">
        <f t="shared" si="174"/>
        <v>4719.1357915802228</v>
      </c>
      <c r="BS76" s="197">
        <f t="shared" si="175"/>
        <v>251.07682842199264</v>
      </c>
      <c r="BT76" s="199">
        <f t="shared" si="176"/>
        <v>615.66988855075022</v>
      </c>
      <c r="BU76" s="196">
        <f t="shared" si="177"/>
        <v>74047.041051618813</v>
      </c>
      <c r="BV76" s="197">
        <f t="shared" si="177"/>
        <v>5823.9869935621364</v>
      </c>
      <c r="BW76" s="197">
        <f t="shared" si="177"/>
        <v>77697.582938871055</v>
      </c>
      <c r="BX76" s="197">
        <f t="shared" si="177"/>
        <v>-3650.5418872522382</v>
      </c>
      <c r="BY76" s="199">
        <f t="shared" si="177"/>
        <v>2173.4451063099004</v>
      </c>
      <c r="CB76" s="204">
        <f t="shared" si="202"/>
        <v>14</v>
      </c>
      <c r="CC76" s="219" t="s">
        <v>5</v>
      </c>
      <c r="CD76" s="757">
        <f>'Arable Inputs'!$F$18</f>
        <v>3.5</v>
      </c>
      <c r="CE76" s="757">
        <f>'Arable Inputs'!$F$25</f>
        <v>1645</v>
      </c>
      <c r="CF76" s="757">
        <f>'Arable Inputs'!$F$19</f>
        <v>5.6</v>
      </c>
      <c r="CG76" s="757">
        <f>'Arable Inputs'!$F$26</f>
        <v>120</v>
      </c>
      <c r="CH76" s="759">
        <f>CD76*CE76+CF76*CG76</f>
        <v>6429.5</v>
      </c>
      <c r="CI76" s="197">
        <f>'Arable NPV'!$E156</f>
        <v>471.64</v>
      </c>
      <c r="CJ76" s="197">
        <f t="shared" si="178"/>
        <v>6901.14</v>
      </c>
      <c r="CK76" s="197">
        <f>'Arable NPV'!$G156</f>
        <v>3562.03775</v>
      </c>
      <c r="CL76" s="197">
        <f>'Arable NPV'!$H156</f>
        <v>2542.6675999999998</v>
      </c>
      <c r="CM76" s="197">
        <f t="shared" si="179"/>
        <v>6104.7053500000002</v>
      </c>
      <c r="CN76" s="197">
        <f t="shared" si="180"/>
        <v>324.79464999999982</v>
      </c>
      <c r="CO76" s="197">
        <f t="shared" si="181"/>
        <v>796.43465000000015</v>
      </c>
      <c r="CP76" s="196">
        <f t="shared" si="182"/>
        <v>2364.1138066800008</v>
      </c>
      <c r="CQ76" s="197">
        <f t="shared" si="183"/>
        <v>173.42104919240307</v>
      </c>
      <c r="CR76" s="197">
        <f t="shared" si="184"/>
        <v>2244.6874879303627</v>
      </c>
      <c r="CS76" s="197">
        <f t="shared" si="185"/>
        <v>119.42631874963809</v>
      </c>
      <c r="CT76" s="199">
        <f t="shared" si="186"/>
        <v>292.84736794204127</v>
      </c>
      <c r="CU76" s="196">
        <f t="shared" si="187"/>
        <v>53131.109840026933</v>
      </c>
      <c r="CV76" s="197">
        <f t="shared" si="187"/>
        <v>4199.37688509496</v>
      </c>
      <c r="CW76" s="197">
        <f t="shared" si="187"/>
        <v>56237.567014908775</v>
      </c>
      <c r="CX76" s="197">
        <f t="shared" si="187"/>
        <v>-3106.457174881838</v>
      </c>
      <c r="CY76" s="199">
        <f t="shared" si="187"/>
        <v>1092.919710213122</v>
      </c>
      <c r="DB76" s="204">
        <f t="shared" si="188"/>
        <v>14</v>
      </c>
      <c r="DC76" s="219" t="s">
        <v>5</v>
      </c>
      <c r="DD76" s="757">
        <f>'Arable Inputs'!$F$18</f>
        <v>3.5</v>
      </c>
      <c r="DE76" s="757">
        <f>'Arable Inputs'!$F$25</f>
        <v>1645</v>
      </c>
      <c r="DF76" s="757">
        <f>'Arable Inputs'!$F$19</f>
        <v>5.6</v>
      </c>
      <c r="DG76" s="757">
        <f>'Arable Inputs'!$F$26</f>
        <v>120</v>
      </c>
      <c r="DH76" s="759">
        <f>DD76*DE76+DF76*DG76</f>
        <v>6429.5</v>
      </c>
      <c r="DI76" s="197">
        <f>'Arable NPV'!$E156</f>
        <v>471.64</v>
      </c>
      <c r="DJ76" s="197">
        <f t="shared" si="189"/>
        <v>6901.14</v>
      </c>
      <c r="DK76" s="197">
        <f>'Arable NPV'!$G156</f>
        <v>3562.03775</v>
      </c>
      <c r="DL76" s="197">
        <f>'Arable NPV'!$H156</f>
        <v>2542.6675999999998</v>
      </c>
      <c r="DM76" s="197">
        <f t="shared" si="190"/>
        <v>6104.7053500000002</v>
      </c>
      <c r="DN76" s="197">
        <f t="shared" si="191"/>
        <v>324.79464999999982</v>
      </c>
      <c r="DO76" s="197">
        <f t="shared" si="192"/>
        <v>796.43465000000015</v>
      </c>
      <c r="DP76" s="196">
        <f t="shared" si="193"/>
        <v>6429.5</v>
      </c>
      <c r="DQ76" s="197">
        <f t="shared" si="194"/>
        <v>471.64</v>
      </c>
      <c r="DR76" s="197">
        <f t="shared" si="195"/>
        <v>6104.7053500000002</v>
      </c>
      <c r="DS76" s="197">
        <f t="shared" si="196"/>
        <v>324.79464999999982</v>
      </c>
      <c r="DT76" s="199">
        <f t="shared" si="197"/>
        <v>796.43465000000015</v>
      </c>
      <c r="DU76" s="196">
        <f t="shared" si="198"/>
        <v>84148.1</v>
      </c>
      <c r="DV76" s="197">
        <f t="shared" si="198"/>
        <v>6602.9600000000009</v>
      </c>
      <c r="DW76" s="197">
        <f t="shared" si="198"/>
        <v>87986.339690000008</v>
      </c>
      <c r="DX76" s="197">
        <f t="shared" si="198"/>
        <v>-3838.2396900000067</v>
      </c>
      <c r="DY76" s="199">
        <f t="shared" si="198"/>
        <v>2764.7203099999942</v>
      </c>
    </row>
    <row r="77" spans="2:129" x14ac:dyDescent="0.3">
      <c r="B77" s="204">
        <f t="shared" si="199"/>
        <v>15</v>
      </c>
      <c r="C77" s="219" t="s">
        <v>647</v>
      </c>
      <c r="D77" s="757">
        <f>'Arable Inputs'!$E$18</f>
        <v>2.5</v>
      </c>
      <c r="E77" s="757">
        <f>'Arable Inputs'!$E$25</f>
        <v>721</v>
      </c>
      <c r="F77" s="757">
        <f>'Arable Inputs'!$E$19</f>
        <v>3</v>
      </c>
      <c r="G77" s="757">
        <f>'Arable Inputs'!$E$26</f>
        <v>120</v>
      </c>
      <c r="H77" s="759">
        <f>D77*E77+F77*G77</f>
        <v>2162.5</v>
      </c>
      <c r="I77" s="197">
        <f>'Arable NPV'!$E157</f>
        <v>471.64</v>
      </c>
      <c r="J77" s="197">
        <f t="shared" si="153"/>
        <v>2634.14</v>
      </c>
      <c r="K77" s="197">
        <f>'Arable NPV'!$G157</f>
        <v>1959.4805899999999</v>
      </c>
      <c r="L77" s="197">
        <f>'Arable NPV'!$H157</f>
        <v>3608.9468000000006</v>
      </c>
      <c r="M77" s="197">
        <f t="shared" si="154"/>
        <v>5568.4273900000007</v>
      </c>
      <c r="N77" s="197">
        <f t="shared" si="155"/>
        <v>-3405.9273900000007</v>
      </c>
      <c r="O77" s="197">
        <f t="shared" si="156"/>
        <v>-2934.2873900000009</v>
      </c>
      <c r="P77" s="196">
        <f t="shared" si="148"/>
        <v>1248.7898666021549</v>
      </c>
      <c r="Q77" s="197">
        <f t="shared" si="149"/>
        <v>272.36034806207647</v>
      </c>
      <c r="R77" s="197">
        <f t="shared" si="150"/>
        <v>3215.6280682274623</v>
      </c>
      <c r="S77" s="197">
        <f t="shared" si="151"/>
        <v>-1966.8382016253072</v>
      </c>
      <c r="T77" s="199">
        <f t="shared" si="152"/>
        <v>-1694.4778535632308</v>
      </c>
      <c r="U77" s="196">
        <f t="shared" si="157"/>
        <v>66994.970410978494</v>
      </c>
      <c r="V77" s="197">
        <f t="shared" si="157"/>
        <v>5453.6312984480828</v>
      </c>
      <c r="W77" s="197">
        <f t="shared" si="157"/>
        <v>72423.5558852994</v>
      </c>
      <c r="X77" s="197">
        <f t="shared" si="157"/>
        <v>-5428.5854743208929</v>
      </c>
      <c r="Y77" s="199">
        <f t="shared" si="157"/>
        <v>25.045824127190144</v>
      </c>
      <c r="AB77" s="204">
        <f t="shared" si="200"/>
        <v>15</v>
      </c>
      <c r="AC77" s="219" t="s">
        <v>647</v>
      </c>
      <c r="AD77" s="757">
        <f>'Arable Inputs'!$E$18</f>
        <v>2.5</v>
      </c>
      <c r="AE77" s="757">
        <f>'Arable Inputs'!$E$25</f>
        <v>721</v>
      </c>
      <c r="AF77" s="757">
        <f>'Arable Inputs'!$E$19</f>
        <v>3</v>
      </c>
      <c r="AG77" s="757">
        <f>'Arable Inputs'!$E$26</f>
        <v>120</v>
      </c>
      <c r="AH77" s="759">
        <f>AD77*AE77+AF77*AG77</f>
        <v>2162.5</v>
      </c>
      <c r="AI77" s="197">
        <f>'Arable NPV'!$E157</f>
        <v>471.64</v>
      </c>
      <c r="AJ77" s="197">
        <f t="shared" si="158"/>
        <v>2634.14</v>
      </c>
      <c r="AK77" s="197">
        <f>'Arable NPV'!$G157</f>
        <v>1959.4805899999999</v>
      </c>
      <c r="AL77" s="197">
        <f>'Arable NPV'!$H157</f>
        <v>3608.9468000000006</v>
      </c>
      <c r="AM77" s="197">
        <f t="shared" si="159"/>
        <v>5568.4273900000007</v>
      </c>
      <c r="AN77" s="197">
        <f t="shared" si="160"/>
        <v>-3405.9273900000007</v>
      </c>
      <c r="AO77" s="197">
        <f t="shared" si="161"/>
        <v>-2934.2873900000009</v>
      </c>
      <c r="AP77" s="196">
        <f t="shared" si="162"/>
        <v>956.47583547104261</v>
      </c>
      <c r="AQ77" s="197">
        <f t="shared" si="163"/>
        <v>208.60682684002893</v>
      </c>
      <c r="AR77" s="197">
        <f t="shared" si="164"/>
        <v>2462.9208046751851</v>
      </c>
      <c r="AS77" s="197">
        <f t="shared" si="165"/>
        <v>-1506.4449692041426</v>
      </c>
      <c r="AT77" s="199">
        <f t="shared" si="166"/>
        <v>-1297.8381423641138</v>
      </c>
      <c r="AU77" s="196">
        <f t="shared" si="167"/>
        <v>59826.880943483367</v>
      </c>
      <c r="AV77" s="197">
        <f t="shared" si="167"/>
        <v>4855.5262193328454</v>
      </c>
      <c r="AW77" s="197">
        <f t="shared" si="167"/>
        <v>64612.329951951069</v>
      </c>
      <c r="AX77" s="197">
        <f t="shared" si="167"/>
        <v>-4785.4490084677</v>
      </c>
      <c r="AY77" s="199">
        <f t="shared" si="167"/>
        <v>70.077210865149254</v>
      </c>
      <c r="BB77" s="204">
        <f t="shared" si="201"/>
        <v>15</v>
      </c>
      <c r="BC77" s="219" t="s">
        <v>647</v>
      </c>
      <c r="BD77" s="757">
        <f>'Arable Inputs'!$E$18</f>
        <v>2.5</v>
      </c>
      <c r="BE77" s="757">
        <f>'Arable Inputs'!$E$25</f>
        <v>721</v>
      </c>
      <c r="BF77" s="757">
        <f>'Arable Inputs'!$E$19</f>
        <v>3</v>
      </c>
      <c r="BG77" s="757">
        <f>'Arable Inputs'!$E$26</f>
        <v>120</v>
      </c>
      <c r="BH77" s="759">
        <f>BD77*BE77+BF77*BG77</f>
        <v>2162.5</v>
      </c>
      <c r="BI77" s="197">
        <f>'Arable NPV'!$E157</f>
        <v>471.64</v>
      </c>
      <c r="BJ77" s="197">
        <f t="shared" si="168"/>
        <v>2634.14</v>
      </c>
      <c r="BK77" s="197">
        <f>'Arable NPV'!$G157</f>
        <v>1959.4805899999999</v>
      </c>
      <c r="BL77" s="197">
        <f>'Arable NPV'!$H157</f>
        <v>3608.9468000000006</v>
      </c>
      <c r="BM77" s="197">
        <f t="shared" si="169"/>
        <v>5568.4273900000007</v>
      </c>
      <c r="BN77" s="197">
        <f t="shared" si="170"/>
        <v>-3405.9273900000007</v>
      </c>
      <c r="BO77" s="197">
        <f t="shared" si="171"/>
        <v>-2934.2873900000009</v>
      </c>
      <c r="BP77" s="196">
        <f t="shared" si="172"/>
        <v>1638.9047406721759</v>
      </c>
      <c r="BQ77" s="197">
        <f t="shared" si="173"/>
        <v>357.44417659682085</v>
      </c>
      <c r="BR77" s="197">
        <f t="shared" si="174"/>
        <v>4220.1720451143547</v>
      </c>
      <c r="BS77" s="197">
        <f t="shared" si="175"/>
        <v>-2581.267304442179</v>
      </c>
      <c r="BT77" s="199">
        <f t="shared" si="176"/>
        <v>-2223.8231278453582</v>
      </c>
      <c r="BU77" s="196">
        <f t="shared" si="177"/>
        <v>75685.945792290993</v>
      </c>
      <c r="BV77" s="197">
        <f t="shared" si="177"/>
        <v>6181.4311701589577</v>
      </c>
      <c r="BW77" s="197">
        <f t="shared" si="177"/>
        <v>81917.754983985404</v>
      </c>
      <c r="BX77" s="197">
        <f t="shared" si="177"/>
        <v>-6231.8091916944177</v>
      </c>
      <c r="BY77" s="199">
        <f t="shared" si="177"/>
        <v>-50.378021535457719</v>
      </c>
      <c r="CB77" s="204">
        <f t="shared" si="202"/>
        <v>15</v>
      </c>
      <c r="CC77" s="219" t="s">
        <v>647</v>
      </c>
      <c r="CD77" s="757">
        <f>'Arable Inputs'!$E$18</f>
        <v>2.5</v>
      </c>
      <c r="CE77" s="757">
        <f>'Arable Inputs'!$E$25</f>
        <v>721</v>
      </c>
      <c r="CF77" s="757">
        <f>'Arable Inputs'!$E$19</f>
        <v>3</v>
      </c>
      <c r="CG77" s="757">
        <f>'Arable Inputs'!$E$26</f>
        <v>120</v>
      </c>
      <c r="CH77" s="759">
        <f>CD77*CE77+CF77*CG77</f>
        <v>2162.5</v>
      </c>
      <c r="CI77" s="197">
        <f>'Arable NPV'!$E157</f>
        <v>471.64</v>
      </c>
      <c r="CJ77" s="197">
        <f t="shared" si="178"/>
        <v>2634.14</v>
      </c>
      <c r="CK77" s="197">
        <f>'Arable NPV'!$G157</f>
        <v>1959.4805899999999</v>
      </c>
      <c r="CL77" s="197">
        <f>'Arable NPV'!$H157</f>
        <v>3608.9468000000006</v>
      </c>
      <c r="CM77" s="197">
        <f t="shared" si="179"/>
        <v>5568.4273900000007</v>
      </c>
      <c r="CN77" s="197">
        <f t="shared" si="180"/>
        <v>-3405.9273900000007</v>
      </c>
      <c r="CO77" s="197">
        <f t="shared" si="181"/>
        <v>-2934.2873900000009</v>
      </c>
      <c r="CP77" s="196">
        <f t="shared" si="182"/>
        <v>736.247001947836</v>
      </c>
      <c r="CQ77" s="197">
        <f t="shared" si="183"/>
        <v>160.57504554852133</v>
      </c>
      <c r="CR77" s="197">
        <f t="shared" si="184"/>
        <v>1895.8325879545498</v>
      </c>
      <c r="CS77" s="197">
        <f t="shared" si="185"/>
        <v>-1159.5855860067138</v>
      </c>
      <c r="CT77" s="199">
        <f t="shared" si="186"/>
        <v>-999.01054045819251</v>
      </c>
      <c r="CU77" s="196">
        <f t="shared" si="187"/>
        <v>53867.356841974768</v>
      </c>
      <c r="CV77" s="197">
        <f t="shared" si="187"/>
        <v>4359.9519306434813</v>
      </c>
      <c r="CW77" s="197">
        <f t="shared" si="187"/>
        <v>58133.399602863326</v>
      </c>
      <c r="CX77" s="197">
        <f t="shared" si="187"/>
        <v>-4266.042760888552</v>
      </c>
      <c r="CY77" s="199">
        <f t="shared" si="187"/>
        <v>93.909169754929508</v>
      </c>
      <c r="DB77" s="204">
        <f t="shared" si="188"/>
        <v>15</v>
      </c>
      <c r="DC77" s="219" t="s">
        <v>647</v>
      </c>
      <c r="DD77" s="757">
        <f>'Arable Inputs'!$E$18</f>
        <v>2.5</v>
      </c>
      <c r="DE77" s="757">
        <f>'Arable Inputs'!$E$25</f>
        <v>721</v>
      </c>
      <c r="DF77" s="757">
        <f>'Arable Inputs'!$E$19</f>
        <v>3</v>
      </c>
      <c r="DG77" s="757">
        <f>'Arable Inputs'!$E$26</f>
        <v>120</v>
      </c>
      <c r="DH77" s="759">
        <f>DD77*DE77+DF77*DG77</f>
        <v>2162.5</v>
      </c>
      <c r="DI77" s="197">
        <f>'Arable NPV'!$E157</f>
        <v>471.64</v>
      </c>
      <c r="DJ77" s="197">
        <f t="shared" si="189"/>
        <v>2634.14</v>
      </c>
      <c r="DK77" s="197">
        <f>'Arable NPV'!$G157</f>
        <v>1959.4805899999999</v>
      </c>
      <c r="DL77" s="197">
        <f>'Arable NPV'!$H157</f>
        <v>3608.9468000000006</v>
      </c>
      <c r="DM77" s="197">
        <f t="shared" si="190"/>
        <v>5568.4273900000007</v>
      </c>
      <c r="DN77" s="197">
        <f t="shared" si="191"/>
        <v>-3405.9273900000007</v>
      </c>
      <c r="DO77" s="197">
        <f t="shared" si="192"/>
        <v>-2934.2873900000009</v>
      </c>
      <c r="DP77" s="196">
        <f t="shared" si="193"/>
        <v>2162.5</v>
      </c>
      <c r="DQ77" s="197">
        <f t="shared" si="194"/>
        <v>471.64</v>
      </c>
      <c r="DR77" s="197">
        <f t="shared" si="195"/>
        <v>5568.4273900000007</v>
      </c>
      <c r="DS77" s="197">
        <f t="shared" si="196"/>
        <v>-3405.9273900000007</v>
      </c>
      <c r="DT77" s="199">
        <f t="shared" si="197"/>
        <v>-2934.2873900000009</v>
      </c>
      <c r="DU77" s="196">
        <f t="shared" si="198"/>
        <v>86310.6</v>
      </c>
      <c r="DV77" s="197">
        <f t="shared" si="198"/>
        <v>7074.6000000000013</v>
      </c>
      <c r="DW77" s="197">
        <f t="shared" si="198"/>
        <v>93554.767080000005</v>
      </c>
      <c r="DX77" s="197">
        <f t="shared" si="198"/>
        <v>-7244.1670800000074</v>
      </c>
      <c r="DY77" s="199">
        <f t="shared" si="198"/>
        <v>-169.56708000000663</v>
      </c>
    </row>
    <row r="78" spans="2:129" x14ac:dyDescent="0.3">
      <c r="B78" s="206">
        <f t="shared" si="199"/>
        <v>16</v>
      </c>
      <c r="C78" s="220" t="s">
        <v>4</v>
      </c>
      <c r="D78" s="758">
        <f>'Arable Inputs'!$D$18</f>
        <v>4.5999999999999996</v>
      </c>
      <c r="E78" s="758">
        <f>'Arable Inputs'!$D$25</f>
        <v>867</v>
      </c>
      <c r="F78" s="758">
        <f>'Arable Inputs'!$D$19</f>
        <v>4.9000000000000004</v>
      </c>
      <c r="G78" s="758">
        <f>'Arable Inputs'!$D$26</f>
        <v>140</v>
      </c>
      <c r="H78" s="207">
        <f>D78*E78+F78*G78</f>
        <v>4674.2</v>
      </c>
      <c r="I78" s="207">
        <f>'Arable NPV'!$E158</f>
        <v>471.64</v>
      </c>
      <c r="J78" s="207">
        <f t="shared" si="153"/>
        <v>5145.84</v>
      </c>
      <c r="K78" s="207">
        <f>'Arable NPV'!$G158</f>
        <v>2731.3292000000006</v>
      </c>
      <c r="L78" s="207">
        <f>'Arable NPV'!$H158</f>
        <v>4055.6064000000006</v>
      </c>
      <c r="M78" s="207">
        <f t="shared" si="154"/>
        <v>6786.9356000000007</v>
      </c>
      <c r="N78" s="207">
        <f t="shared" si="155"/>
        <v>-2112.7356000000009</v>
      </c>
      <c r="O78" s="207">
        <f t="shared" si="156"/>
        <v>-1641.0956000000006</v>
      </c>
      <c r="P78" s="208">
        <f t="shared" si="148"/>
        <v>2595.4173385823888</v>
      </c>
      <c r="Q78" s="207">
        <f t="shared" si="149"/>
        <v>261.88495005968895</v>
      </c>
      <c r="R78" s="207">
        <f t="shared" si="150"/>
        <v>3768.5444208810218</v>
      </c>
      <c r="S78" s="207">
        <f t="shared" si="151"/>
        <v>-1173.1270822986328</v>
      </c>
      <c r="T78" s="209">
        <f t="shared" si="152"/>
        <v>-911.24213223894367</v>
      </c>
      <c r="U78" s="208">
        <f t="shared" si="157"/>
        <v>69590.387749560876</v>
      </c>
      <c r="V78" s="207">
        <f t="shared" si="157"/>
        <v>5715.5162485077717</v>
      </c>
      <c r="W78" s="207">
        <f t="shared" si="157"/>
        <v>76192.100306180422</v>
      </c>
      <c r="X78" s="207">
        <f t="shared" si="157"/>
        <v>-6601.7125566195255</v>
      </c>
      <c r="Y78" s="209">
        <f t="shared" si="157"/>
        <v>-886.19630811175352</v>
      </c>
      <c r="AB78" s="206">
        <f t="shared" si="200"/>
        <v>16</v>
      </c>
      <c r="AC78" s="220" t="s">
        <v>4</v>
      </c>
      <c r="AD78" s="758">
        <f>'Arable Inputs'!$D$18</f>
        <v>4.5999999999999996</v>
      </c>
      <c r="AE78" s="758">
        <f>'Arable Inputs'!$D$25</f>
        <v>867</v>
      </c>
      <c r="AF78" s="758">
        <f>'Arable Inputs'!$D$19</f>
        <v>4.9000000000000004</v>
      </c>
      <c r="AG78" s="758">
        <f>'Arable Inputs'!$D$26</f>
        <v>140</v>
      </c>
      <c r="AH78" s="207">
        <f>AD78*AE78+AF78*AG78</f>
        <v>4674.2</v>
      </c>
      <c r="AI78" s="207">
        <f>'Arable NPV'!$E158</f>
        <v>471.64</v>
      </c>
      <c r="AJ78" s="207">
        <f t="shared" si="158"/>
        <v>5145.84</v>
      </c>
      <c r="AK78" s="207">
        <f>'Arable NPV'!$G158</f>
        <v>2731.3292000000006</v>
      </c>
      <c r="AL78" s="207">
        <f>'Arable NPV'!$H158</f>
        <v>4055.6064000000006</v>
      </c>
      <c r="AM78" s="207">
        <f t="shared" si="159"/>
        <v>6786.9356000000007</v>
      </c>
      <c r="AN78" s="207">
        <f t="shared" si="160"/>
        <v>-2112.7356000000009</v>
      </c>
      <c r="AO78" s="207">
        <f t="shared" si="161"/>
        <v>-1641.0956000000006</v>
      </c>
      <c r="AP78" s="208">
        <f t="shared" si="162"/>
        <v>1950.3803468900626</v>
      </c>
      <c r="AQ78" s="207">
        <f t="shared" si="163"/>
        <v>196.79889324531024</v>
      </c>
      <c r="AR78" s="207">
        <f t="shared" si="164"/>
        <v>2831.9510953422014</v>
      </c>
      <c r="AS78" s="207">
        <f t="shared" si="165"/>
        <v>-881.57074845213867</v>
      </c>
      <c r="AT78" s="209">
        <f t="shared" si="166"/>
        <v>-684.77185520682826</v>
      </c>
      <c r="AU78" s="208">
        <f t="shared" si="167"/>
        <v>61777.261290373433</v>
      </c>
      <c r="AV78" s="207">
        <f t="shared" si="167"/>
        <v>5052.3251125781553</v>
      </c>
      <c r="AW78" s="207">
        <f t="shared" si="167"/>
        <v>67444.281047293276</v>
      </c>
      <c r="AX78" s="207">
        <f t="shared" si="167"/>
        <v>-5667.019756919839</v>
      </c>
      <c r="AY78" s="209">
        <f t="shared" si="167"/>
        <v>-614.69464434167901</v>
      </c>
      <c r="BB78" s="206">
        <f t="shared" si="201"/>
        <v>16</v>
      </c>
      <c r="BC78" s="220" t="s">
        <v>4</v>
      </c>
      <c r="BD78" s="758">
        <f>'Arable Inputs'!$D$18</f>
        <v>4.5999999999999996</v>
      </c>
      <c r="BE78" s="758">
        <f>'Arable Inputs'!$D$25</f>
        <v>867</v>
      </c>
      <c r="BF78" s="758">
        <f>'Arable Inputs'!$D$19</f>
        <v>4.9000000000000004</v>
      </c>
      <c r="BG78" s="758">
        <f>'Arable Inputs'!$D$26</f>
        <v>140</v>
      </c>
      <c r="BH78" s="207">
        <f>BD78*BE78+BF78*BG78</f>
        <v>4674.2</v>
      </c>
      <c r="BI78" s="207">
        <f>'Arable NPV'!$E158</f>
        <v>471.64</v>
      </c>
      <c r="BJ78" s="207">
        <f t="shared" si="168"/>
        <v>5145.84</v>
      </c>
      <c r="BK78" s="207">
        <f>'Arable NPV'!$G158</f>
        <v>2731.3292000000006</v>
      </c>
      <c r="BL78" s="207">
        <f>'Arable NPV'!$H158</f>
        <v>4055.6064000000006</v>
      </c>
      <c r="BM78" s="207">
        <f t="shared" si="169"/>
        <v>6786.9356000000007</v>
      </c>
      <c r="BN78" s="207">
        <f t="shared" si="170"/>
        <v>-2112.7356000000009</v>
      </c>
      <c r="BO78" s="207">
        <f t="shared" si="171"/>
        <v>-1641.0956000000006</v>
      </c>
      <c r="BP78" s="208">
        <f t="shared" si="172"/>
        <v>3472.9994509123367</v>
      </c>
      <c r="BQ78" s="207">
        <f t="shared" si="173"/>
        <v>350.43546725178521</v>
      </c>
      <c r="BR78" s="207">
        <f t="shared" si="174"/>
        <v>5042.7931222834695</v>
      </c>
      <c r="BS78" s="207">
        <f t="shared" si="175"/>
        <v>-1569.7936713711329</v>
      </c>
      <c r="BT78" s="209">
        <f t="shared" si="176"/>
        <v>-1219.3582041193474</v>
      </c>
      <c r="BU78" s="208">
        <f t="shared" si="177"/>
        <v>79158.945243203329</v>
      </c>
      <c r="BV78" s="207">
        <f t="shared" si="177"/>
        <v>6531.8666374107434</v>
      </c>
      <c r="BW78" s="207">
        <f t="shared" si="177"/>
        <v>86960.548106268878</v>
      </c>
      <c r="BX78" s="207">
        <f t="shared" si="177"/>
        <v>-7801.602863065551</v>
      </c>
      <c r="BY78" s="209">
        <f t="shared" si="177"/>
        <v>-1269.7362256548051</v>
      </c>
      <c r="CB78" s="206">
        <f t="shared" si="202"/>
        <v>16</v>
      </c>
      <c r="CC78" s="220" t="s">
        <v>4</v>
      </c>
      <c r="CD78" s="758">
        <f>'Arable Inputs'!$D$18</f>
        <v>4.5999999999999996</v>
      </c>
      <c r="CE78" s="758">
        <f>'Arable Inputs'!$D$25</f>
        <v>867</v>
      </c>
      <c r="CF78" s="758">
        <f>'Arable Inputs'!$D$19</f>
        <v>4.9000000000000004</v>
      </c>
      <c r="CG78" s="758">
        <f>'Arable Inputs'!$D$26</f>
        <v>140</v>
      </c>
      <c r="CH78" s="207">
        <f>CD78*CE78+CF78*CG78</f>
        <v>4674.2</v>
      </c>
      <c r="CI78" s="207">
        <f>'Arable NPV'!$E158</f>
        <v>471.64</v>
      </c>
      <c r="CJ78" s="207">
        <f t="shared" si="178"/>
        <v>5145.84</v>
      </c>
      <c r="CK78" s="207">
        <f>'Arable NPV'!$G158</f>
        <v>2731.3292000000006</v>
      </c>
      <c r="CL78" s="207">
        <f>'Arable NPV'!$H158</f>
        <v>4055.6064000000006</v>
      </c>
      <c r="CM78" s="207">
        <f t="shared" si="179"/>
        <v>6786.9356000000007</v>
      </c>
      <c r="CN78" s="207">
        <f t="shared" si="180"/>
        <v>-2112.7356000000009</v>
      </c>
      <c r="CO78" s="207">
        <f t="shared" si="181"/>
        <v>-1641.0956000000006</v>
      </c>
      <c r="CP78" s="208">
        <f t="shared" si="182"/>
        <v>1473.5027773515628</v>
      </c>
      <c r="CQ78" s="207">
        <f t="shared" si="183"/>
        <v>148.68059773011234</v>
      </c>
      <c r="CR78" s="207">
        <f t="shared" si="184"/>
        <v>2139.5251500376958</v>
      </c>
      <c r="CS78" s="207">
        <f t="shared" si="185"/>
        <v>-666.02237268613283</v>
      </c>
      <c r="CT78" s="209">
        <f t="shared" si="186"/>
        <v>-517.34177495602034</v>
      </c>
      <c r="CU78" s="208">
        <f t="shared" si="187"/>
        <v>55340.859619326329</v>
      </c>
      <c r="CV78" s="207">
        <f t="shared" si="187"/>
        <v>4508.6325283735932</v>
      </c>
      <c r="CW78" s="207">
        <f t="shared" si="187"/>
        <v>60272.924752901024</v>
      </c>
      <c r="CX78" s="207">
        <f t="shared" si="187"/>
        <v>-4932.0651335746852</v>
      </c>
      <c r="CY78" s="209">
        <f t="shared" si="187"/>
        <v>-423.43260520109084</v>
      </c>
      <c r="DB78" s="206">
        <f t="shared" si="188"/>
        <v>16</v>
      </c>
      <c r="DC78" s="220" t="s">
        <v>4</v>
      </c>
      <c r="DD78" s="758">
        <f>'Arable Inputs'!$D$18</f>
        <v>4.5999999999999996</v>
      </c>
      <c r="DE78" s="758">
        <f>'Arable Inputs'!$D$25</f>
        <v>867</v>
      </c>
      <c r="DF78" s="758">
        <f>'Arable Inputs'!$D$19</f>
        <v>4.9000000000000004</v>
      </c>
      <c r="DG78" s="758">
        <f>'Arable Inputs'!$D$26</f>
        <v>140</v>
      </c>
      <c r="DH78" s="207">
        <f>DD78*DE78+DF78*DG78</f>
        <v>4674.2</v>
      </c>
      <c r="DI78" s="207">
        <f>'Arable NPV'!$E158</f>
        <v>471.64</v>
      </c>
      <c r="DJ78" s="207">
        <f t="shared" si="189"/>
        <v>5145.84</v>
      </c>
      <c r="DK78" s="207">
        <f>'Arable NPV'!$G158</f>
        <v>2731.3292000000006</v>
      </c>
      <c r="DL78" s="207">
        <f>'Arable NPV'!$H158</f>
        <v>4055.6064000000006</v>
      </c>
      <c r="DM78" s="207">
        <f t="shared" si="190"/>
        <v>6786.9356000000007</v>
      </c>
      <c r="DN78" s="207">
        <f t="shared" si="191"/>
        <v>-2112.7356000000009</v>
      </c>
      <c r="DO78" s="207">
        <f t="shared" si="192"/>
        <v>-1641.0956000000006</v>
      </c>
      <c r="DP78" s="208">
        <f t="shared" si="193"/>
        <v>4674.2</v>
      </c>
      <c r="DQ78" s="207">
        <f t="shared" si="194"/>
        <v>471.64</v>
      </c>
      <c r="DR78" s="207">
        <f t="shared" si="195"/>
        <v>6786.9356000000007</v>
      </c>
      <c r="DS78" s="207">
        <f t="shared" si="196"/>
        <v>-2112.7356000000009</v>
      </c>
      <c r="DT78" s="209">
        <f t="shared" si="197"/>
        <v>-1641.0956000000006</v>
      </c>
      <c r="DU78" s="208">
        <f t="shared" si="198"/>
        <v>90984.8</v>
      </c>
      <c r="DV78" s="207">
        <f t="shared" si="198"/>
        <v>7546.2400000000016</v>
      </c>
      <c r="DW78" s="207">
        <f t="shared" si="198"/>
        <v>100341.70268</v>
      </c>
      <c r="DX78" s="207">
        <f t="shared" si="198"/>
        <v>-9356.9026800000083</v>
      </c>
      <c r="DY78" s="209">
        <f t="shared" si="198"/>
        <v>-1810.6626800000072</v>
      </c>
    </row>
    <row r="84" spans="2:119" x14ac:dyDescent="0.3">
      <c r="B84" s="211" t="s">
        <v>92</v>
      </c>
      <c r="C84" s="760" t="s">
        <v>412</v>
      </c>
      <c r="D84" s="269" t="s">
        <v>397</v>
      </c>
      <c r="E84" s="194"/>
      <c r="F84" s="193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Z84" s="211" t="s">
        <v>92</v>
      </c>
      <c r="AA84" s="211" t="s">
        <v>420</v>
      </c>
      <c r="AB84" s="766"/>
      <c r="AC84" s="194"/>
      <c r="AD84" s="193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X84" s="211" t="s">
        <v>92</v>
      </c>
      <c r="AY84" s="211" t="s">
        <v>419</v>
      </c>
      <c r="AZ84" s="231"/>
      <c r="BA84" s="194"/>
      <c r="BB84" s="193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V84" s="211" t="s">
        <v>92</v>
      </c>
      <c r="BW84" s="211" t="s">
        <v>418</v>
      </c>
      <c r="BX84" s="231"/>
      <c r="BY84" s="194"/>
      <c r="BZ84" s="193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  <c r="CM84" s="102"/>
      <c r="CN84" s="102"/>
      <c r="CO84" s="102"/>
      <c r="CP84" s="102"/>
      <c r="CQ84" s="102"/>
      <c r="CT84" s="211" t="s">
        <v>92</v>
      </c>
      <c r="CU84" s="211" t="s">
        <v>417</v>
      </c>
      <c r="CV84" s="231"/>
      <c r="CW84" s="194"/>
      <c r="CX84" s="193"/>
      <c r="CY84" s="102"/>
      <c r="CZ84" s="102"/>
      <c r="DA84" s="102"/>
      <c r="DB84" s="102"/>
      <c r="DC84" s="102"/>
      <c r="DD84" s="102"/>
      <c r="DE84" s="102"/>
      <c r="DF84" s="102"/>
      <c r="DG84" s="102"/>
      <c r="DH84" s="102"/>
      <c r="DI84" s="102"/>
      <c r="DJ84" s="102"/>
      <c r="DK84" s="102"/>
      <c r="DL84" s="102"/>
      <c r="DM84" s="102"/>
      <c r="DN84" s="102"/>
      <c r="DO84" s="102"/>
    </row>
    <row r="85" spans="2:119" x14ac:dyDescent="0.3">
      <c r="B85" s="203"/>
      <c r="C85" s="148"/>
      <c r="D85" s="148"/>
      <c r="E85" s="1082"/>
      <c r="F85" s="1082"/>
      <c r="G85" s="1082"/>
      <c r="H85" s="148"/>
      <c r="I85" s="926"/>
      <c r="J85" s="1082"/>
      <c r="K85" s="1082"/>
      <c r="L85" s="148"/>
      <c r="M85" s="148"/>
      <c r="N85" s="1083" t="s">
        <v>273</v>
      </c>
      <c r="O85" s="1084"/>
      <c r="P85" s="1084"/>
      <c r="Q85" s="1084"/>
      <c r="R85" s="1085"/>
      <c r="S85" s="1083" t="s">
        <v>274</v>
      </c>
      <c r="T85" s="1084"/>
      <c r="U85" s="1084"/>
      <c r="V85" s="1084"/>
      <c r="W85" s="1085"/>
      <c r="Z85" s="203"/>
      <c r="AA85" s="148"/>
      <c r="AB85" s="148"/>
      <c r="AC85" s="985"/>
      <c r="AD85" s="985"/>
      <c r="AE85" s="985"/>
      <c r="AF85" s="148"/>
      <c r="AG85" s="926"/>
      <c r="AH85" s="985"/>
      <c r="AI85" s="985"/>
      <c r="AJ85" s="148"/>
      <c r="AK85" s="148"/>
      <c r="AL85" s="986" t="s">
        <v>273</v>
      </c>
      <c r="AM85" s="987"/>
      <c r="AN85" s="987"/>
      <c r="AO85" s="987"/>
      <c r="AP85" s="988"/>
      <c r="AQ85" s="986" t="s">
        <v>274</v>
      </c>
      <c r="AR85" s="987"/>
      <c r="AS85" s="987"/>
      <c r="AT85" s="987"/>
      <c r="AU85" s="988"/>
      <c r="AX85" s="203"/>
      <c r="AY85" s="148"/>
      <c r="AZ85" s="148"/>
      <c r="BA85" s="985"/>
      <c r="BB85" s="985"/>
      <c r="BC85" s="985"/>
      <c r="BD85" s="148"/>
      <c r="BE85" s="926"/>
      <c r="BF85" s="985"/>
      <c r="BG85" s="985"/>
      <c r="BH85" s="148"/>
      <c r="BI85" s="148"/>
      <c r="BJ85" s="986" t="s">
        <v>273</v>
      </c>
      <c r="BK85" s="987"/>
      <c r="BL85" s="987"/>
      <c r="BM85" s="987"/>
      <c r="BN85" s="988"/>
      <c r="BO85" s="986" t="s">
        <v>274</v>
      </c>
      <c r="BP85" s="987"/>
      <c r="BQ85" s="987"/>
      <c r="BR85" s="987"/>
      <c r="BS85" s="988"/>
      <c r="BV85" s="203"/>
      <c r="BW85" s="148"/>
      <c r="BX85" s="148"/>
      <c r="BY85" s="985"/>
      <c r="BZ85" s="985"/>
      <c r="CA85" s="985"/>
      <c r="CB85" s="148"/>
      <c r="CC85" s="926"/>
      <c r="CD85" s="985"/>
      <c r="CE85" s="985"/>
      <c r="CF85" s="148"/>
      <c r="CG85" s="148"/>
      <c r="CH85" s="986" t="s">
        <v>273</v>
      </c>
      <c r="CI85" s="987"/>
      <c r="CJ85" s="987"/>
      <c r="CK85" s="987"/>
      <c r="CL85" s="988"/>
      <c r="CM85" s="986" t="s">
        <v>274</v>
      </c>
      <c r="CN85" s="987"/>
      <c r="CO85" s="987"/>
      <c r="CP85" s="987"/>
      <c r="CQ85" s="988"/>
      <c r="CT85" s="203"/>
      <c r="CU85" s="148"/>
      <c r="CV85" s="148"/>
      <c r="CW85" s="985"/>
      <c r="CX85" s="985"/>
      <c r="CY85" s="985"/>
      <c r="CZ85" s="148"/>
      <c r="DA85" s="926"/>
      <c r="DB85" s="985"/>
      <c r="DC85" s="985"/>
      <c r="DD85" s="148"/>
      <c r="DE85" s="148"/>
      <c r="DF85" s="986" t="s">
        <v>273</v>
      </c>
      <c r="DG85" s="987"/>
      <c r="DH85" s="987"/>
      <c r="DI85" s="987"/>
      <c r="DJ85" s="988"/>
      <c r="DK85" s="986" t="s">
        <v>274</v>
      </c>
      <c r="DL85" s="987"/>
      <c r="DM85" s="987"/>
      <c r="DN85" s="987"/>
      <c r="DO85" s="988"/>
    </row>
    <row r="86" spans="2:119" ht="51" x14ac:dyDescent="0.3">
      <c r="B86" s="204" t="s">
        <v>275</v>
      </c>
      <c r="C86" s="205" t="s">
        <v>293</v>
      </c>
      <c r="D86" s="205" t="s">
        <v>294</v>
      </c>
      <c r="E86" s="171" t="s">
        <v>622</v>
      </c>
      <c r="F86" s="171" t="s">
        <v>591</v>
      </c>
      <c r="G86" s="171" t="s">
        <v>623</v>
      </c>
      <c r="H86" s="205" t="s">
        <v>291</v>
      </c>
      <c r="I86" s="930" t="s">
        <v>292</v>
      </c>
      <c r="J86" s="205" t="s">
        <v>295</v>
      </c>
      <c r="K86" s="171" t="s">
        <v>279</v>
      </c>
      <c r="L86" s="171" t="s">
        <v>624</v>
      </c>
      <c r="M86" s="171" t="s">
        <v>625</v>
      </c>
      <c r="N86" s="195" t="s">
        <v>280</v>
      </c>
      <c r="O86" s="171" t="s">
        <v>626</v>
      </c>
      <c r="P86" s="171" t="s">
        <v>281</v>
      </c>
      <c r="Q86" s="171" t="s">
        <v>627</v>
      </c>
      <c r="R86" s="198" t="s">
        <v>282</v>
      </c>
      <c r="S86" s="195" t="s">
        <v>283</v>
      </c>
      <c r="T86" s="171" t="s">
        <v>628</v>
      </c>
      <c r="U86" s="171" t="s">
        <v>284</v>
      </c>
      <c r="V86" s="171" t="s">
        <v>629</v>
      </c>
      <c r="W86" s="198" t="s">
        <v>285</v>
      </c>
      <c r="Z86" s="204" t="s">
        <v>275</v>
      </c>
      <c r="AA86" s="205" t="s">
        <v>293</v>
      </c>
      <c r="AB86" s="205" t="s">
        <v>294</v>
      </c>
      <c r="AC86" s="171" t="s">
        <v>622</v>
      </c>
      <c r="AD86" s="171" t="s">
        <v>591</v>
      </c>
      <c r="AE86" s="171" t="s">
        <v>623</v>
      </c>
      <c r="AF86" s="205" t="s">
        <v>291</v>
      </c>
      <c r="AG86" s="930" t="s">
        <v>292</v>
      </c>
      <c r="AH86" s="205" t="s">
        <v>295</v>
      </c>
      <c r="AI86" s="171" t="s">
        <v>279</v>
      </c>
      <c r="AJ86" s="171" t="s">
        <v>624</v>
      </c>
      <c r="AK86" s="171" t="s">
        <v>625</v>
      </c>
      <c r="AL86" s="195" t="s">
        <v>280</v>
      </c>
      <c r="AM86" s="171" t="s">
        <v>626</v>
      </c>
      <c r="AN86" s="171" t="s">
        <v>281</v>
      </c>
      <c r="AO86" s="171" t="s">
        <v>627</v>
      </c>
      <c r="AP86" s="198" t="s">
        <v>282</v>
      </c>
      <c r="AQ86" s="195" t="s">
        <v>283</v>
      </c>
      <c r="AR86" s="171" t="s">
        <v>628</v>
      </c>
      <c r="AS86" s="171" t="s">
        <v>284</v>
      </c>
      <c r="AT86" s="171" t="s">
        <v>629</v>
      </c>
      <c r="AU86" s="198" t="s">
        <v>285</v>
      </c>
      <c r="AX86" s="204" t="s">
        <v>275</v>
      </c>
      <c r="AY86" s="205" t="s">
        <v>293</v>
      </c>
      <c r="AZ86" s="205" t="s">
        <v>294</v>
      </c>
      <c r="BA86" s="171" t="s">
        <v>622</v>
      </c>
      <c r="BB86" s="171" t="s">
        <v>591</v>
      </c>
      <c r="BC86" s="171" t="s">
        <v>623</v>
      </c>
      <c r="BD86" s="205" t="s">
        <v>291</v>
      </c>
      <c r="BE86" s="930" t="s">
        <v>292</v>
      </c>
      <c r="BF86" s="205" t="s">
        <v>295</v>
      </c>
      <c r="BG86" s="171" t="s">
        <v>279</v>
      </c>
      <c r="BH86" s="171" t="s">
        <v>624</v>
      </c>
      <c r="BI86" s="171" t="s">
        <v>625</v>
      </c>
      <c r="BJ86" s="195" t="s">
        <v>280</v>
      </c>
      <c r="BK86" s="171" t="s">
        <v>626</v>
      </c>
      <c r="BL86" s="171" t="s">
        <v>281</v>
      </c>
      <c r="BM86" s="171" t="s">
        <v>627</v>
      </c>
      <c r="BN86" s="198" t="s">
        <v>282</v>
      </c>
      <c r="BO86" s="195" t="s">
        <v>283</v>
      </c>
      <c r="BP86" s="171" t="s">
        <v>628</v>
      </c>
      <c r="BQ86" s="171" t="s">
        <v>284</v>
      </c>
      <c r="BR86" s="171" t="s">
        <v>629</v>
      </c>
      <c r="BS86" s="198" t="s">
        <v>285</v>
      </c>
      <c r="BV86" s="204" t="s">
        <v>275</v>
      </c>
      <c r="BW86" s="205" t="s">
        <v>293</v>
      </c>
      <c r="BX86" s="205" t="s">
        <v>294</v>
      </c>
      <c r="BY86" s="171" t="s">
        <v>622</v>
      </c>
      <c r="BZ86" s="171" t="s">
        <v>591</v>
      </c>
      <c r="CA86" s="171" t="s">
        <v>623</v>
      </c>
      <c r="CB86" s="205" t="s">
        <v>291</v>
      </c>
      <c r="CC86" s="930" t="s">
        <v>292</v>
      </c>
      <c r="CD86" s="205" t="s">
        <v>295</v>
      </c>
      <c r="CE86" s="171" t="s">
        <v>279</v>
      </c>
      <c r="CF86" s="171" t="s">
        <v>624</v>
      </c>
      <c r="CG86" s="171" t="s">
        <v>625</v>
      </c>
      <c r="CH86" s="195" t="s">
        <v>280</v>
      </c>
      <c r="CI86" s="171" t="s">
        <v>626</v>
      </c>
      <c r="CJ86" s="171" t="s">
        <v>281</v>
      </c>
      <c r="CK86" s="171" t="s">
        <v>627</v>
      </c>
      <c r="CL86" s="198" t="s">
        <v>282</v>
      </c>
      <c r="CM86" s="195" t="s">
        <v>283</v>
      </c>
      <c r="CN86" s="171" t="s">
        <v>628</v>
      </c>
      <c r="CO86" s="171" t="s">
        <v>284</v>
      </c>
      <c r="CP86" s="171" t="s">
        <v>629</v>
      </c>
      <c r="CQ86" s="198" t="s">
        <v>285</v>
      </c>
      <c r="CT86" s="204" t="s">
        <v>275</v>
      </c>
      <c r="CU86" s="205" t="s">
        <v>293</v>
      </c>
      <c r="CV86" s="205" t="s">
        <v>294</v>
      </c>
      <c r="CW86" s="171" t="s">
        <v>622</v>
      </c>
      <c r="CX86" s="171" t="s">
        <v>591</v>
      </c>
      <c r="CY86" s="171" t="s">
        <v>623</v>
      </c>
      <c r="CZ86" s="205" t="s">
        <v>291</v>
      </c>
      <c r="DA86" s="930" t="s">
        <v>292</v>
      </c>
      <c r="DB86" s="205" t="s">
        <v>295</v>
      </c>
      <c r="DC86" s="171" t="s">
        <v>279</v>
      </c>
      <c r="DD86" s="171" t="s">
        <v>624</v>
      </c>
      <c r="DE86" s="171" t="s">
        <v>625</v>
      </c>
      <c r="DF86" s="195" t="s">
        <v>280</v>
      </c>
      <c r="DG86" s="171" t="s">
        <v>626</v>
      </c>
      <c r="DH86" s="171" t="s">
        <v>281</v>
      </c>
      <c r="DI86" s="171" t="s">
        <v>627</v>
      </c>
      <c r="DJ86" s="198" t="s">
        <v>282</v>
      </c>
      <c r="DK86" s="195" t="s">
        <v>283</v>
      </c>
      <c r="DL86" s="171" t="s">
        <v>628</v>
      </c>
      <c r="DM86" s="171" t="s">
        <v>284</v>
      </c>
      <c r="DN86" s="171" t="s">
        <v>629</v>
      </c>
      <c r="DO86" s="198" t="s">
        <v>285</v>
      </c>
    </row>
    <row r="87" spans="2:119" x14ac:dyDescent="0.3">
      <c r="B87" s="173"/>
      <c r="C87" s="226" t="s">
        <v>336</v>
      </c>
      <c r="D87" s="226" t="s">
        <v>573</v>
      </c>
      <c r="E87" s="201" t="s">
        <v>571</v>
      </c>
      <c r="F87" s="201" t="s">
        <v>571</v>
      </c>
      <c r="G87" s="201" t="s">
        <v>571</v>
      </c>
      <c r="H87" s="201" t="s">
        <v>571</v>
      </c>
      <c r="I87" s="964" t="s">
        <v>571</v>
      </c>
      <c r="J87" s="201" t="s">
        <v>571</v>
      </c>
      <c r="K87" s="201" t="s">
        <v>571</v>
      </c>
      <c r="L87" s="201" t="s">
        <v>571</v>
      </c>
      <c r="M87" s="202" t="s">
        <v>571</v>
      </c>
      <c r="N87" s="201" t="s">
        <v>571</v>
      </c>
      <c r="O87" s="201" t="s">
        <v>571</v>
      </c>
      <c r="P87" s="201" t="s">
        <v>571</v>
      </c>
      <c r="Q87" s="201" t="s">
        <v>571</v>
      </c>
      <c r="R87" s="202" t="s">
        <v>571</v>
      </c>
      <c r="S87" s="201" t="s">
        <v>571</v>
      </c>
      <c r="T87" s="201" t="s">
        <v>571</v>
      </c>
      <c r="U87" s="201" t="s">
        <v>571</v>
      </c>
      <c r="V87" s="201" t="s">
        <v>571</v>
      </c>
      <c r="W87" s="202" t="s">
        <v>571</v>
      </c>
      <c r="Z87" s="173"/>
      <c r="AA87" s="226" t="s">
        <v>336</v>
      </c>
      <c r="AB87" s="226" t="s">
        <v>573</v>
      </c>
      <c r="AC87" s="201" t="s">
        <v>571</v>
      </c>
      <c r="AD87" s="201" t="s">
        <v>571</v>
      </c>
      <c r="AE87" s="201" t="s">
        <v>571</v>
      </c>
      <c r="AF87" s="201" t="s">
        <v>571</v>
      </c>
      <c r="AG87" s="964" t="s">
        <v>571</v>
      </c>
      <c r="AH87" s="201" t="s">
        <v>571</v>
      </c>
      <c r="AI87" s="201" t="s">
        <v>571</v>
      </c>
      <c r="AJ87" s="201" t="s">
        <v>571</v>
      </c>
      <c r="AK87" s="202" t="s">
        <v>571</v>
      </c>
      <c r="AL87" s="201" t="s">
        <v>571</v>
      </c>
      <c r="AM87" s="201" t="s">
        <v>571</v>
      </c>
      <c r="AN87" s="201" t="s">
        <v>571</v>
      </c>
      <c r="AO87" s="201" t="s">
        <v>571</v>
      </c>
      <c r="AP87" s="202" t="s">
        <v>571</v>
      </c>
      <c r="AQ87" s="201" t="s">
        <v>571</v>
      </c>
      <c r="AR87" s="201" t="s">
        <v>571</v>
      </c>
      <c r="AS87" s="201" t="s">
        <v>571</v>
      </c>
      <c r="AT87" s="201" t="s">
        <v>571</v>
      </c>
      <c r="AU87" s="202" t="s">
        <v>571</v>
      </c>
      <c r="AX87" s="173"/>
      <c r="AY87" s="226" t="s">
        <v>336</v>
      </c>
      <c r="AZ87" s="226" t="s">
        <v>573</v>
      </c>
      <c r="BA87" s="201" t="s">
        <v>571</v>
      </c>
      <c r="BB87" s="201" t="s">
        <v>571</v>
      </c>
      <c r="BC87" s="201" t="s">
        <v>571</v>
      </c>
      <c r="BD87" s="201" t="s">
        <v>571</v>
      </c>
      <c r="BE87" s="964" t="s">
        <v>571</v>
      </c>
      <c r="BF87" s="201" t="s">
        <v>571</v>
      </c>
      <c r="BG87" s="201" t="s">
        <v>571</v>
      </c>
      <c r="BH87" s="201" t="s">
        <v>571</v>
      </c>
      <c r="BI87" s="202" t="s">
        <v>571</v>
      </c>
      <c r="BJ87" s="201" t="s">
        <v>571</v>
      </c>
      <c r="BK87" s="201" t="s">
        <v>571</v>
      </c>
      <c r="BL87" s="201" t="s">
        <v>571</v>
      </c>
      <c r="BM87" s="201" t="s">
        <v>571</v>
      </c>
      <c r="BN87" s="202" t="s">
        <v>571</v>
      </c>
      <c r="BO87" s="201" t="s">
        <v>571</v>
      </c>
      <c r="BP87" s="201" t="s">
        <v>571</v>
      </c>
      <c r="BQ87" s="201" t="s">
        <v>571</v>
      </c>
      <c r="BR87" s="201" t="s">
        <v>571</v>
      </c>
      <c r="BS87" s="202" t="s">
        <v>571</v>
      </c>
      <c r="BV87" s="173"/>
      <c r="BW87" s="226" t="s">
        <v>336</v>
      </c>
      <c r="BX87" s="226" t="s">
        <v>573</v>
      </c>
      <c r="BY87" s="201" t="s">
        <v>571</v>
      </c>
      <c r="BZ87" s="201" t="s">
        <v>571</v>
      </c>
      <c r="CA87" s="201" t="s">
        <v>571</v>
      </c>
      <c r="CB87" s="201" t="s">
        <v>571</v>
      </c>
      <c r="CC87" s="964" t="s">
        <v>571</v>
      </c>
      <c r="CD87" s="201" t="s">
        <v>571</v>
      </c>
      <c r="CE87" s="201" t="s">
        <v>571</v>
      </c>
      <c r="CF87" s="201" t="s">
        <v>571</v>
      </c>
      <c r="CG87" s="202" t="s">
        <v>571</v>
      </c>
      <c r="CH87" s="201" t="s">
        <v>571</v>
      </c>
      <c r="CI87" s="201" t="s">
        <v>571</v>
      </c>
      <c r="CJ87" s="201" t="s">
        <v>571</v>
      </c>
      <c r="CK87" s="201" t="s">
        <v>571</v>
      </c>
      <c r="CL87" s="202" t="s">
        <v>571</v>
      </c>
      <c r="CM87" s="201" t="s">
        <v>571</v>
      </c>
      <c r="CN87" s="201" t="s">
        <v>571</v>
      </c>
      <c r="CO87" s="201" t="s">
        <v>571</v>
      </c>
      <c r="CP87" s="201" t="s">
        <v>571</v>
      </c>
      <c r="CQ87" s="202" t="s">
        <v>571</v>
      </c>
      <c r="CT87" s="173"/>
      <c r="CU87" s="226" t="s">
        <v>336</v>
      </c>
      <c r="CV87" s="226" t="s">
        <v>573</v>
      </c>
      <c r="CW87" s="201" t="s">
        <v>571</v>
      </c>
      <c r="CX87" s="201" t="s">
        <v>571</v>
      </c>
      <c r="CY87" s="201" t="s">
        <v>571</v>
      </c>
      <c r="CZ87" s="201" t="s">
        <v>571</v>
      </c>
      <c r="DA87" s="964" t="s">
        <v>571</v>
      </c>
      <c r="DB87" s="201" t="s">
        <v>571</v>
      </c>
      <c r="DC87" s="201" t="s">
        <v>571</v>
      </c>
      <c r="DD87" s="201" t="s">
        <v>571</v>
      </c>
      <c r="DE87" s="202" t="s">
        <v>571</v>
      </c>
      <c r="DF87" s="201" t="s">
        <v>571</v>
      </c>
      <c r="DG87" s="201" t="s">
        <v>571</v>
      </c>
      <c r="DH87" s="201" t="s">
        <v>571</v>
      </c>
      <c r="DI87" s="201" t="s">
        <v>571</v>
      </c>
      <c r="DJ87" s="202" t="s">
        <v>571</v>
      </c>
      <c r="DK87" s="201" t="s">
        <v>571</v>
      </c>
      <c r="DL87" s="201" t="s">
        <v>571</v>
      </c>
      <c r="DM87" s="201" t="s">
        <v>571</v>
      </c>
      <c r="DN87" s="201" t="s">
        <v>571</v>
      </c>
      <c r="DO87" s="202" t="s">
        <v>571</v>
      </c>
    </row>
    <row r="88" spans="2:119" x14ac:dyDescent="0.3">
      <c r="B88" s="204">
        <v>1</v>
      </c>
      <c r="C88" s="756">
        <f>'Energy NPV'!$D13</f>
        <v>0</v>
      </c>
      <c r="D88" s="197">
        <f>'Energy margins'!$E$12</f>
        <v>269.5</v>
      </c>
      <c r="E88" s="197">
        <f>C88*D88</f>
        <v>0</v>
      </c>
      <c r="F88" s="197">
        <f>'Margins summary'!$Q$14</f>
        <v>471.64</v>
      </c>
      <c r="G88" s="197">
        <f>E88+F88</f>
        <v>471.64</v>
      </c>
      <c r="H88" s="197">
        <f>'Margins summary'!$P$20</f>
        <v>7477.7999999999993</v>
      </c>
      <c r="I88" s="917">
        <f>'Energy NPV'!$U13</f>
        <v>0</v>
      </c>
      <c r="J88" s="197"/>
      <c r="K88" s="197">
        <f>H88+I88+J88</f>
        <v>7477.7999999999993</v>
      </c>
      <c r="L88" s="197">
        <f t="shared" ref="L88:L103" si="203">E88-K88</f>
        <v>-7477.7999999999993</v>
      </c>
      <c r="M88" s="197">
        <f t="shared" ref="M88:M103" si="204">G88-K88</f>
        <v>-7006.1599999999989</v>
      </c>
      <c r="N88" s="1014">
        <f>E88/((1+$B$4)^(B88-1))</f>
        <v>0</v>
      </c>
      <c r="O88" s="213">
        <f>F88/((1+$B$4)^(B88-1))</f>
        <v>471.64</v>
      </c>
      <c r="P88" s="213">
        <f>K88/((1+$B$4)^(B88-1))</f>
        <v>7477.7999999999993</v>
      </c>
      <c r="Q88" s="213">
        <f>L88/((1+$B$4)^(B88-1))</f>
        <v>-7477.7999999999993</v>
      </c>
      <c r="R88" s="924">
        <f>M88/((1+$B$4)^(B88-1))</f>
        <v>-7006.1599999999989</v>
      </c>
      <c r="S88" s="196">
        <f>N88</f>
        <v>0</v>
      </c>
      <c r="T88" s="197">
        <f>O88</f>
        <v>471.64</v>
      </c>
      <c r="U88" s="197">
        <f>P88</f>
        <v>7477.7999999999993</v>
      </c>
      <c r="V88" s="197">
        <f>Q88</f>
        <v>-7477.7999999999993</v>
      </c>
      <c r="W88" s="199">
        <f>R88</f>
        <v>-7006.1599999999989</v>
      </c>
      <c r="Z88" s="204">
        <v>1</v>
      </c>
      <c r="AA88" s="756">
        <f>'Energy NPV'!$D13</f>
        <v>0</v>
      </c>
      <c r="AB88" s="197">
        <f>'Energy margins'!$E$12</f>
        <v>269.5</v>
      </c>
      <c r="AC88" s="197">
        <f>AA88*AB88</f>
        <v>0</v>
      </c>
      <c r="AD88" s="197">
        <f>'Margins summary'!$Q$14</f>
        <v>471.64</v>
      </c>
      <c r="AE88" s="197">
        <f>AC88+AD88</f>
        <v>471.64</v>
      </c>
      <c r="AF88" s="197">
        <f>'Margins summary'!$P$20</f>
        <v>7477.7999999999993</v>
      </c>
      <c r="AG88" s="913">
        <f>'Energy NPV'!$U13</f>
        <v>0</v>
      </c>
      <c r="AH88" s="197"/>
      <c r="AI88" s="197">
        <f>AF88+AG88+AH88</f>
        <v>7477.7999999999993</v>
      </c>
      <c r="AJ88" s="197">
        <f t="shared" ref="AJ88:AJ103" si="205">AC88-AI88</f>
        <v>-7477.7999999999993</v>
      </c>
      <c r="AK88" s="197">
        <f t="shared" ref="AK88:AK103" si="206">AE88-AI88</f>
        <v>-7006.1599999999989</v>
      </c>
      <c r="AL88" s="1014">
        <f>AC88/((1+$C$4)^(Z88-1))</f>
        <v>0</v>
      </c>
      <c r="AM88" s="213">
        <f>AD88/((1+$C$4)^(Z88-1))</f>
        <v>471.64</v>
      </c>
      <c r="AN88" s="213">
        <f>AI88/((1+$C$4)^(Z88-1))</f>
        <v>7477.7999999999993</v>
      </c>
      <c r="AO88" s="213">
        <f>AJ88/((1+$C$4)^(Z88-1))</f>
        <v>-7477.7999999999993</v>
      </c>
      <c r="AP88" s="924">
        <f>AK88/((1+$C$4)^(Z88-1))</f>
        <v>-7006.1599999999989</v>
      </c>
      <c r="AQ88" s="196">
        <f>AL88</f>
        <v>0</v>
      </c>
      <c r="AR88" s="197">
        <f>AM88</f>
        <v>471.64</v>
      </c>
      <c r="AS88" s="197">
        <f>AN88</f>
        <v>7477.7999999999993</v>
      </c>
      <c r="AT88" s="197">
        <f>AO88</f>
        <v>-7477.7999999999993</v>
      </c>
      <c r="AU88" s="199">
        <f>AP88</f>
        <v>-7006.1599999999989</v>
      </c>
      <c r="AX88" s="204">
        <v>1</v>
      </c>
      <c r="AY88" s="756">
        <f>'Energy NPV'!$D13</f>
        <v>0</v>
      </c>
      <c r="AZ88" s="197">
        <f>'Energy margins'!$E$12</f>
        <v>269.5</v>
      </c>
      <c r="BA88" s="197">
        <f>AY88*AZ88</f>
        <v>0</v>
      </c>
      <c r="BB88" s="197">
        <f>'Margins summary'!$Q$14</f>
        <v>471.64</v>
      </c>
      <c r="BC88" s="197">
        <f>BA88+BB88</f>
        <v>471.64</v>
      </c>
      <c r="BD88" s="197">
        <f>'Margins summary'!$P$20</f>
        <v>7477.7999999999993</v>
      </c>
      <c r="BE88" s="913">
        <f>'Energy NPV'!$U13</f>
        <v>0</v>
      </c>
      <c r="BF88" s="197"/>
      <c r="BG88" s="197">
        <f>BD88+BE88+BF88</f>
        <v>7477.7999999999993</v>
      </c>
      <c r="BH88" s="197">
        <f t="shared" ref="BH88:BH103" si="207">BA88-BG88</f>
        <v>-7477.7999999999993</v>
      </c>
      <c r="BI88" s="197">
        <f t="shared" ref="BI88:BI103" si="208">BC88-BG88</f>
        <v>-7006.1599999999989</v>
      </c>
      <c r="BJ88" s="1014">
        <f>BA88/((1+$D$4)^(AX88-1))</f>
        <v>0</v>
      </c>
      <c r="BK88" s="213">
        <f>BB88/((1+$D$4)^(AX88-1))</f>
        <v>471.64</v>
      </c>
      <c r="BL88" s="213">
        <f>BG88/((1+$D$4)^(AX88-1))</f>
        <v>7477.7999999999993</v>
      </c>
      <c r="BM88" s="213">
        <f>BH88/((1+$D$4)^(AX88-1))</f>
        <v>-7477.7999999999993</v>
      </c>
      <c r="BN88" s="924">
        <f>BI88/((1+$D$4)^(AX88-1))</f>
        <v>-7006.1599999999989</v>
      </c>
      <c r="BO88" s="196">
        <f>BJ88</f>
        <v>0</v>
      </c>
      <c r="BP88" s="197">
        <f>BK88</f>
        <v>471.64</v>
      </c>
      <c r="BQ88" s="197">
        <f>BL88</f>
        <v>7477.7999999999993</v>
      </c>
      <c r="BR88" s="197">
        <f>BM88</f>
        <v>-7477.7999999999993</v>
      </c>
      <c r="BS88" s="199">
        <f>BN88</f>
        <v>-7006.1599999999989</v>
      </c>
      <c r="BV88" s="204">
        <v>1</v>
      </c>
      <c r="BW88" s="756">
        <f>'Energy NPV'!$D13</f>
        <v>0</v>
      </c>
      <c r="BX88" s="197">
        <f>'Energy margins'!$E$12</f>
        <v>269.5</v>
      </c>
      <c r="BY88" s="197">
        <f>BW88*BX88</f>
        <v>0</v>
      </c>
      <c r="BZ88" s="197">
        <f>'Margins summary'!$Q$14</f>
        <v>471.64</v>
      </c>
      <c r="CA88" s="197">
        <f>BY88+BZ88</f>
        <v>471.64</v>
      </c>
      <c r="CB88" s="197">
        <f>'Margins summary'!$P$20</f>
        <v>7477.7999999999993</v>
      </c>
      <c r="CC88" s="913">
        <f>'Energy NPV'!$U13</f>
        <v>0</v>
      </c>
      <c r="CD88" s="197"/>
      <c r="CE88" s="197">
        <f>CB88+CC88+CD88</f>
        <v>7477.7999999999993</v>
      </c>
      <c r="CF88" s="197">
        <f t="shared" ref="CF88:CF103" si="209">BY88-CE88</f>
        <v>-7477.7999999999993</v>
      </c>
      <c r="CG88" s="197">
        <f t="shared" ref="CG88:CG103" si="210">CA88-CE88</f>
        <v>-7006.1599999999989</v>
      </c>
      <c r="CH88" s="1014">
        <f>BY88/((1+$E$4)^(BV88-1))</f>
        <v>0</v>
      </c>
      <c r="CI88" s="213">
        <f>BZ88/((1+$E$4)^(BV88-1))</f>
        <v>471.64</v>
      </c>
      <c r="CJ88" s="213">
        <f>CE88/((1+$E$4)^(BV88-1))</f>
        <v>7477.7999999999993</v>
      </c>
      <c r="CK88" s="213">
        <f>CF88/((1+$E$4)^(BV88-1))</f>
        <v>-7477.7999999999993</v>
      </c>
      <c r="CL88" s="924">
        <f>CG88/((1+$E$4)^(BV88-1))</f>
        <v>-7006.1599999999989</v>
      </c>
      <c r="CM88" s="196">
        <f>CH88</f>
        <v>0</v>
      </c>
      <c r="CN88" s="197">
        <f>CI88</f>
        <v>471.64</v>
      </c>
      <c r="CO88" s="197">
        <f>CJ88</f>
        <v>7477.7999999999993</v>
      </c>
      <c r="CP88" s="197">
        <f>CK88</f>
        <v>-7477.7999999999993</v>
      </c>
      <c r="CQ88" s="199">
        <f>CL88</f>
        <v>-7006.1599999999989</v>
      </c>
      <c r="CT88" s="204">
        <v>1</v>
      </c>
      <c r="CU88" s="756">
        <f>'Energy NPV'!$D13</f>
        <v>0</v>
      </c>
      <c r="CV88" s="197">
        <f>'Energy margins'!$E$12</f>
        <v>269.5</v>
      </c>
      <c r="CW88" s="197">
        <f>CU88*CV88</f>
        <v>0</v>
      </c>
      <c r="CX88" s="197">
        <f>'Margins summary'!$Q$14</f>
        <v>471.64</v>
      </c>
      <c r="CY88" s="197">
        <f>CW88+CX88</f>
        <v>471.64</v>
      </c>
      <c r="CZ88" s="197">
        <f>'Margins summary'!$P$20</f>
        <v>7477.7999999999993</v>
      </c>
      <c r="DA88" s="913">
        <f>'Energy NPV'!$U13</f>
        <v>0</v>
      </c>
      <c r="DB88" s="197"/>
      <c r="DC88" s="197">
        <f>CZ88+DA88+DB88</f>
        <v>7477.7999999999993</v>
      </c>
      <c r="DD88" s="197">
        <f t="shared" ref="DD88:DD103" si="211">CW88-DC88</f>
        <v>-7477.7999999999993</v>
      </c>
      <c r="DE88" s="197">
        <f t="shared" ref="DE88:DE103" si="212">CY88-DC88</f>
        <v>-7006.1599999999989</v>
      </c>
      <c r="DF88" s="1014">
        <f>CW88/((1+$F$4)^(CT88-1))</f>
        <v>0</v>
      </c>
      <c r="DG88" s="213">
        <f>CX88/((1+$F$4)^(CT88-1))</f>
        <v>471.64</v>
      </c>
      <c r="DH88" s="213">
        <f>DC88/((1+$F$4)^(CT88-1))</f>
        <v>7477.7999999999993</v>
      </c>
      <c r="DI88" s="213">
        <f>DD88/((1+$F$4)^(CT88-1))</f>
        <v>-7477.7999999999993</v>
      </c>
      <c r="DJ88" s="924">
        <f>DE88/((1+$F$4)^(CT88-1))</f>
        <v>-7006.1599999999989</v>
      </c>
      <c r="DK88" s="196">
        <f>DF88</f>
        <v>0</v>
      </c>
      <c r="DL88" s="197">
        <f>DG88</f>
        <v>471.64</v>
      </c>
      <c r="DM88" s="197">
        <f>DH88</f>
        <v>7477.7999999999993</v>
      </c>
      <c r="DN88" s="197">
        <f>DI88</f>
        <v>-7477.7999999999993</v>
      </c>
      <c r="DO88" s="199">
        <f>DJ88</f>
        <v>-7006.1599999999989</v>
      </c>
    </row>
    <row r="89" spans="2:119" x14ac:dyDescent="0.3">
      <c r="B89" s="204">
        <v>2</v>
      </c>
      <c r="C89" s="756">
        <f>'Energy NPV'!$D14</f>
        <v>0</v>
      </c>
      <c r="D89" s="197">
        <f>'Energy margins'!$E$12</f>
        <v>269.5</v>
      </c>
      <c r="E89" s="197">
        <f>C89*D89</f>
        <v>0</v>
      </c>
      <c r="F89" s="197">
        <f>'Margins summary'!$Q$14</f>
        <v>471.64</v>
      </c>
      <c r="G89" s="197">
        <f t="shared" ref="G89:G103" si="213">E89+F89</f>
        <v>471.64</v>
      </c>
      <c r="H89" s="197"/>
      <c r="I89" s="917">
        <f>'Energy NPV'!$U14</f>
        <v>687.5680000000001</v>
      </c>
      <c r="J89" s="197"/>
      <c r="K89" s="197">
        <f t="shared" ref="K89:K103" si="214">H89+I89+J89</f>
        <v>687.5680000000001</v>
      </c>
      <c r="L89" s="197">
        <f t="shared" si="203"/>
        <v>-687.5680000000001</v>
      </c>
      <c r="M89" s="197">
        <f t="shared" si="204"/>
        <v>-215.92800000000011</v>
      </c>
      <c r="N89" s="196">
        <f t="shared" ref="N89:N103" si="215">E89/((1+$B$4)^(B89-1))</f>
        <v>0</v>
      </c>
      <c r="O89" s="197">
        <f t="shared" ref="O89:O103" si="216">F89/((1+$B$4)^(B89-1))</f>
        <v>453.49999999999994</v>
      </c>
      <c r="P89" s="197">
        <f t="shared" ref="P89:P103" si="217">K89/((1+$B$4)^(B89-1))</f>
        <v>661.12307692307695</v>
      </c>
      <c r="Q89" s="197">
        <f t="shared" ref="Q89:Q103" si="218">L89/((1+$B$4)^(B89-1))</f>
        <v>-661.12307692307695</v>
      </c>
      <c r="R89" s="199">
        <f t="shared" ref="R89:R102" si="219">M89/((1+$B$4)^(B89-1))</f>
        <v>-207.62307692307704</v>
      </c>
      <c r="S89" s="196">
        <f>S88+N89</f>
        <v>0</v>
      </c>
      <c r="T89" s="197">
        <f t="shared" ref="T89:W103" si="220">T88+O89</f>
        <v>925.13999999999987</v>
      </c>
      <c r="U89" s="197">
        <f t="shared" si="220"/>
        <v>8138.9230769230762</v>
      </c>
      <c r="V89" s="197">
        <f t="shared" si="220"/>
        <v>-8138.9230769230762</v>
      </c>
      <c r="W89" s="199">
        <f t="shared" si="220"/>
        <v>-7213.7830769230759</v>
      </c>
      <c r="Z89" s="204">
        <v>2</v>
      </c>
      <c r="AA89" s="756">
        <f>'Energy NPV'!$D14</f>
        <v>0</v>
      </c>
      <c r="AB89" s="197">
        <f>'Energy margins'!$E$12</f>
        <v>269.5</v>
      </c>
      <c r="AC89" s="197">
        <f>AA89*AB89</f>
        <v>0</v>
      </c>
      <c r="AD89" s="197">
        <f>'Margins summary'!$Q$14</f>
        <v>471.64</v>
      </c>
      <c r="AE89" s="197">
        <f t="shared" ref="AE89:AE103" si="221">AC89+AD89</f>
        <v>471.64</v>
      </c>
      <c r="AF89" s="197"/>
      <c r="AG89" s="913">
        <f>'Energy NPV'!$U14</f>
        <v>687.5680000000001</v>
      </c>
      <c r="AH89" s="197"/>
      <c r="AI89" s="197">
        <f t="shared" ref="AI89:AI103" si="222">AF89+AG89+AH89</f>
        <v>687.5680000000001</v>
      </c>
      <c r="AJ89" s="197">
        <f t="shared" si="205"/>
        <v>-687.5680000000001</v>
      </c>
      <c r="AK89" s="197">
        <f t="shared" si="206"/>
        <v>-215.92800000000011</v>
      </c>
      <c r="AL89" s="196">
        <f t="shared" ref="AL89:AL103" si="223">AC89/((1+$C$4)^(Z89-1))</f>
        <v>0</v>
      </c>
      <c r="AM89" s="197">
        <f t="shared" ref="AM89:AM103" si="224">AD89/((1+$C$4)^(Z89-1))</f>
        <v>444.94339622641508</v>
      </c>
      <c r="AN89" s="197">
        <f t="shared" ref="AN89:AN103" si="225">AI89/((1+$C$4)^(Z89-1))</f>
        <v>648.6490566037736</v>
      </c>
      <c r="AO89" s="197">
        <f t="shared" ref="AO89:AO103" si="226">AJ89/((1+$C$4)^(Z89-1))</f>
        <v>-648.6490566037736</v>
      </c>
      <c r="AP89" s="199">
        <f t="shared" ref="AP89:AP103" si="227">AK89/((1+$C$4)^(Z89-1))</f>
        <v>-203.70566037735858</v>
      </c>
      <c r="AQ89" s="196">
        <f>AQ88+AL89</f>
        <v>0</v>
      </c>
      <c r="AR89" s="197">
        <f t="shared" ref="AR89:AU103" si="228">AR88+AM89</f>
        <v>916.58339622641506</v>
      </c>
      <c r="AS89" s="197">
        <f t="shared" si="228"/>
        <v>8126.449056603773</v>
      </c>
      <c r="AT89" s="197">
        <f t="shared" si="228"/>
        <v>-8126.449056603773</v>
      </c>
      <c r="AU89" s="199">
        <f t="shared" si="228"/>
        <v>-7209.8656603773579</v>
      </c>
      <c r="AX89" s="204">
        <v>2</v>
      </c>
      <c r="AY89" s="756">
        <f>'Energy NPV'!$D14</f>
        <v>0</v>
      </c>
      <c r="AZ89" s="197">
        <f>'Energy margins'!$E$12</f>
        <v>269.5</v>
      </c>
      <c r="BA89" s="197">
        <f>AY89*AZ89</f>
        <v>0</v>
      </c>
      <c r="BB89" s="197">
        <f>'Margins summary'!$Q$14</f>
        <v>471.64</v>
      </c>
      <c r="BC89" s="197">
        <f t="shared" ref="BC89:BC103" si="229">BA89+BB89</f>
        <v>471.64</v>
      </c>
      <c r="BD89" s="197"/>
      <c r="BE89" s="913">
        <f>'Energy NPV'!$U14</f>
        <v>687.5680000000001</v>
      </c>
      <c r="BF89" s="197"/>
      <c r="BG89" s="197">
        <f t="shared" ref="BG89:BG103" si="230">BD89+BE89+BF89</f>
        <v>687.5680000000001</v>
      </c>
      <c r="BH89" s="197">
        <f t="shared" si="207"/>
        <v>-687.5680000000001</v>
      </c>
      <c r="BI89" s="197">
        <f t="shared" si="208"/>
        <v>-215.92800000000011</v>
      </c>
      <c r="BJ89" s="196">
        <f t="shared" ref="BJ89:BJ103" si="231">BA89/((1+$D$4)^(AX89-1))</f>
        <v>0</v>
      </c>
      <c r="BK89" s="197">
        <f t="shared" ref="BK89:BK103" si="232">BB89/((1+$D$4)^(AX89-1))</f>
        <v>462.39215686274508</v>
      </c>
      <c r="BL89" s="197">
        <f t="shared" ref="BL89:BL103" si="233">BG89/((1+$D$4)^(AX89-1))</f>
        <v>674.08627450980396</v>
      </c>
      <c r="BM89" s="197">
        <f t="shared" ref="BM89:BM103" si="234">BH89/((1+$D$4)^(AX89-1))</f>
        <v>-674.08627450980396</v>
      </c>
      <c r="BN89" s="199">
        <f t="shared" ref="BN89:BN103" si="235">BI89/((1+$D$4)^(AX89-1))</f>
        <v>-211.69411764705893</v>
      </c>
      <c r="BO89" s="196">
        <f>BO88+BJ89</f>
        <v>0</v>
      </c>
      <c r="BP89" s="197">
        <f t="shared" ref="BP89:BS103" si="236">BP88+BK89</f>
        <v>934.03215686274507</v>
      </c>
      <c r="BQ89" s="197">
        <f t="shared" si="236"/>
        <v>8151.8862745098031</v>
      </c>
      <c r="BR89" s="197">
        <f t="shared" si="236"/>
        <v>-8151.8862745098031</v>
      </c>
      <c r="BS89" s="199">
        <f t="shared" si="236"/>
        <v>-7217.854117647058</v>
      </c>
      <c r="BV89" s="204">
        <v>2</v>
      </c>
      <c r="BW89" s="756">
        <f>'Energy NPV'!$D14</f>
        <v>0</v>
      </c>
      <c r="BX89" s="197">
        <f>'Energy margins'!$E$12</f>
        <v>269.5</v>
      </c>
      <c r="BY89" s="197">
        <f>BW89*BX89</f>
        <v>0</v>
      </c>
      <c r="BZ89" s="197">
        <f>'Margins summary'!$Q$14</f>
        <v>471.64</v>
      </c>
      <c r="CA89" s="197">
        <f t="shared" ref="CA89:CA103" si="237">BY89+BZ89</f>
        <v>471.64</v>
      </c>
      <c r="CB89" s="197"/>
      <c r="CC89" s="913">
        <f>'Energy NPV'!$U14</f>
        <v>687.5680000000001</v>
      </c>
      <c r="CD89" s="197"/>
      <c r="CE89" s="197">
        <f t="shared" ref="CE89:CE103" si="238">CB89+CC89+CD89</f>
        <v>687.5680000000001</v>
      </c>
      <c r="CF89" s="197">
        <f t="shared" si="209"/>
        <v>-687.5680000000001</v>
      </c>
      <c r="CG89" s="197">
        <f t="shared" si="210"/>
        <v>-215.92800000000011</v>
      </c>
      <c r="CH89" s="196">
        <f t="shared" ref="CH89:CH103" si="239">BY89/((1+$E$4)^(BV89-1))</f>
        <v>0</v>
      </c>
      <c r="CI89" s="197">
        <f t="shared" ref="CI89:CI103" si="240">BZ89/((1+$E$4)^(BV89-1))</f>
        <v>436.70370370370364</v>
      </c>
      <c r="CJ89" s="197">
        <f t="shared" ref="CJ89:CJ103" si="241">CE89/((1+$E$4)^(BV89-1))</f>
        <v>636.63703703703709</v>
      </c>
      <c r="CK89" s="197">
        <f t="shared" ref="CK89:CK103" si="242">CF89/((1+$E$4)^(BV89-1))</f>
        <v>-636.63703703703709</v>
      </c>
      <c r="CL89" s="199">
        <f t="shared" ref="CL89:CL103" si="243">CG89/((1+$E$4)^(BV89-1))</f>
        <v>-199.93333333333342</v>
      </c>
      <c r="CM89" s="196">
        <f>CM88+CH89</f>
        <v>0</v>
      </c>
      <c r="CN89" s="197">
        <f t="shared" ref="CN89:CQ103" si="244">CN88+CI89</f>
        <v>908.34370370370357</v>
      </c>
      <c r="CO89" s="197">
        <f t="shared" si="244"/>
        <v>8114.4370370370361</v>
      </c>
      <c r="CP89" s="197">
        <f t="shared" si="244"/>
        <v>-8114.4370370370361</v>
      </c>
      <c r="CQ89" s="199">
        <f t="shared" si="244"/>
        <v>-7206.0933333333323</v>
      </c>
      <c r="CT89" s="204">
        <f>CT88+1</f>
        <v>2</v>
      </c>
      <c r="CU89" s="756">
        <f>'Energy NPV'!$D14</f>
        <v>0</v>
      </c>
      <c r="CV89" s="197">
        <f>'Energy margins'!$E$12</f>
        <v>269.5</v>
      </c>
      <c r="CW89" s="197">
        <f>CU89*CV89</f>
        <v>0</v>
      </c>
      <c r="CX89" s="197">
        <f>'Margins summary'!$Q$14</f>
        <v>471.64</v>
      </c>
      <c r="CY89" s="197">
        <f t="shared" ref="CY89:CY103" si="245">CW89+CX89</f>
        <v>471.64</v>
      </c>
      <c r="CZ89" s="197"/>
      <c r="DA89" s="913">
        <f>'Energy NPV'!$U14</f>
        <v>687.5680000000001</v>
      </c>
      <c r="DB89" s="197"/>
      <c r="DC89" s="197">
        <f t="shared" ref="DC89:DC103" si="246">CZ89+DA89+DB89</f>
        <v>687.5680000000001</v>
      </c>
      <c r="DD89" s="197">
        <f t="shared" si="211"/>
        <v>-687.5680000000001</v>
      </c>
      <c r="DE89" s="197">
        <f t="shared" si="212"/>
        <v>-215.92800000000011</v>
      </c>
      <c r="DF89" s="196">
        <f t="shared" ref="DF89:DF103" si="247">CW89/((1+$F$4)^(CT89-1))</f>
        <v>0</v>
      </c>
      <c r="DG89" s="197">
        <f t="shared" ref="DG89:DG103" si="248">CX89/((1+$F$4)^(CT89-1))</f>
        <v>471.64</v>
      </c>
      <c r="DH89" s="197">
        <f t="shared" ref="DH89:DH103" si="249">DC89/((1+$F$4)^(CT89-1))</f>
        <v>687.5680000000001</v>
      </c>
      <c r="DI89" s="197">
        <f t="shared" ref="DI89:DI103" si="250">DD89/((1+$F$4)^(CT89-1))</f>
        <v>-687.5680000000001</v>
      </c>
      <c r="DJ89" s="199">
        <f t="shared" ref="DJ89:DJ102" si="251">DE89/((1+$F$4)^(CT89-1))</f>
        <v>-215.92800000000011</v>
      </c>
      <c r="DK89" s="196">
        <f>DK88+DF89</f>
        <v>0</v>
      </c>
      <c r="DL89" s="197">
        <f t="shared" ref="DL89:DO103" si="252">DL88+DG89</f>
        <v>943.28</v>
      </c>
      <c r="DM89" s="197">
        <f t="shared" si="252"/>
        <v>8165.3679999999995</v>
      </c>
      <c r="DN89" s="197">
        <f t="shared" si="252"/>
        <v>-8165.3679999999995</v>
      </c>
      <c r="DO89" s="199">
        <f t="shared" si="252"/>
        <v>-7222.0879999999988</v>
      </c>
    </row>
    <row r="90" spans="2:119" x14ac:dyDescent="0.3">
      <c r="B90" s="204">
        <f t="shared" ref="B90:B103" si="253">B89+1</f>
        <v>3</v>
      </c>
      <c r="C90" s="756">
        <f>'Energy NPV'!$D15</f>
        <v>0</v>
      </c>
      <c r="D90" s="197">
        <f>'Energy margins'!$E$12</f>
        <v>269.5</v>
      </c>
      <c r="E90" s="197">
        <f t="shared" ref="E90:E103" si="254">C90*D90</f>
        <v>0</v>
      </c>
      <c r="F90" s="197">
        <f>'Margins summary'!$Q$14</f>
        <v>471.64</v>
      </c>
      <c r="G90" s="197">
        <f t="shared" si="213"/>
        <v>471.64</v>
      </c>
      <c r="H90" s="197"/>
      <c r="I90" s="917">
        <f>'Energy NPV'!$U15</f>
        <v>687.5680000000001</v>
      </c>
      <c r="J90" s="197"/>
      <c r="K90" s="197">
        <f t="shared" si="214"/>
        <v>687.5680000000001</v>
      </c>
      <c r="L90" s="197">
        <f t="shared" si="203"/>
        <v>-687.5680000000001</v>
      </c>
      <c r="M90" s="197">
        <f t="shared" si="204"/>
        <v>-215.92800000000011</v>
      </c>
      <c r="N90" s="196">
        <f t="shared" si="215"/>
        <v>0</v>
      </c>
      <c r="O90" s="197">
        <f t="shared" si="216"/>
        <v>436.05769230769226</v>
      </c>
      <c r="P90" s="197">
        <f t="shared" si="217"/>
        <v>635.69526627218931</v>
      </c>
      <c r="Q90" s="197">
        <f t="shared" si="218"/>
        <v>-635.69526627218931</v>
      </c>
      <c r="R90" s="199">
        <f t="shared" si="219"/>
        <v>-199.63757396449714</v>
      </c>
      <c r="S90" s="196">
        <f t="shared" ref="S90:S103" si="255">S89+N90</f>
        <v>0</v>
      </c>
      <c r="T90" s="197">
        <f t="shared" si="220"/>
        <v>1361.1976923076923</v>
      </c>
      <c r="U90" s="197">
        <f t="shared" si="220"/>
        <v>8774.618343195265</v>
      </c>
      <c r="V90" s="197">
        <f t="shared" si="220"/>
        <v>-8774.618343195265</v>
      </c>
      <c r="W90" s="199">
        <f t="shared" si="220"/>
        <v>-7413.4206508875732</v>
      </c>
      <c r="Z90" s="204">
        <f t="shared" ref="Z90:Z103" si="256">Z89+1</f>
        <v>3</v>
      </c>
      <c r="AA90" s="756">
        <f>'Energy NPV'!$D15</f>
        <v>0</v>
      </c>
      <c r="AB90" s="197">
        <f>'Energy margins'!$E$12</f>
        <v>269.5</v>
      </c>
      <c r="AC90" s="197">
        <f t="shared" ref="AC90:AC103" si="257">AA90*AB90</f>
        <v>0</v>
      </c>
      <c r="AD90" s="197">
        <f>'Margins summary'!$Q$14</f>
        <v>471.64</v>
      </c>
      <c r="AE90" s="197">
        <f t="shared" si="221"/>
        <v>471.64</v>
      </c>
      <c r="AF90" s="197"/>
      <c r="AG90" s="913">
        <f>'Energy NPV'!$U15</f>
        <v>687.5680000000001</v>
      </c>
      <c r="AH90" s="197"/>
      <c r="AI90" s="197">
        <f t="shared" si="222"/>
        <v>687.5680000000001</v>
      </c>
      <c r="AJ90" s="197">
        <f t="shared" si="205"/>
        <v>-687.5680000000001</v>
      </c>
      <c r="AK90" s="197">
        <f t="shared" si="206"/>
        <v>-215.92800000000011</v>
      </c>
      <c r="AL90" s="196">
        <f t="shared" si="223"/>
        <v>0</v>
      </c>
      <c r="AM90" s="197">
        <f t="shared" si="224"/>
        <v>419.75792096831606</v>
      </c>
      <c r="AN90" s="197">
        <f t="shared" si="225"/>
        <v>611.93307226771094</v>
      </c>
      <c r="AO90" s="197">
        <f t="shared" si="226"/>
        <v>-611.93307226771094</v>
      </c>
      <c r="AP90" s="199">
        <f t="shared" si="227"/>
        <v>-192.17515129939488</v>
      </c>
      <c r="AQ90" s="196">
        <f t="shared" ref="AQ90:AQ102" si="258">AQ89+AL90</f>
        <v>0</v>
      </c>
      <c r="AR90" s="197">
        <f t="shared" si="228"/>
        <v>1336.3413171947311</v>
      </c>
      <c r="AS90" s="197">
        <f t="shared" si="228"/>
        <v>8738.3821288714844</v>
      </c>
      <c r="AT90" s="197">
        <f t="shared" si="228"/>
        <v>-8738.3821288714844</v>
      </c>
      <c r="AU90" s="199">
        <f t="shared" si="228"/>
        <v>-7402.040811676753</v>
      </c>
      <c r="AX90" s="204">
        <f t="shared" ref="AX90:AX103" si="259">AX89+1</f>
        <v>3</v>
      </c>
      <c r="AY90" s="756">
        <f>'Energy NPV'!$D15</f>
        <v>0</v>
      </c>
      <c r="AZ90" s="197">
        <f>'Energy margins'!$E$12</f>
        <v>269.5</v>
      </c>
      <c r="BA90" s="197">
        <f t="shared" ref="BA90:BA103" si="260">AY90*AZ90</f>
        <v>0</v>
      </c>
      <c r="BB90" s="197">
        <f>'Margins summary'!$Q$14</f>
        <v>471.64</v>
      </c>
      <c r="BC90" s="197">
        <f t="shared" si="229"/>
        <v>471.64</v>
      </c>
      <c r="BD90" s="197"/>
      <c r="BE90" s="913">
        <f>'Energy NPV'!$U15</f>
        <v>687.5680000000001</v>
      </c>
      <c r="BF90" s="197"/>
      <c r="BG90" s="197">
        <f t="shared" si="230"/>
        <v>687.5680000000001</v>
      </c>
      <c r="BH90" s="197">
        <f t="shared" si="207"/>
        <v>-687.5680000000001</v>
      </c>
      <c r="BI90" s="197">
        <f t="shared" si="208"/>
        <v>-215.92800000000011</v>
      </c>
      <c r="BJ90" s="196">
        <f t="shared" si="231"/>
        <v>0</v>
      </c>
      <c r="BK90" s="197">
        <f t="shared" si="232"/>
        <v>453.32564398308341</v>
      </c>
      <c r="BL90" s="197">
        <f t="shared" si="233"/>
        <v>660.86889657823929</v>
      </c>
      <c r="BM90" s="197">
        <f t="shared" si="234"/>
        <v>-660.86889657823929</v>
      </c>
      <c r="BN90" s="199">
        <f t="shared" si="235"/>
        <v>-207.54325259515582</v>
      </c>
      <c r="BO90" s="196">
        <f t="shared" ref="BO90:BO103" si="261">BO89+BJ90</f>
        <v>0</v>
      </c>
      <c r="BP90" s="197">
        <f t="shared" si="236"/>
        <v>1387.3578008458285</v>
      </c>
      <c r="BQ90" s="197">
        <f t="shared" si="236"/>
        <v>8812.7551710880416</v>
      </c>
      <c r="BR90" s="197">
        <f t="shared" si="236"/>
        <v>-8812.7551710880416</v>
      </c>
      <c r="BS90" s="199">
        <f t="shared" si="236"/>
        <v>-7425.3973702422136</v>
      </c>
      <c r="BV90" s="204">
        <f t="shared" ref="BV90:BV103" si="262">BV89+1</f>
        <v>3</v>
      </c>
      <c r="BW90" s="756">
        <f>'Energy NPV'!$D15</f>
        <v>0</v>
      </c>
      <c r="BX90" s="197">
        <f>'Energy margins'!$E$12</f>
        <v>269.5</v>
      </c>
      <c r="BY90" s="197">
        <f t="shared" ref="BY90:BY103" si="263">BW90*BX90</f>
        <v>0</v>
      </c>
      <c r="BZ90" s="197">
        <f>'Margins summary'!$Q$14</f>
        <v>471.64</v>
      </c>
      <c r="CA90" s="197">
        <f t="shared" si="237"/>
        <v>471.64</v>
      </c>
      <c r="CB90" s="197"/>
      <c r="CC90" s="913">
        <f>'Energy NPV'!$U15</f>
        <v>687.5680000000001</v>
      </c>
      <c r="CD90" s="197"/>
      <c r="CE90" s="197">
        <f t="shared" si="238"/>
        <v>687.5680000000001</v>
      </c>
      <c r="CF90" s="197">
        <f t="shared" si="209"/>
        <v>-687.5680000000001</v>
      </c>
      <c r="CG90" s="197">
        <f t="shared" si="210"/>
        <v>-215.92800000000011</v>
      </c>
      <c r="CH90" s="196">
        <f t="shared" si="239"/>
        <v>0</v>
      </c>
      <c r="CI90" s="197">
        <f t="shared" si="240"/>
        <v>404.35528120713303</v>
      </c>
      <c r="CJ90" s="197">
        <f t="shared" si="241"/>
        <v>589.47873799725653</v>
      </c>
      <c r="CK90" s="197">
        <f t="shared" si="242"/>
        <v>-589.47873799725653</v>
      </c>
      <c r="CL90" s="199">
        <f t="shared" si="243"/>
        <v>-185.12345679012353</v>
      </c>
      <c r="CM90" s="196">
        <f t="shared" ref="CM90:CM103" si="264">CM89+CH90</f>
        <v>0</v>
      </c>
      <c r="CN90" s="197">
        <f t="shared" si="244"/>
        <v>1312.6989849108365</v>
      </c>
      <c r="CO90" s="197">
        <f t="shared" si="244"/>
        <v>8703.9157750342929</v>
      </c>
      <c r="CP90" s="197">
        <f t="shared" si="244"/>
        <v>-8703.9157750342929</v>
      </c>
      <c r="CQ90" s="199">
        <f t="shared" si="244"/>
        <v>-7391.2167901234561</v>
      </c>
      <c r="CT90" s="204">
        <f t="shared" ref="CT90:CT103" si="265">CT89+1</f>
        <v>3</v>
      </c>
      <c r="CU90" s="756">
        <f>'Energy NPV'!$D15</f>
        <v>0</v>
      </c>
      <c r="CV90" s="197">
        <f>'Energy margins'!$E$12</f>
        <v>269.5</v>
      </c>
      <c r="CW90" s="197">
        <f t="shared" ref="CW90:CW103" si="266">CU90*CV90</f>
        <v>0</v>
      </c>
      <c r="CX90" s="197">
        <f>'Margins summary'!$Q$14</f>
        <v>471.64</v>
      </c>
      <c r="CY90" s="197">
        <f t="shared" si="245"/>
        <v>471.64</v>
      </c>
      <c r="CZ90" s="197"/>
      <c r="DA90" s="913">
        <f>'Energy NPV'!$U15</f>
        <v>687.5680000000001</v>
      </c>
      <c r="DB90" s="197"/>
      <c r="DC90" s="197">
        <f t="shared" si="246"/>
        <v>687.5680000000001</v>
      </c>
      <c r="DD90" s="197">
        <f t="shared" si="211"/>
        <v>-687.5680000000001</v>
      </c>
      <c r="DE90" s="197">
        <f t="shared" si="212"/>
        <v>-215.92800000000011</v>
      </c>
      <c r="DF90" s="196">
        <f t="shared" si="247"/>
        <v>0</v>
      </c>
      <c r="DG90" s="197">
        <f t="shared" si="248"/>
        <v>471.64</v>
      </c>
      <c r="DH90" s="197">
        <f t="shared" si="249"/>
        <v>687.5680000000001</v>
      </c>
      <c r="DI90" s="197">
        <f t="shared" si="250"/>
        <v>-687.5680000000001</v>
      </c>
      <c r="DJ90" s="199">
        <f t="shared" si="251"/>
        <v>-215.92800000000011</v>
      </c>
      <c r="DK90" s="196">
        <f t="shared" ref="DK90:DK103" si="267">DK89+DF90</f>
        <v>0</v>
      </c>
      <c r="DL90" s="197">
        <f t="shared" si="252"/>
        <v>1414.92</v>
      </c>
      <c r="DM90" s="197">
        <f t="shared" si="252"/>
        <v>8852.9359999999997</v>
      </c>
      <c r="DN90" s="197">
        <f t="shared" si="252"/>
        <v>-8852.9359999999997</v>
      </c>
      <c r="DO90" s="199">
        <f t="shared" si="252"/>
        <v>-7438.0159999999987</v>
      </c>
    </row>
    <row r="91" spans="2:119" x14ac:dyDescent="0.3">
      <c r="B91" s="204">
        <f t="shared" si="253"/>
        <v>4</v>
      </c>
      <c r="C91" s="756">
        <f>'Energy NPV'!$D16</f>
        <v>25</v>
      </c>
      <c r="D91" s="197">
        <f>'Energy margins'!$E$12</f>
        <v>269.5</v>
      </c>
      <c r="E91" s="197">
        <f t="shared" si="254"/>
        <v>6737.5</v>
      </c>
      <c r="F91" s="197">
        <f>'Margins summary'!$Q$14</f>
        <v>471.64</v>
      </c>
      <c r="G91" s="197">
        <f t="shared" si="213"/>
        <v>7209.14</v>
      </c>
      <c r="H91" s="197"/>
      <c r="I91" s="917">
        <f>'Energy NPV'!$U16</f>
        <v>2318.3679999999999</v>
      </c>
      <c r="J91" s="197"/>
      <c r="K91" s="197">
        <f t="shared" si="214"/>
        <v>2318.3679999999999</v>
      </c>
      <c r="L91" s="197">
        <f t="shared" si="203"/>
        <v>4419.1319999999996</v>
      </c>
      <c r="M91" s="197">
        <f t="shared" si="204"/>
        <v>4890.7720000000008</v>
      </c>
      <c r="N91" s="196">
        <f t="shared" si="215"/>
        <v>5989.6129665452881</v>
      </c>
      <c r="O91" s="197">
        <f t="shared" si="216"/>
        <v>419.28624260355025</v>
      </c>
      <c r="P91" s="197">
        <f t="shared" si="217"/>
        <v>2061.0207100591715</v>
      </c>
      <c r="Q91" s="197">
        <f t="shared" si="218"/>
        <v>3928.5922564861166</v>
      </c>
      <c r="R91" s="199">
        <f t="shared" si="219"/>
        <v>4347.8784990896684</v>
      </c>
      <c r="S91" s="196">
        <f t="shared" si="255"/>
        <v>5989.6129665452881</v>
      </c>
      <c r="T91" s="197">
        <f t="shared" si="220"/>
        <v>1780.4839349112426</v>
      </c>
      <c r="U91" s="197">
        <f t="shared" si="220"/>
        <v>10835.639053254436</v>
      </c>
      <c r="V91" s="197">
        <f t="shared" si="220"/>
        <v>-4846.0260867091483</v>
      </c>
      <c r="W91" s="199">
        <f t="shared" si="220"/>
        <v>-3065.5421517979048</v>
      </c>
      <c r="Z91" s="204">
        <f t="shared" si="256"/>
        <v>4</v>
      </c>
      <c r="AA91" s="756">
        <f>'Energy NPV'!$D16</f>
        <v>25</v>
      </c>
      <c r="AB91" s="197">
        <f>'Energy margins'!$E$12</f>
        <v>269.5</v>
      </c>
      <c r="AC91" s="197">
        <f t="shared" si="257"/>
        <v>6737.5</v>
      </c>
      <c r="AD91" s="197">
        <f>'Margins summary'!$Q$14</f>
        <v>471.64</v>
      </c>
      <c r="AE91" s="197">
        <f t="shared" si="221"/>
        <v>7209.14</v>
      </c>
      <c r="AF91" s="197"/>
      <c r="AG91" s="913">
        <f>'Energy NPV'!$U16</f>
        <v>2318.3679999999999</v>
      </c>
      <c r="AH91" s="197"/>
      <c r="AI91" s="197">
        <f t="shared" si="222"/>
        <v>2318.3679999999999</v>
      </c>
      <c r="AJ91" s="197">
        <f t="shared" si="205"/>
        <v>4419.1319999999996</v>
      </c>
      <c r="AK91" s="197">
        <f t="shared" si="206"/>
        <v>4890.7720000000008</v>
      </c>
      <c r="AL91" s="196">
        <f t="shared" si="223"/>
        <v>5656.9349194301321</v>
      </c>
      <c r="AM91" s="197">
        <f t="shared" si="224"/>
        <v>395.99803864935473</v>
      </c>
      <c r="AN91" s="197">
        <f t="shared" si="225"/>
        <v>1946.546477965031</v>
      </c>
      <c r="AO91" s="197">
        <f t="shared" si="226"/>
        <v>3710.3884414651006</v>
      </c>
      <c r="AP91" s="199">
        <f t="shared" si="227"/>
        <v>4106.3864801144564</v>
      </c>
      <c r="AQ91" s="196">
        <f t="shared" si="258"/>
        <v>5656.9349194301321</v>
      </c>
      <c r="AR91" s="197">
        <f t="shared" si="228"/>
        <v>1732.3393558440857</v>
      </c>
      <c r="AS91" s="197">
        <f t="shared" si="228"/>
        <v>10684.928606836515</v>
      </c>
      <c r="AT91" s="197">
        <f t="shared" si="228"/>
        <v>-5027.9936874063842</v>
      </c>
      <c r="AU91" s="199">
        <f t="shared" si="228"/>
        <v>-3295.6543315622966</v>
      </c>
      <c r="AX91" s="204">
        <f t="shared" si="259"/>
        <v>4</v>
      </c>
      <c r="AY91" s="756">
        <f>'Energy NPV'!$D16</f>
        <v>25</v>
      </c>
      <c r="AZ91" s="197">
        <f>'Energy margins'!$E$12</f>
        <v>269.5</v>
      </c>
      <c r="BA91" s="197">
        <f t="shared" si="260"/>
        <v>6737.5</v>
      </c>
      <c r="BB91" s="197">
        <f>'Margins summary'!$Q$14</f>
        <v>471.64</v>
      </c>
      <c r="BC91" s="197">
        <f t="shared" si="229"/>
        <v>7209.14</v>
      </c>
      <c r="BD91" s="197"/>
      <c r="BE91" s="913">
        <f>'Energy NPV'!$U16</f>
        <v>2318.3679999999999</v>
      </c>
      <c r="BF91" s="197"/>
      <c r="BG91" s="197">
        <f t="shared" si="230"/>
        <v>2318.3679999999999</v>
      </c>
      <c r="BH91" s="197">
        <f t="shared" si="207"/>
        <v>4419.1319999999996</v>
      </c>
      <c r="BI91" s="197">
        <f t="shared" si="208"/>
        <v>4890.7720000000008</v>
      </c>
      <c r="BJ91" s="196">
        <f t="shared" si="231"/>
        <v>6348.896729010713</v>
      </c>
      <c r="BK91" s="197">
        <f t="shared" si="232"/>
        <v>444.4369058657681</v>
      </c>
      <c r="BL91" s="197">
        <f t="shared" si="233"/>
        <v>2184.6499460991627</v>
      </c>
      <c r="BM91" s="197">
        <f t="shared" si="234"/>
        <v>4164.2467829115494</v>
      </c>
      <c r="BN91" s="199">
        <f t="shared" si="235"/>
        <v>4608.6836887773188</v>
      </c>
      <c r="BO91" s="196">
        <f t="shared" si="261"/>
        <v>6348.896729010713</v>
      </c>
      <c r="BP91" s="197">
        <f t="shared" si="236"/>
        <v>1831.7947067115965</v>
      </c>
      <c r="BQ91" s="197">
        <f t="shared" si="236"/>
        <v>10997.405117187205</v>
      </c>
      <c r="BR91" s="197">
        <f t="shared" si="236"/>
        <v>-4648.5083881764922</v>
      </c>
      <c r="BS91" s="199">
        <f t="shared" si="236"/>
        <v>-2816.7136814648948</v>
      </c>
      <c r="BV91" s="204">
        <f t="shared" si="262"/>
        <v>4</v>
      </c>
      <c r="BW91" s="756">
        <f>'Energy NPV'!$D16</f>
        <v>25</v>
      </c>
      <c r="BX91" s="197">
        <f>'Energy margins'!$E$12</f>
        <v>269.5</v>
      </c>
      <c r="BY91" s="197">
        <f t="shared" si="263"/>
        <v>6737.5</v>
      </c>
      <c r="BZ91" s="197">
        <f>'Margins summary'!$Q$14</f>
        <v>471.64</v>
      </c>
      <c r="CA91" s="197">
        <f t="shared" si="237"/>
        <v>7209.14</v>
      </c>
      <c r="CB91" s="197"/>
      <c r="CC91" s="913">
        <f>'Energy NPV'!$U16</f>
        <v>2318.3679999999999</v>
      </c>
      <c r="CD91" s="197"/>
      <c r="CE91" s="197">
        <f t="shared" si="238"/>
        <v>2318.3679999999999</v>
      </c>
      <c r="CF91" s="197">
        <f t="shared" si="209"/>
        <v>4419.1319999999996</v>
      </c>
      <c r="CG91" s="197">
        <f t="shared" si="210"/>
        <v>4890.7720000000008</v>
      </c>
      <c r="CH91" s="196">
        <f t="shared" si="239"/>
        <v>5348.4447238733928</v>
      </c>
      <c r="CI91" s="197">
        <f t="shared" si="240"/>
        <v>374.40303815475278</v>
      </c>
      <c r="CJ91" s="197">
        <f t="shared" si="241"/>
        <v>1840.3952649494486</v>
      </c>
      <c r="CK91" s="197">
        <f t="shared" si="242"/>
        <v>3508.0494589239438</v>
      </c>
      <c r="CL91" s="199">
        <f t="shared" si="243"/>
        <v>3882.4524970786974</v>
      </c>
      <c r="CM91" s="196">
        <f t="shared" si="264"/>
        <v>5348.4447238733928</v>
      </c>
      <c r="CN91" s="197">
        <f t="shared" si="244"/>
        <v>1687.1020230655893</v>
      </c>
      <c r="CO91" s="197">
        <f t="shared" si="244"/>
        <v>10544.311039983742</v>
      </c>
      <c r="CP91" s="197">
        <f t="shared" si="244"/>
        <v>-5195.8663161103486</v>
      </c>
      <c r="CQ91" s="199">
        <f t="shared" si="244"/>
        <v>-3508.7642930447587</v>
      </c>
      <c r="CT91" s="204">
        <f t="shared" si="265"/>
        <v>4</v>
      </c>
      <c r="CU91" s="756">
        <f>'Energy NPV'!$D16</f>
        <v>25</v>
      </c>
      <c r="CV91" s="197">
        <f>'Energy margins'!$E$12</f>
        <v>269.5</v>
      </c>
      <c r="CW91" s="197">
        <f t="shared" si="266"/>
        <v>6737.5</v>
      </c>
      <c r="CX91" s="197">
        <f>'Margins summary'!$Q$14</f>
        <v>471.64</v>
      </c>
      <c r="CY91" s="197">
        <f t="shared" si="245"/>
        <v>7209.14</v>
      </c>
      <c r="CZ91" s="197"/>
      <c r="DA91" s="913">
        <f>'Energy NPV'!$U16</f>
        <v>2318.3679999999999</v>
      </c>
      <c r="DB91" s="197"/>
      <c r="DC91" s="197">
        <f t="shared" si="246"/>
        <v>2318.3679999999999</v>
      </c>
      <c r="DD91" s="197">
        <f t="shared" si="211"/>
        <v>4419.1319999999996</v>
      </c>
      <c r="DE91" s="197">
        <f t="shared" si="212"/>
        <v>4890.7720000000008</v>
      </c>
      <c r="DF91" s="196">
        <f t="shared" si="247"/>
        <v>6737.5</v>
      </c>
      <c r="DG91" s="197">
        <f t="shared" si="248"/>
        <v>471.64</v>
      </c>
      <c r="DH91" s="197">
        <f t="shared" si="249"/>
        <v>2318.3679999999999</v>
      </c>
      <c r="DI91" s="197">
        <f t="shared" si="250"/>
        <v>4419.1319999999996</v>
      </c>
      <c r="DJ91" s="199">
        <f t="shared" si="251"/>
        <v>4890.7720000000008</v>
      </c>
      <c r="DK91" s="196">
        <f t="shared" si="267"/>
        <v>6737.5</v>
      </c>
      <c r="DL91" s="197">
        <f t="shared" si="252"/>
        <v>1886.56</v>
      </c>
      <c r="DM91" s="197">
        <f t="shared" si="252"/>
        <v>11171.304</v>
      </c>
      <c r="DN91" s="197">
        <f t="shared" si="252"/>
        <v>-4433.8040000000001</v>
      </c>
      <c r="DO91" s="199">
        <f t="shared" si="252"/>
        <v>-2547.2439999999979</v>
      </c>
    </row>
    <row r="92" spans="2:119" x14ac:dyDescent="0.3">
      <c r="B92" s="204">
        <f t="shared" si="253"/>
        <v>5</v>
      </c>
      <c r="C92" s="756">
        <f>'Energy NPV'!$D17</f>
        <v>0</v>
      </c>
      <c r="D92" s="197">
        <f>'Energy margins'!$E$12</f>
        <v>269.5</v>
      </c>
      <c r="E92" s="197">
        <f t="shared" si="254"/>
        <v>0</v>
      </c>
      <c r="F92" s="197">
        <f>'Margins summary'!$Q$14</f>
        <v>471.64</v>
      </c>
      <c r="G92" s="197">
        <f t="shared" si="213"/>
        <v>471.64</v>
      </c>
      <c r="H92" s="197"/>
      <c r="I92" s="917">
        <f>'Energy NPV'!$U17</f>
        <v>197.56800000000001</v>
      </c>
      <c r="J92" s="197"/>
      <c r="K92" s="197">
        <f t="shared" si="214"/>
        <v>197.56800000000001</v>
      </c>
      <c r="L92" s="197">
        <f t="shared" si="203"/>
        <v>-197.56800000000001</v>
      </c>
      <c r="M92" s="197">
        <f t="shared" si="204"/>
        <v>274.072</v>
      </c>
      <c r="N92" s="196">
        <f t="shared" si="215"/>
        <v>0</v>
      </c>
      <c r="O92" s="197">
        <f t="shared" si="216"/>
        <v>403.15984865725983</v>
      </c>
      <c r="P92" s="197">
        <f t="shared" si="217"/>
        <v>168.88195441336086</v>
      </c>
      <c r="Q92" s="197">
        <f t="shared" si="218"/>
        <v>-168.88195441336086</v>
      </c>
      <c r="R92" s="199">
        <f t="shared" si="219"/>
        <v>234.27789424389897</v>
      </c>
      <c r="S92" s="196">
        <f t="shared" si="255"/>
        <v>5989.6129665452881</v>
      </c>
      <c r="T92" s="197">
        <f t="shared" si="220"/>
        <v>2183.6437835685024</v>
      </c>
      <c r="U92" s="197">
        <f t="shared" si="220"/>
        <v>11004.521007667796</v>
      </c>
      <c r="V92" s="197">
        <f t="shared" si="220"/>
        <v>-5014.9080411225095</v>
      </c>
      <c r="W92" s="199">
        <f t="shared" si="220"/>
        <v>-2831.2642575540058</v>
      </c>
      <c r="Z92" s="204">
        <f t="shared" si="256"/>
        <v>5</v>
      </c>
      <c r="AA92" s="756">
        <f>'Energy NPV'!$D17</f>
        <v>0</v>
      </c>
      <c r="AB92" s="197">
        <f>'Energy margins'!$E$12</f>
        <v>269.5</v>
      </c>
      <c r="AC92" s="197">
        <f t="shared" si="257"/>
        <v>0</v>
      </c>
      <c r="AD92" s="197">
        <f>'Margins summary'!$Q$14</f>
        <v>471.64</v>
      </c>
      <c r="AE92" s="197">
        <f t="shared" si="221"/>
        <v>471.64</v>
      </c>
      <c r="AF92" s="197"/>
      <c r="AG92" s="913">
        <f>'Energy NPV'!$U17</f>
        <v>197.56800000000001</v>
      </c>
      <c r="AH92" s="197"/>
      <c r="AI92" s="197">
        <f t="shared" si="222"/>
        <v>197.56800000000001</v>
      </c>
      <c r="AJ92" s="197">
        <f t="shared" si="205"/>
        <v>-197.56800000000001</v>
      </c>
      <c r="AK92" s="197">
        <f t="shared" si="206"/>
        <v>274.072</v>
      </c>
      <c r="AL92" s="196">
        <f t="shared" si="223"/>
        <v>0</v>
      </c>
      <c r="AM92" s="197">
        <f t="shared" si="224"/>
        <v>373.58305532957991</v>
      </c>
      <c r="AN92" s="197">
        <f t="shared" si="225"/>
        <v>156.49236085860923</v>
      </c>
      <c r="AO92" s="197">
        <f t="shared" si="226"/>
        <v>-156.49236085860923</v>
      </c>
      <c r="AP92" s="199">
        <f t="shared" si="227"/>
        <v>217.09069447097073</v>
      </c>
      <c r="AQ92" s="196">
        <f t="shared" si="258"/>
        <v>5656.9349194301321</v>
      </c>
      <c r="AR92" s="197">
        <f t="shared" si="228"/>
        <v>2105.9224111736658</v>
      </c>
      <c r="AS92" s="197">
        <f t="shared" si="228"/>
        <v>10841.420967695123</v>
      </c>
      <c r="AT92" s="197">
        <f t="shared" si="228"/>
        <v>-5184.4860482649938</v>
      </c>
      <c r="AU92" s="199">
        <f t="shared" si="228"/>
        <v>-3078.5636370913257</v>
      </c>
      <c r="AX92" s="204">
        <f t="shared" si="259"/>
        <v>5</v>
      </c>
      <c r="AY92" s="756">
        <f>'Energy NPV'!$D17</f>
        <v>0</v>
      </c>
      <c r="AZ92" s="197">
        <f>'Energy margins'!$E$12</f>
        <v>269.5</v>
      </c>
      <c r="BA92" s="197">
        <f t="shared" si="260"/>
        <v>0</v>
      </c>
      <c r="BB92" s="197">
        <f>'Margins summary'!$Q$14</f>
        <v>471.64</v>
      </c>
      <c r="BC92" s="197">
        <f t="shared" si="229"/>
        <v>471.64</v>
      </c>
      <c r="BD92" s="197"/>
      <c r="BE92" s="913">
        <f>'Energy NPV'!$U17</f>
        <v>197.56800000000001</v>
      </c>
      <c r="BF92" s="197"/>
      <c r="BG92" s="197">
        <f t="shared" si="230"/>
        <v>197.56800000000001</v>
      </c>
      <c r="BH92" s="197">
        <f t="shared" si="207"/>
        <v>-197.56800000000001</v>
      </c>
      <c r="BI92" s="197">
        <f t="shared" si="208"/>
        <v>274.072</v>
      </c>
      <c r="BJ92" s="196">
        <f t="shared" si="231"/>
        <v>0</v>
      </c>
      <c r="BK92" s="197">
        <f t="shared" si="232"/>
        <v>435.72245673114514</v>
      </c>
      <c r="BL92" s="197">
        <f t="shared" si="233"/>
        <v>182.52229312920639</v>
      </c>
      <c r="BM92" s="197">
        <f t="shared" si="234"/>
        <v>-182.52229312920639</v>
      </c>
      <c r="BN92" s="199">
        <f t="shared" si="235"/>
        <v>253.20016360193881</v>
      </c>
      <c r="BO92" s="196">
        <f t="shared" si="261"/>
        <v>6348.896729010713</v>
      </c>
      <c r="BP92" s="197">
        <f t="shared" si="236"/>
        <v>2267.5171634427415</v>
      </c>
      <c r="BQ92" s="197">
        <f t="shared" si="236"/>
        <v>11179.927410316412</v>
      </c>
      <c r="BR92" s="197">
        <f t="shared" si="236"/>
        <v>-4831.0306813056986</v>
      </c>
      <c r="BS92" s="199">
        <f t="shared" si="236"/>
        <v>-2563.5135178629562</v>
      </c>
      <c r="BV92" s="204">
        <f t="shared" si="262"/>
        <v>5</v>
      </c>
      <c r="BW92" s="756">
        <f>'Energy NPV'!$D17</f>
        <v>0</v>
      </c>
      <c r="BX92" s="197">
        <f>'Energy margins'!$E$12</f>
        <v>269.5</v>
      </c>
      <c r="BY92" s="197">
        <f t="shared" si="263"/>
        <v>0</v>
      </c>
      <c r="BZ92" s="197">
        <f>'Margins summary'!$Q$14</f>
        <v>471.64</v>
      </c>
      <c r="CA92" s="197">
        <f t="shared" si="237"/>
        <v>471.64</v>
      </c>
      <c r="CB92" s="197"/>
      <c r="CC92" s="913">
        <f>'Energy NPV'!$U17</f>
        <v>197.56800000000001</v>
      </c>
      <c r="CD92" s="197"/>
      <c r="CE92" s="197">
        <f t="shared" si="238"/>
        <v>197.56800000000001</v>
      </c>
      <c r="CF92" s="197">
        <f t="shared" si="209"/>
        <v>-197.56800000000001</v>
      </c>
      <c r="CG92" s="197">
        <f t="shared" si="210"/>
        <v>274.072</v>
      </c>
      <c r="CH92" s="196">
        <f t="shared" si="239"/>
        <v>0</v>
      </c>
      <c r="CI92" s="197">
        <f t="shared" si="240"/>
        <v>346.6694797729192</v>
      </c>
      <c r="CJ92" s="197">
        <f t="shared" si="241"/>
        <v>145.21837795728968</v>
      </c>
      <c r="CK92" s="197">
        <f t="shared" si="242"/>
        <v>-145.21837795728968</v>
      </c>
      <c r="CL92" s="199">
        <f t="shared" si="243"/>
        <v>201.45110181562953</v>
      </c>
      <c r="CM92" s="196">
        <f t="shared" si="264"/>
        <v>5348.4447238733928</v>
      </c>
      <c r="CN92" s="197">
        <f t="shared" si="244"/>
        <v>2033.7715028385085</v>
      </c>
      <c r="CO92" s="197">
        <f t="shared" si="244"/>
        <v>10689.529417941032</v>
      </c>
      <c r="CP92" s="197">
        <f t="shared" si="244"/>
        <v>-5341.0846940676383</v>
      </c>
      <c r="CQ92" s="199">
        <f t="shared" si="244"/>
        <v>-3307.3131912291292</v>
      </c>
      <c r="CT92" s="204">
        <f t="shared" si="265"/>
        <v>5</v>
      </c>
      <c r="CU92" s="756">
        <f>'Energy NPV'!$D17</f>
        <v>0</v>
      </c>
      <c r="CV92" s="197">
        <f>'Energy margins'!$E$12</f>
        <v>269.5</v>
      </c>
      <c r="CW92" s="197">
        <f t="shared" si="266"/>
        <v>0</v>
      </c>
      <c r="CX92" s="197">
        <f>'Margins summary'!$Q$14</f>
        <v>471.64</v>
      </c>
      <c r="CY92" s="197">
        <f t="shared" si="245"/>
        <v>471.64</v>
      </c>
      <c r="CZ92" s="197"/>
      <c r="DA92" s="913">
        <f>'Energy NPV'!$U17</f>
        <v>197.56800000000001</v>
      </c>
      <c r="DB92" s="197"/>
      <c r="DC92" s="197">
        <f t="shared" si="246"/>
        <v>197.56800000000001</v>
      </c>
      <c r="DD92" s="197">
        <f t="shared" si="211"/>
        <v>-197.56800000000001</v>
      </c>
      <c r="DE92" s="197">
        <f t="shared" si="212"/>
        <v>274.072</v>
      </c>
      <c r="DF92" s="196">
        <f t="shared" si="247"/>
        <v>0</v>
      </c>
      <c r="DG92" s="197">
        <f t="shared" si="248"/>
        <v>471.64</v>
      </c>
      <c r="DH92" s="197">
        <f t="shared" si="249"/>
        <v>197.56800000000001</v>
      </c>
      <c r="DI92" s="197">
        <f t="shared" si="250"/>
        <v>-197.56800000000001</v>
      </c>
      <c r="DJ92" s="199">
        <f t="shared" si="251"/>
        <v>274.072</v>
      </c>
      <c r="DK92" s="196">
        <f t="shared" si="267"/>
        <v>6737.5</v>
      </c>
      <c r="DL92" s="197">
        <f t="shared" si="252"/>
        <v>2358.1999999999998</v>
      </c>
      <c r="DM92" s="197">
        <f t="shared" si="252"/>
        <v>11368.871999999999</v>
      </c>
      <c r="DN92" s="197">
        <f t="shared" si="252"/>
        <v>-4631.3720000000003</v>
      </c>
      <c r="DO92" s="199">
        <f t="shared" si="252"/>
        <v>-2273.1719999999978</v>
      </c>
    </row>
    <row r="93" spans="2:119" x14ac:dyDescent="0.3">
      <c r="B93" s="204">
        <f t="shared" si="253"/>
        <v>6</v>
      </c>
      <c r="C93" s="756">
        <f>'Energy NPV'!$D18</f>
        <v>0</v>
      </c>
      <c r="D93" s="197">
        <f>'Energy margins'!$E$12</f>
        <v>269.5</v>
      </c>
      <c r="E93" s="197">
        <f t="shared" si="254"/>
        <v>0</v>
      </c>
      <c r="F93" s="197">
        <f>'Margins summary'!$Q$14</f>
        <v>471.64</v>
      </c>
      <c r="G93" s="197">
        <f t="shared" si="213"/>
        <v>471.64</v>
      </c>
      <c r="H93" s="197"/>
      <c r="I93" s="917">
        <f>'Energy NPV'!$U18</f>
        <v>197.56800000000001</v>
      </c>
      <c r="J93" s="197"/>
      <c r="K93" s="197">
        <f t="shared" si="214"/>
        <v>197.56800000000001</v>
      </c>
      <c r="L93" s="197">
        <f t="shared" si="203"/>
        <v>-197.56800000000001</v>
      </c>
      <c r="M93" s="197">
        <f t="shared" si="204"/>
        <v>274.072</v>
      </c>
      <c r="N93" s="196">
        <f t="shared" si="215"/>
        <v>0</v>
      </c>
      <c r="O93" s="197">
        <f t="shared" si="216"/>
        <v>387.65370063198054</v>
      </c>
      <c r="P93" s="197">
        <f t="shared" si="217"/>
        <v>162.38649462823159</v>
      </c>
      <c r="Q93" s="197">
        <f t="shared" si="218"/>
        <v>-162.38649462823159</v>
      </c>
      <c r="R93" s="199">
        <f t="shared" si="219"/>
        <v>225.26720600374901</v>
      </c>
      <c r="S93" s="196">
        <f t="shared" si="255"/>
        <v>5989.6129665452881</v>
      </c>
      <c r="T93" s="197">
        <f t="shared" si="220"/>
        <v>2571.2974842004828</v>
      </c>
      <c r="U93" s="197">
        <f t="shared" si="220"/>
        <v>11166.907502296028</v>
      </c>
      <c r="V93" s="197">
        <f t="shared" si="220"/>
        <v>-5177.2945357507415</v>
      </c>
      <c r="W93" s="199">
        <f t="shared" si="220"/>
        <v>-2605.9970515502569</v>
      </c>
      <c r="Z93" s="204">
        <f t="shared" si="256"/>
        <v>6</v>
      </c>
      <c r="AA93" s="756">
        <f>'Energy NPV'!$D18</f>
        <v>0</v>
      </c>
      <c r="AB93" s="197">
        <f>'Energy margins'!$E$12</f>
        <v>269.5</v>
      </c>
      <c r="AC93" s="197">
        <f t="shared" si="257"/>
        <v>0</v>
      </c>
      <c r="AD93" s="197">
        <f>'Margins summary'!$Q$14</f>
        <v>471.64</v>
      </c>
      <c r="AE93" s="197">
        <f t="shared" si="221"/>
        <v>471.64</v>
      </c>
      <c r="AF93" s="197"/>
      <c r="AG93" s="913">
        <f>'Energy NPV'!$U18</f>
        <v>197.56800000000001</v>
      </c>
      <c r="AH93" s="197"/>
      <c r="AI93" s="197">
        <f t="shared" si="222"/>
        <v>197.56800000000001</v>
      </c>
      <c r="AJ93" s="197">
        <f t="shared" si="205"/>
        <v>-197.56800000000001</v>
      </c>
      <c r="AK93" s="197">
        <f t="shared" si="206"/>
        <v>274.072</v>
      </c>
      <c r="AL93" s="196">
        <f t="shared" si="223"/>
        <v>0</v>
      </c>
      <c r="AM93" s="197">
        <f t="shared" si="224"/>
        <v>352.43684465054707</v>
      </c>
      <c r="AN93" s="197">
        <f t="shared" si="225"/>
        <v>147.63430269680114</v>
      </c>
      <c r="AO93" s="197">
        <f t="shared" si="226"/>
        <v>-147.63430269680114</v>
      </c>
      <c r="AP93" s="199">
        <f t="shared" si="227"/>
        <v>204.80254195374596</v>
      </c>
      <c r="AQ93" s="196">
        <f t="shared" si="258"/>
        <v>5656.9349194301321</v>
      </c>
      <c r="AR93" s="197">
        <f t="shared" si="228"/>
        <v>2458.3592558242126</v>
      </c>
      <c r="AS93" s="197">
        <f t="shared" si="228"/>
        <v>10989.055270391924</v>
      </c>
      <c r="AT93" s="197">
        <f t="shared" si="228"/>
        <v>-5332.1203509617953</v>
      </c>
      <c r="AU93" s="199">
        <f t="shared" si="228"/>
        <v>-2873.76109513758</v>
      </c>
      <c r="AX93" s="204">
        <f t="shared" si="259"/>
        <v>6</v>
      </c>
      <c r="AY93" s="756">
        <f>'Energy NPV'!$D18</f>
        <v>0</v>
      </c>
      <c r="AZ93" s="197">
        <f>'Energy margins'!$E$12</f>
        <v>269.5</v>
      </c>
      <c r="BA93" s="197">
        <f t="shared" si="260"/>
        <v>0</v>
      </c>
      <c r="BB93" s="197">
        <f>'Margins summary'!$Q$14</f>
        <v>471.64</v>
      </c>
      <c r="BC93" s="197">
        <f t="shared" si="229"/>
        <v>471.64</v>
      </c>
      <c r="BD93" s="197"/>
      <c r="BE93" s="913">
        <f>'Energy NPV'!$U18</f>
        <v>197.56800000000001</v>
      </c>
      <c r="BF93" s="197"/>
      <c r="BG93" s="197">
        <f t="shared" si="230"/>
        <v>197.56800000000001</v>
      </c>
      <c r="BH93" s="197">
        <f t="shared" si="207"/>
        <v>-197.56800000000001</v>
      </c>
      <c r="BI93" s="197">
        <f t="shared" si="208"/>
        <v>274.072</v>
      </c>
      <c r="BJ93" s="196">
        <f t="shared" si="231"/>
        <v>0</v>
      </c>
      <c r="BK93" s="197">
        <f t="shared" si="232"/>
        <v>427.17887914818152</v>
      </c>
      <c r="BL93" s="197">
        <f t="shared" si="233"/>
        <v>178.94342463647683</v>
      </c>
      <c r="BM93" s="197">
        <f t="shared" si="234"/>
        <v>-178.94342463647683</v>
      </c>
      <c r="BN93" s="199">
        <f t="shared" si="235"/>
        <v>248.23545451170472</v>
      </c>
      <c r="BO93" s="196">
        <f t="shared" si="261"/>
        <v>6348.896729010713</v>
      </c>
      <c r="BP93" s="197">
        <f t="shared" si="236"/>
        <v>2694.6960425909228</v>
      </c>
      <c r="BQ93" s="197">
        <f t="shared" si="236"/>
        <v>11358.870834952888</v>
      </c>
      <c r="BR93" s="197">
        <f t="shared" si="236"/>
        <v>-5009.9741059421758</v>
      </c>
      <c r="BS93" s="199">
        <f t="shared" si="236"/>
        <v>-2315.2780633512516</v>
      </c>
      <c r="BV93" s="204">
        <f t="shared" si="262"/>
        <v>6</v>
      </c>
      <c r="BW93" s="756">
        <f>'Energy NPV'!$D18</f>
        <v>0</v>
      </c>
      <c r="BX93" s="197">
        <f>'Energy margins'!$E$12</f>
        <v>269.5</v>
      </c>
      <c r="BY93" s="197">
        <f t="shared" si="263"/>
        <v>0</v>
      </c>
      <c r="BZ93" s="197">
        <f>'Margins summary'!$Q$14</f>
        <v>471.64</v>
      </c>
      <c r="CA93" s="197">
        <f t="shared" si="237"/>
        <v>471.64</v>
      </c>
      <c r="CB93" s="197"/>
      <c r="CC93" s="913">
        <f>'Energy NPV'!$U18</f>
        <v>197.56800000000001</v>
      </c>
      <c r="CD93" s="197"/>
      <c r="CE93" s="197">
        <f t="shared" si="238"/>
        <v>197.56800000000001</v>
      </c>
      <c r="CF93" s="197">
        <f t="shared" si="209"/>
        <v>-197.56800000000001</v>
      </c>
      <c r="CG93" s="197">
        <f t="shared" si="210"/>
        <v>274.072</v>
      </c>
      <c r="CH93" s="196">
        <f t="shared" si="239"/>
        <v>0</v>
      </c>
      <c r="CI93" s="197">
        <f t="shared" si="240"/>
        <v>320.99025904899923</v>
      </c>
      <c r="CJ93" s="197">
        <f t="shared" si="241"/>
        <v>134.46146107156451</v>
      </c>
      <c r="CK93" s="197">
        <f t="shared" si="242"/>
        <v>-134.46146107156451</v>
      </c>
      <c r="CL93" s="199">
        <f t="shared" si="243"/>
        <v>186.52879797743475</v>
      </c>
      <c r="CM93" s="196">
        <f t="shared" si="264"/>
        <v>5348.4447238733928</v>
      </c>
      <c r="CN93" s="197">
        <f t="shared" si="244"/>
        <v>2354.7617618875079</v>
      </c>
      <c r="CO93" s="197">
        <f t="shared" si="244"/>
        <v>10823.990879012597</v>
      </c>
      <c r="CP93" s="197">
        <f t="shared" si="244"/>
        <v>-5475.5461551392027</v>
      </c>
      <c r="CQ93" s="199">
        <f t="shared" si="244"/>
        <v>-3120.7843932516944</v>
      </c>
      <c r="CT93" s="204">
        <f t="shared" si="265"/>
        <v>6</v>
      </c>
      <c r="CU93" s="756">
        <f>'Energy NPV'!$D18</f>
        <v>0</v>
      </c>
      <c r="CV93" s="197">
        <f>'Energy margins'!$E$12</f>
        <v>269.5</v>
      </c>
      <c r="CW93" s="197">
        <f t="shared" si="266"/>
        <v>0</v>
      </c>
      <c r="CX93" s="197">
        <f>'Margins summary'!$Q$14</f>
        <v>471.64</v>
      </c>
      <c r="CY93" s="197">
        <f t="shared" si="245"/>
        <v>471.64</v>
      </c>
      <c r="CZ93" s="197"/>
      <c r="DA93" s="913">
        <f>'Energy NPV'!$U18</f>
        <v>197.56800000000001</v>
      </c>
      <c r="DB93" s="197"/>
      <c r="DC93" s="197">
        <f t="shared" si="246"/>
        <v>197.56800000000001</v>
      </c>
      <c r="DD93" s="197">
        <f t="shared" si="211"/>
        <v>-197.56800000000001</v>
      </c>
      <c r="DE93" s="197">
        <f t="shared" si="212"/>
        <v>274.072</v>
      </c>
      <c r="DF93" s="196">
        <f t="shared" si="247"/>
        <v>0</v>
      </c>
      <c r="DG93" s="197">
        <f t="shared" si="248"/>
        <v>471.64</v>
      </c>
      <c r="DH93" s="197">
        <f t="shared" si="249"/>
        <v>197.56800000000001</v>
      </c>
      <c r="DI93" s="197">
        <f t="shared" si="250"/>
        <v>-197.56800000000001</v>
      </c>
      <c r="DJ93" s="199">
        <f t="shared" si="251"/>
        <v>274.072</v>
      </c>
      <c r="DK93" s="196">
        <f t="shared" si="267"/>
        <v>6737.5</v>
      </c>
      <c r="DL93" s="197">
        <f t="shared" si="252"/>
        <v>2829.8399999999997</v>
      </c>
      <c r="DM93" s="197">
        <f t="shared" si="252"/>
        <v>11566.439999999999</v>
      </c>
      <c r="DN93" s="197">
        <f t="shared" si="252"/>
        <v>-4828.9400000000005</v>
      </c>
      <c r="DO93" s="199">
        <f t="shared" si="252"/>
        <v>-1999.0999999999976</v>
      </c>
    </row>
    <row r="94" spans="2:119" x14ac:dyDescent="0.3">
      <c r="B94" s="204">
        <f t="shared" si="253"/>
        <v>7</v>
      </c>
      <c r="C94" s="756">
        <f>'Energy NPV'!$D19</f>
        <v>25</v>
      </c>
      <c r="D94" s="197">
        <f>'Energy margins'!$E$12</f>
        <v>269.5</v>
      </c>
      <c r="E94" s="197">
        <f t="shared" si="254"/>
        <v>6737.5</v>
      </c>
      <c r="F94" s="197">
        <f>'Margins summary'!$Q$14</f>
        <v>471.64</v>
      </c>
      <c r="G94" s="197">
        <f t="shared" si="213"/>
        <v>7209.14</v>
      </c>
      <c r="H94" s="197"/>
      <c r="I94" s="917">
        <f>'Energy NPV'!$U19</f>
        <v>2318.3679999999999</v>
      </c>
      <c r="J94" s="197"/>
      <c r="K94" s="197">
        <f t="shared" si="214"/>
        <v>2318.3679999999999</v>
      </c>
      <c r="L94" s="197">
        <f t="shared" si="203"/>
        <v>4419.1319999999996</v>
      </c>
      <c r="M94" s="197">
        <f t="shared" si="204"/>
        <v>4890.7720000000008</v>
      </c>
      <c r="N94" s="196">
        <f t="shared" si="215"/>
        <v>5324.7441171068567</v>
      </c>
      <c r="O94" s="197">
        <f t="shared" si="216"/>
        <v>372.74394291536589</v>
      </c>
      <c r="P94" s="197">
        <f t="shared" si="217"/>
        <v>1832.2399063879463</v>
      </c>
      <c r="Q94" s="197">
        <f t="shared" si="218"/>
        <v>3492.5042107189101</v>
      </c>
      <c r="R94" s="199">
        <f t="shared" si="219"/>
        <v>3865.2481536342771</v>
      </c>
      <c r="S94" s="196">
        <f t="shared" si="255"/>
        <v>11314.357083652145</v>
      </c>
      <c r="T94" s="197">
        <f t="shared" si="220"/>
        <v>2944.0414271158488</v>
      </c>
      <c r="U94" s="197">
        <f t="shared" si="220"/>
        <v>12999.147408683973</v>
      </c>
      <c r="V94" s="197">
        <f t="shared" si="220"/>
        <v>-1684.7903250318313</v>
      </c>
      <c r="W94" s="199">
        <f t="shared" si="220"/>
        <v>1259.2511020840202</v>
      </c>
      <c r="Z94" s="204">
        <f t="shared" si="256"/>
        <v>7</v>
      </c>
      <c r="AA94" s="756">
        <f>'Energy NPV'!$D19</f>
        <v>25</v>
      </c>
      <c r="AB94" s="197">
        <f>'Energy margins'!$E$12</f>
        <v>269.5</v>
      </c>
      <c r="AC94" s="197">
        <f t="shared" si="257"/>
        <v>6737.5</v>
      </c>
      <c r="AD94" s="197">
        <f>'Margins summary'!$Q$14</f>
        <v>471.64</v>
      </c>
      <c r="AE94" s="197">
        <f t="shared" si="221"/>
        <v>7209.14</v>
      </c>
      <c r="AF94" s="197"/>
      <c r="AG94" s="913">
        <f>'Energy NPV'!$U19</f>
        <v>2318.3679999999999</v>
      </c>
      <c r="AH94" s="197"/>
      <c r="AI94" s="197">
        <f t="shared" si="222"/>
        <v>2318.3679999999999</v>
      </c>
      <c r="AJ94" s="197">
        <f t="shared" si="205"/>
        <v>4419.1319999999996</v>
      </c>
      <c r="AK94" s="197">
        <f t="shared" si="206"/>
        <v>4890.7720000000008</v>
      </c>
      <c r="AL94" s="196">
        <f t="shared" si="223"/>
        <v>4749.6716412123187</v>
      </c>
      <c r="AM94" s="197">
        <f t="shared" si="224"/>
        <v>332.48758929296889</v>
      </c>
      <c r="AN94" s="197">
        <f t="shared" si="225"/>
        <v>1634.3579582180514</v>
      </c>
      <c r="AO94" s="197">
        <f t="shared" si="226"/>
        <v>3115.3136829942673</v>
      </c>
      <c r="AP94" s="199">
        <f t="shared" si="227"/>
        <v>3447.8012722872372</v>
      </c>
      <c r="AQ94" s="196">
        <f t="shared" si="258"/>
        <v>10406.606560642451</v>
      </c>
      <c r="AR94" s="197">
        <f t="shared" si="228"/>
        <v>2790.8468451171816</v>
      </c>
      <c r="AS94" s="197">
        <f t="shared" si="228"/>
        <v>12623.413228609976</v>
      </c>
      <c r="AT94" s="197">
        <f t="shared" si="228"/>
        <v>-2216.806667967528</v>
      </c>
      <c r="AU94" s="199">
        <f t="shared" si="228"/>
        <v>574.04017714965721</v>
      </c>
      <c r="AX94" s="204">
        <f t="shared" si="259"/>
        <v>7</v>
      </c>
      <c r="AY94" s="756">
        <f>'Energy NPV'!$D19</f>
        <v>25</v>
      </c>
      <c r="AZ94" s="197">
        <f>'Energy margins'!$E$12</f>
        <v>269.5</v>
      </c>
      <c r="BA94" s="197">
        <f t="shared" si="260"/>
        <v>6737.5</v>
      </c>
      <c r="BB94" s="197">
        <f>'Margins summary'!$Q$14</f>
        <v>471.64</v>
      </c>
      <c r="BC94" s="197">
        <f t="shared" si="229"/>
        <v>7209.14</v>
      </c>
      <c r="BD94" s="197"/>
      <c r="BE94" s="913">
        <f>'Energy NPV'!$U19</f>
        <v>2318.3679999999999</v>
      </c>
      <c r="BF94" s="197"/>
      <c r="BG94" s="197">
        <f t="shared" si="230"/>
        <v>2318.3679999999999</v>
      </c>
      <c r="BH94" s="197">
        <f t="shared" si="207"/>
        <v>4419.1319999999996</v>
      </c>
      <c r="BI94" s="197">
        <f t="shared" si="208"/>
        <v>4890.7720000000008</v>
      </c>
      <c r="BJ94" s="196">
        <f t="shared" si="231"/>
        <v>5982.7071874794683</v>
      </c>
      <c r="BK94" s="197">
        <f t="shared" si="232"/>
        <v>418.80282269429557</v>
      </c>
      <c r="BL94" s="197">
        <f t="shared" si="233"/>
        <v>2058.6444373762374</v>
      </c>
      <c r="BM94" s="197">
        <f t="shared" si="234"/>
        <v>3924.0627501032309</v>
      </c>
      <c r="BN94" s="199">
        <f t="shared" si="235"/>
        <v>4342.8655727975274</v>
      </c>
      <c r="BO94" s="196">
        <f t="shared" si="261"/>
        <v>12331.603916490181</v>
      </c>
      <c r="BP94" s="197">
        <f t="shared" si="236"/>
        <v>3113.4988652852185</v>
      </c>
      <c r="BQ94" s="197">
        <f t="shared" si="236"/>
        <v>13417.515272329125</v>
      </c>
      <c r="BR94" s="197">
        <f t="shared" si="236"/>
        <v>-1085.9113558389449</v>
      </c>
      <c r="BS94" s="199">
        <f t="shared" si="236"/>
        <v>2027.5875094462758</v>
      </c>
      <c r="BV94" s="204">
        <f t="shared" si="262"/>
        <v>7</v>
      </c>
      <c r="BW94" s="756">
        <f>'Energy NPV'!$D19</f>
        <v>25</v>
      </c>
      <c r="BX94" s="197">
        <f>'Energy margins'!$E$12</f>
        <v>269.5</v>
      </c>
      <c r="BY94" s="197">
        <f t="shared" si="263"/>
        <v>6737.5</v>
      </c>
      <c r="BZ94" s="197">
        <f>'Margins summary'!$Q$14</f>
        <v>471.64</v>
      </c>
      <c r="CA94" s="197">
        <f t="shared" si="237"/>
        <v>7209.14</v>
      </c>
      <c r="CB94" s="197"/>
      <c r="CC94" s="913">
        <f>'Energy NPV'!$U19</f>
        <v>2318.3679999999999</v>
      </c>
      <c r="CD94" s="197"/>
      <c r="CE94" s="197">
        <f t="shared" si="238"/>
        <v>2318.3679999999999</v>
      </c>
      <c r="CF94" s="197">
        <f t="shared" si="209"/>
        <v>4419.1319999999996</v>
      </c>
      <c r="CG94" s="197">
        <f t="shared" si="210"/>
        <v>4890.7720000000008</v>
      </c>
      <c r="CH94" s="196">
        <f t="shared" si="239"/>
        <v>4245.7678611249166</v>
      </c>
      <c r="CI94" s="197">
        <f t="shared" si="240"/>
        <v>297.21320282314741</v>
      </c>
      <c r="CJ94" s="197">
        <f t="shared" si="241"/>
        <v>1460.9650975377292</v>
      </c>
      <c r="CK94" s="197">
        <f t="shared" si="242"/>
        <v>2784.8027635871872</v>
      </c>
      <c r="CL94" s="199">
        <f t="shared" si="243"/>
        <v>3082.0159664103357</v>
      </c>
      <c r="CM94" s="196">
        <f t="shared" si="264"/>
        <v>9594.2125849983095</v>
      </c>
      <c r="CN94" s="197">
        <f t="shared" si="244"/>
        <v>2651.9749647106555</v>
      </c>
      <c r="CO94" s="197">
        <f t="shared" si="244"/>
        <v>12284.955976550327</v>
      </c>
      <c r="CP94" s="197">
        <f t="shared" si="244"/>
        <v>-2690.7433915520155</v>
      </c>
      <c r="CQ94" s="199">
        <f t="shared" si="244"/>
        <v>-38.768426841358632</v>
      </c>
      <c r="CT94" s="204">
        <f t="shared" si="265"/>
        <v>7</v>
      </c>
      <c r="CU94" s="756">
        <f>'Energy NPV'!$D19</f>
        <v>25</v>
      </c>
      <c r="CV94" s="197">
        <f>'Energy margins'!$E$12</f>
        <v>269.5</v>
      </c>
      <c r="CW94" s="197">
        <f t="shared" si="266"/>
        <v>6737.5</v>
      </c>
      <c r="CX94" s="197">
        <f>'Margins summary'!$Q$14</f>
        <v>471.64</v>
      </c>
      <c r="CY94" s="197">
        <f t="shared" si="245"/>
        <v>7209.14</v>
      </c>
      <c r="CZ94" s="197"/>
      <c r="DA94" s="913">
        <f>'Energy NPV'!$U19</f>
        <v>2318.3679999999999</v>
      </c>
      <c r="DB94" s="197"/>
      <c r="DC94" s="197">
        <f t="shared" si="246"/>
        <v>2318.3679999999999</v>
      </c>
      <c r="DD94" s="197">
        <f t="shared" si="211"/>
        <v>4419.1319999999996</v>
      </c>
      <c r="DE94" s="197">
        <f t="shared" si="212"/>
        <v>4890.7720000000008</v>
      </c>
      <c r="DF94" s="196">
        <f t="shared" si="247"/>
        <v>6737.5</v>
      </c>
      <c r="DG94" s="197">
        <f t="shared" si="248"/>
        <v>471.64</v>
      </c>
      <c r="DH94" s="197">
        <f t="shared" si="249"/>
        <v>2318.3679999999999</v>
      </c>
      <c r="DI94" s="197">
        <f t="shared" si="250"/>
        <v>4419.1319999999996</v>
      </c>
      <c r="DJ94" s="199">
        <f t="shared" si="251"/>
        <v>4890.7720000000008</v>
      </c>
      <c r="DK94" s="196">
        <f t="shared" si="267"/>
        <v>13475</v>
      </c>
      <c r="DL94" s="197">
        <f t="shared" si="252"/>
        <v>3301.4799999999996</v>
      </c>
      <c r="DM94" s="197">
        <f t="shared" si="252"/>
        <v>13884.807999999999</v>
      </c>
      <c r="DN94" s="197">
        <f t="shared" si="252"/>
        <v>-409.8080000000009</v>
      </c>
      <c r="DO94" s="199">
        <f t="shared" si="252"/>
        <v>2891.6720000000032</v>
      </c>
    </row>
    <row r="95" spans="2:119" x14ac:dyDescent="0.3">
      <c r="B95" s="204">
        <f t="shared" si="253"/>
        <v>8</v>
      </c>
      <c r="C95" s="756">
        <f>'Energy NPV'!$D20</f>
        <v>0</v>
      </c>
      <c r="D95" s="197">
        <f>'Energy margins'!$E$12</f>
        <v>269.5</v>
      </c>
      <c r="E95" s="197">
        <f t="shared" si="254"/>
        <v>0</v>
      </c>
      <c r="F95" s="197">
        <f>'Margins summary'!$Q$14</f>
        <v>471.64</v>
      </c>
      <c r="G95" s="197">
        <f t="shared" si="213"/>
        <v>471.64</v>
      </c>
      <c r="H95" s="197"/>
      <c r="I95" s="917">
        <f>'Energy NPV'!$U20</f>
        <v>197.56800000000001</v>
      </c>
      <c r="J95" s="197"/>
      <c r="K95" s="197">
        <f t="shared" si="214"/>
        <v>197.56800000000001</v>
      </c>
      <c r="L95" s="197">
        <f t="shared" si="203"/>
        <v>-197.56800000000001</v>
      </c>
      <c r="M95" s="197">
        <f t="shared" si="204"/>
        <v>274.072</v>
      </c>
      <c r="N95" s="196">
        <f t="shared" si="215"/>
        <v>0</v>
      </c>
      <c r="O95" s="197">
        <f t="shared" si="216"/>
        <v>358.40763741862111</v>
      </c>
      <c r="P95" s="197">
        <f t="shared" si="217"/>
        <v>150.13544251870525</v>
      </c>
      <c r="Q95" s="197">
        <f t="shared" si="218"/>
        <v>-150.13544251870525</v>
      </c>
      <c r="R95" s="199">
        <f t="shared" si="219"/>
        <v>208.27219489991589</v>
      </c>
      <c r="S95" s="196">
        <f t="shared" si="255"/>
        <v>11314.357083652145</v>
      </c>
      <c r="T95" s="197">
        <f t="shared" si="220"/>
        <v>3302.4490645344699</v>
      </c>
      <c r="U95" s="197">
        <f t="shared" si="220"/>
        <v>13149.282851202679</v>
      </c>
      <c r="V95" s="197">
        <f t="shared" si="220"/>
        <v>-1834.9257675505366</v>
      </c>
      <c r="W95" s="199">
        <f t="shared" si="220"/>
        <v>1467.523296983936</v>
      </c>
      <c r="Z95" s="204">
        <f t="shared" si="256"/>
        <v>8</v>
      </c>
      <c r="AA95" s="756">
        <f>'Energy NPV'!$D20</f>
        <v>0</v>
      </c>
      <c r="AB95" s="197">
        <f>'Energy margins'!$E$12</f>
        <v>269.5</v>
      </c>
      <c r="AC95" s="197">
        <f t="shared" si="257"/>
        <v>0</v>
      </c>
      <c r="AD95" s="197">
        <f>'Margins summary'!$Q$14</f>
        <v>471.64</v>
      </c>
      <c r="AE95" s="197">
        <f t="shared" si="221"/>
        <v>471.64</v>
      </c>
      <c r="AF95" s="197"/>
      <c r="AG95" s="913">
        <f>'Energy NPV'!$U20</f>
        <v>197.56800000000001</v>
      </c>
      <c r="AH95" s="197"/>
      <c r="AI95" s="197">
        <f t="shared" si="222"/>
        <v>197.56800000000001</v>
      </c>
      <c r="AJ95" s="197">
        <f t="shared" si="205"/>
        <v>-197.56800000000001</v>
      </c>
      <c r="AK95" s="197">
        <f t="shared" si="206"/>
        <v>274.072</v>
      </c>
      <c r="AL95" s="196">
        <f t="shared" si="223"/>
        <v>0</v>
      </c>
      <c r="AM95" s="197">
        <f t="shared" si="224"/>
        <v>313.66753706883856</v>
      </c>
      <c r="AN95" s="197">
        <f t="shared" si="225"/>
        <v>131.39400382413768</v>
      </c>
      <c r="AO95" s="197">
        <f t="shared" si="226"/>
        <v>-131.39400382413768</v>
      </c>
      <c r="AP95" s="199">
        <f t="shared" si="227"/>
        <v>182.27353324470087</v>
      </c>
      <c r="AQ95" s="196">
        <f t="shared" si="258"/>
        <v>10406.606560642451</v>
      </c>
      <c r="AR95" s="197">
        <f t="shared" si="228"/>
        <v>3104.5143821860202</v>
      </c>
      <c r="AS95" s="197">
        <f t="shared" si="228"/>
        <v>12754.807232434114</v>
      </c>
      <c r="AT95" s="197">
        <f t="shared" si="228"/>
        <v>-2348.2006717916656</v>
      </c>
      <c r="AU95" s="199">
        <f t="shared" si="228"/>
        <v>756.31371039435805</v>
      </c>
      <c r="AX95" s="204">
        <f t="shared" si="259"/>
        <v>8</v>
      </c>
      <c r="AY95" s="756">
        <f>'Energy NPV'!$D20</f>
        <v>0</v>
      </c>
      <c r="AZ95" s="197">
        <f>'Energy margins'!$E$12</f>
        <v>269.5</v>
      </c>
      <c r="BA95" s="197">
        <f t="shared" si="260"/>
        <v>0</v>
      </c>
      <c r="BB95" s="197">
        <f>'Margins summary'!$Q$14</f>
        <v>471.64</v>
      </c>
      <c r="BC95" s="197">
        <f t="shared" si="229"/>
        <v>471.64</v>
      </c>
      <c r="BD95" s="197"/>
      <c r="BE95" s="913">
        <f>'Energy NPV'!$U20</f>
        <v>197.56800000000001</v>
      </c>
      <c r="BF95" s="197"/>
      <c r="BG95" s="197">
        <f t="shared" si="230"/>
        <v>197.56800000000001</v>
      </c>
      <c r="BH95" s="197">
        <f t="shared" si="207"/>
        <v>-197.56800000000001</v>
      </c>
      <c r="BI95" s="197">
        <f t="shared" si="208"/>
        <v>274.072</v>
      </c>
      <c r="BJ95" s="196">
        <f t="shared" si="231"/>
        <v>0</v>
      </c>
      <c r="BK95" s="197">
        <f t="shared" si="232"/>
        <v>410.59100264146633</v>
      </c>
      <c r="BL95" s="197">
        <f t="shared" si="233"/>
        <v>171.99483336839376</v>
      </c>
      <c r="BM95" s="197">
        <f t="shared" si="234"/>
        <v>-171.99483336839376</v>
      </c>
      <c r="BN95" s="199">
        <f t="shared" si="235"/>
        <v>238.5961692730726</v>
      </c>
      <c r="BO95" s="196">
        <f t="shared" si="261"/>
        <v>12331.603916490181</v>
      </c>
      <c r="BP95" s="197">
        <f t="shared" si="236"/>
        <v>3524.0898679266847</v>
      </c>
      <c r="BQ95" s="197">
        <f t="shared" si="236"/>
        <v>13589.510105697518</v>
      </c>
      <c r="BR95" s="197">
        <f t="shared" si="236"/>
        <v>-1257.9061892073387</v>
      </c>
      <c r="BS95" s="199">
        <f t="shared" si="236"/>
        <v>2266.1836787193483</v>
      </c>
      <c r="BV95" s="204">
        <f t="shared" si="262"/>
        <v>8</v>
      </c>
      <c r="BW95" s="756">
        <f>'Energy NPV'!$D20</f>
        <v>0</v>
      </c>
      <c r="BX95" s="197">
        <f>'Energy margins'!$E$12</f>
        <v>269.5</v>
      </c>
      <c r="BY95" s="197">
        <f t="shared" si="263"/>
        <v>0</v>
      </c>
      <c r="BZ95" s="197">
        <f>'Margins summary'!$Q$14</f>
        <v>471.64</v>
      </c>
      <c r="CA95" s="197">
        <f t="shared" si="237"/>
        <v>471.64</v>
      </c>
      <c r="CB95" s="197"/>
      <c r="CC95" s="913">
        <f>'Energy NPV'!$U20</f>
        <v>197.56800000000001</v>
      </c>
      <c r="CD95" s="197"/>
      <c r="CE95" s="197">
        <f t="shared" si="238"/>
        <v>197.56800000000001</v>
      </c>
      <c r="CF95" s="197">
        <f t="shared" si="209"/>
        <v>-197.56800000000001</v>
      </c>
      <c r="CG95" s="197">
        <f t="shared" si="210"/>
        <v>274.072</v>
      </c>
      <c r="CH95" s="196">
        <f t="shared" si="239"/>
        <v>0</v>
      </c>
      <c r="CI95" s="197">
        <f t="shared" si="240"/>
        <v>275.1974100214328</v>
      </c>
      <c r="CJ95" s="197">
        <f t="shared" si="241"/>
        <v>115.27903041114926</v>
      </c>
      <c r="CK95" s="197">
        <f t="shared" si="242"/>
        <v>-115.27903041114926</v>
      </c>
      <c r="CL95" s="199">
        <f t="shared" si="243"/>
        <v>159.91837961028355</v>
      </c>
      <c r="CM95" s="196">
        <f t="shared" si="264"/>
        <v>9594.2125849983095</v>
      </c>
      <c r="CN95" s="197">
        <f t="shared" si="244"/>
        <v>2927.1723747320884</v>
      </c>
      <c r="CO95" s="197">
        <f t="shared" si="244"/>
        <v>12400.235006961477</v>
      </c>
      <c r="CP95" s="197">
        <f t="shared" si="244"/>
        <v>-2806.0224219631646</v>
      </c>
      <c r="CQ95" s="199">
        <f t="shared" si="244"/>
        <v>121.14995276892492</v>
      </c>
      <c r="CT95" s="204">
        <f t="shared" si="265"/>
        <v>8</v>
      </c>
      <c r="CU95" s="756">
        <f>'Energy NPV'!$D20</f>
        <v>0</v>
      </c>
      <c r="CV95" s="197">
        <f>'Energy margins'!$E$12</f>
        <v>269.5</v>
      </c>
      <c r="CW95" s="197">
        <f t="shared" si="266"/>
        <v>0</v>
      </c>
      <c r="CX95" s="197">
        <f>'Margins summary'!$Q$14</f>
        <v>471.64</v>
      </c>
      <c r="CY95" s="197">
        <f t="shared" si="245"/>
        <v>471.64</v>
      </c>
      <c r="CZ95" s="197"/>
      <c r="DA95" s="913">
        <f>'Energy NPV'!$U20</f>
        <v>197.56800000000001</v>
      </c>
      <c r="DB95" s="197"/>
      <c r="DC95" s="197">
        <f t="shared" si="246"/>
        <v>197.56800000000001</v>
      </c>
      <c r="DD95" s="197">
        <f t="shared" si="211"/>
        <v>-197.56800000000001</v>
      </c>
      <c r="DE95" s="197">
        <f t="shared" si="212"/>
        <v>274.072</v>
      </c>
      <c r="DF95" s="196">
        <f t="shared" si="247"/>
        <v>0</v>
      </c>
      <c r="DG95" s="197">
        <f t="shared" si="248"/>
        <v>471.64</v>
      </c>
      <c r="DH95" s="197">
        <f t="shared" si="249"/>
        <v>197.56800000000001</v>
      </c>
      <c r="DI95" s="197">
        <f t="shared" si="250"/>
        <v>-197.56800000000001</v>
      </c>
      <c r="DJ95" s="199">
        <f t="shared" si="251"/>
        <v>274.072</v>
      </c>
      <c r="DK95" s="196">
        <f t="shared" si="267"/>
        <v>13475</v>
      </c>
      <c r="DL95" s="197">
        <f t="shared" si="252"/>
        <v>3773.1199999999994</v>
      </c>
      <c r="DM95" s="197">
        <f t="shared" si="252"/>
        <v>14082.375999999998</v>
      </c>
      <c r="DN95" s="197">
        <f t="shared" si="252"/>
        <v>-607.37600000000089</v>
      </c>
      <c r="DO95" s="199">
        <f t="shared" si="252"/>
        <v>3165.7440000000033</v>
      </c>
    </row>
    <row r="96" spans="2:119" x14ac:dyDescent="0.3">
      <c r="B96" s="204">
        <f t="shared" si="253"/>
        <v>9</v>
      </c>
      <c r="C96" s="756">
        <f>'Energy NPV'!$D21</f>
        <v>0</v>
      </c>
      <c r="D96" s="197">
        <f>'Energy margins'!$E$12</f>
        <v>269.5</v>
      </c>
      <c r="E96" s="197">
        <f t="shared" si="254"/>
        <v>0</v>
      </c>
      <c r="F96" s="197">
        <f>'Margins summary'!$Q$14</f>
        <v>471.64</v>
      </c>
      <c r="G96" s="197">
        <f t="shared" si="213"/>
        <v>471.64</v>
      </c>
      <c r="H96" s="197"/>
      <c r="I96" s="917">
        <f>'Energy NPV'!$U21</f>
        <v>197.56800000000001</v>
      </c>
      <c r="J96" s="197"/>
      <c r="K96" s="197">
        <f t="shared" si="214"/>
        <v>197.56800000000001</v>
      </c>
      <c r="L96" s="197">
        <f t="shared" si="203"/>
        <v>-197.56800000000001</v>
      </c>
      <c r="M96" s="197">
        <f t="shared" si="204"/>
        <v>274.072</v>
      </c>
      <c r="N96" s="196">
        <f t="shared" si="215"/>
        <v>0</v>
      </c>
      <c r="O96" s="197">
        <f t="shared" si="216"/>
        <v>344.6227282871356</v>
      </c>
      <c r="P96" s="197">
        <f t="shared" si="217"/>
        <v>144.36100242183193</v>
      </c>
      <c r="Q96" s="197">
        <f t="shared" si="218"/>
        <v>-144.36100242183193</v>
      </c>
      <c r="R96" s="199">
        <f t="shared" si="219"/>
        <v>200.2617258653037</v>
      </c>
      <c r="S96" s="196">
        <f t="shared" si="255"/>
        <v>11314.357083652145</v>
      </c>
      <c r="T96" s="197">
        <f t="shared" si="220"/>
        <v>3647.0717928216054</v>
      </c>
      <c r="U96" s="197">
        <f t="shared" si="220"/>
        <v>13293.643853624511</v>
      </c>
      <c r="V96" s="197">
        <f t="shared" si="220"/>
        <v>-1979.2867699723686</v>
      </c>
      <c r="W96" s="199">
        <f t="shared" si="220"/>
        <v>1667.7850228492398</v>
      </c>
      <c r="Z96" s="204">
        <f t="shared" si="256"/>
        <v>9</v>
      </c>
      <c r="AA96" s="756">
        <f>'Energy NPV'!$D21</f>
        <v>0</v>
      </c>
      <c r="AB96" s="197">
        <f>'Energy margins'!$E$12</f>
        <v>269.5</v>
      </c>
      <c r="AC96" s="197">
        <f t="shared" si="257"/>
        <v>0</v>
      </c>
      <c r="AD96" s="197">
        <f>'Margins summary'!$Q$14</f>
        <v>471.64</v>
      </c>
      <c r="AE96" s="197">
        <f t="shared" si="221"/>
        <v>471.64</v>
      </c>
      <c r="AF96" s="197"/>
      <c r="AG96" s="913">
        <f>'Energy NPV'!$U21</f>
        <v>197.56800000000001</v>
      </c>
      <c r="AH96" s="197"/>
      <c r="AI96" s="197">
        <f t="shared" si="222"/>
        <v>197.56800000000001</v>
      </c>
      <c r="AJ96" s="197">
        <f t="shared" si="205"/>
        <v>-197.56800000000001</v>
      </c>
      <c r="AK96" s="197">
        <f t="shared" si="206"/>
        <v>274.072</v>
      </c>
      <c r="AL96" s="196">
        <f t="shared" si="223"/>
        <v>0</v>
      </c>
      <c r="AM96" s="197">
        <f t="shared" si="224"/>
        <v>295.91277081965904</v>
      </c>
      <c r="AN96" s="197">
        <f t="shared" si="225"/>
        <v>123.95660738126199</v>
      </c>
      <c r="AO96" s="197">
        <f t="shared" si="226"/>
        <v>-123.95660738126199</v>
      </c>
      <c r="AP96" s="199">
        <f t="shared" si="227"/>
        <v>171.95616343839708</v>
      </c>
      <c r="AQ96" s="196">
        <f t="shared" si="258"/>
        <v>10406.606560642451</v>
      </c>
      <c r="AR96" s="197">
        <f t="shared" si="228"/>
        <v>3400.4271530056794</v>
      </c>
      <c r="AS96" s="197">
        <f t="shared" si="228"/>
        <v>12878.763839815376</v>
      </c>
      <c r="AT96" s="197">
        <f t="shared" si="228"/>
        <v>-2472.1572791729277</v>
      </c>
      <c r="AU96" s="199">
        <f t="shared" si="228"/>
        <v>928.26987383275514</v>
      </c>
      <c r="AX96" s="204">
        <f t="shared" si="259"/>
        <v>9</v>
      </c>
      <c r="AY96" s="756">
        <f>'Energy NPV'!$D21</f>
        <v>0</v>
      </c>
      <c r="AZ96" s="197">
        <f>'Energy margins'!$E$12</f>
        <v>269.5</v>
      </c>
      <c r="BA96" s="197">
        <f t="shared" si="260"/>
        <v>0</v>
      </c>
      <c r="BB96" s="197">
        <f>'Margins summary'!$Q$14</f>
        <v>471.64</v>
      </c>
      <c r="BC96" s="197">
        <f t="shared" si="229"/>
        <v>471.64</v>
      </c>
      <c r="BD96" s="197"/>
      <c r="BE96" s="913">
        <f>'Energy NPV'!$U21</f>
        <v>197.56800000000001</v>
      </c>
      <c r="BF96" s="197"/>
      <c r="BG96" s="197">
        <f t="shared" si="230"/>
        <v>197.56800000000001</v>
      </c>
      <c r="BH96" s="197">
        <f t="shared" si="207"/>
        <v>-197.56800000000001</v>
      </c>
      <c r="BI96" s="197">
        <f t="shared" si="208"/>
        <v>274.072</v>
      </c>
      <c r="BJ96" s="196">
        <f t="shared" si="231"/>
        <v>0</v>
      </c>
      <c r="BK96" s="197">
        <f t="shared" si="232"/>
        <v>402.54019866810421</v>
      </c>
      <c r="BL96" s="197">
        <f t="shared" si="233"/>
        <v>168.62238565528799</v>
      </c>
      <c r="BM96" s="197">
        <f t="shared" si="234"/>
        <v>-168.62238565528799</v>
      </c>
      <c r="BN96" s="199">
        <f t="shared" si="235"/>
        <v>233.91781301281628</v>
      </c>
      <c r="BO96" s="196">
        <f t="shared" si="261"/>
        <v>12331.603916490181</v>
      </c>
      <c r="BP96" s="197">
        <f t="shared" si="236"/>
        <v>3926.6300665947888</v>
      </c>
      <c r="BQ96" s="197">
        <f t="shared" si="236"/>
        <v>13758.132491352806</v>
      </c>
      <c r="BR96" s="197">
        <f t="shared" si="236"/>
        <v>-1426.5285748626266</v>
      </c>
      <c r="BS96" s="199">
        <f t="shared" si="236"/>
        <v>2500.1014917321645</v>
      </c>
      <c r="BV96" s="204">
        <f t="shared" si="262"/>
        <v>9</v>
      </c>
      <c r="BW96" s="756">
        <f>'Energy NPV'!$D21</f>
        <v>0</v>
      </c>
      <c r="BX96" s="197">
        <f>'Energy margins'!$E$12</f>
        <v>269.5</v>
      </c>
      <c r="BY96" s="197">
        <f t="shared" si="263"/>
        <v>0</v>
      </c>
      <c r="BZ96" s="197">
        <f>'Margins summary'!$Q$14</f>
        <v>471.64</v>
      </c>
      <c r="CA96" s="197">
        <f t="shared" si="237"/>
        <v>471.64</v>
      </c>
      <c r="CB96" s="197"/>
      <c r="CC96" s="913">
        <f>'Energy NPV'!$U21</f>
        <v>197.56800000000001</v>
      </c>
      <c r="CD96" s="197"/>
      <c r="CE96" s="197">
        <f t="shared" si="238"/>
        <v>197.56800000000001</v>
      </c>
      <c r="CF96" s="197">
        <f t="shared" si="209"/>
        <v>-197.56800000000001</v>
      </c>
      <c r="CG96" s="197">
        <f t="shared" si="210"/>
        <v>274.072</v>
      </c>
      <c r="CH96" s="196">
        <f t="shared" si="239"/>
        <v>0</v>
      </c>
      <c r="CI96" s="197">
        <f t="shared" si="240"/>
        <v>254.81241668651185</v>
      </c>
      <c r="CJ96" s="197">
        <f t="shared" si="241"/>
        <v>106.73984297328636</v>
      </c>
      <c r="CK96" s="197">
        <f t="shared" si="242"/>
        <v>-106.73984297328636</v>
      </c>
      <c r="CL96" s="199">
        <f t="shared" si="243"/>
        <v>148.07257371322549</v>
      </c>
      <c r="CM96" s="196">
        <f t="shared" si="264"/>
        <v>9594.2125849983095</v>
      </c>
      <c r="CN96" s="197">
        <f t="shared" si="244"/>
        <v>3181.9847914186003</v>
      </c>
      <c r="CO96" s="197">
        <f t="shared" si="244"/>
        <v>12506.974849934762</v>
      </c>
      <c r="CP96" s="197">
        <f t="shared" si="244"/>
        <v>-2912.7622649364507</v>
      </c>
      <c r="CQ96" s="199">
        <f t="shared" si="244"/>
        <v>269.22252648215044</v>
      </c>
      <c r="CT96" s="204">
        <f t="shared" si="265"/>
        <v>9</v>
      </c>
      <c r="CU96" s="756">
        <f>'Energy NPV'!$D21</f>
        <v>0</v>
      </c>
      <c r="CV96" s="197">
        <f>'Energy margins'!$E$12</f>
        <v>269.5</v>
      </c>
      <c r="CW96" s="197">
        <f t="shared" si="266"/>
        <v>0</v>
      </c>
      <c r="CX96" s="197">
        <f>'Margins summary'!$Q$14</f>
        <v>471.64</v>
      </c>
      <c r="CY96" s="197">
        <f t="shared" si="245"/>
        <v>471.64</v>
      </c>
      <c r="CZ96" s="197"/>
      <c r="DA96" s="913">
        <f>'Energy NPV'!$U21</f>
        <v>197.56800000000001</v>
      </c>
      <c r="DB96" s="197"/>
      <c r="DC96" s="197">
        <f t="shared" si="246"/>
        <v>197.56800000000001</v>
      </c>
      <c r="DD96" s="197">
        <f t="shared" si="211"/>
        <v>-197.56800000000001</v>
      </c>
      <c r="DE96" s="197">
        <f t="shared" si="212"/>
        <v>274.072</v>
      </c>
      <c r="DF96" s="196">
        <f t="shared" si="247"/>
        <v>0</v>
      </c>
      <c r="DG96" s="197">
        <f t="shared" si="248"/>
        <v>471.64</v>
      </c>
      <c r="DH96" s="197">
        <f t="shared" si="249"/>
        <v>197.56800000000001</v>
      </c>
      <c r="DI96" s="197">
        <f t="shared" si="250"/>
        <v>-197.56800000000001</v>
      </c>
      <c r="DJ96" s="199">
        <f t="shared" si="251"/>
        <v>274.072</v>
      </c>
      <c r="DK96" s="196">
        <f t="shared" si="267"/>
        <v>13475</v>
      </c>
      <c r="DL96" s="197">
        <f t="shared" si="252"/>
        <v>4244.7599999999993</v>
      </c>
      <c r="DM96" s="197">
        <f t="shared" si="252"/>
        <v>14279.943999999998</v>
      </c>
      <c r="DN96" s="197">
        <f t="shared" si="252"/>
        <v>-804.94400000000087</v>
      </c>
      <c r="DO96" s="199">
        <f t="shared" si="252"/>
        <v>3439.8160000000034</v>
      </c>
    </row>
    <row r="97" spans="2:119" x14ac:dyDescent="0.3">
      <c r="B97" s="204">
        <f t="shared" si="253"/>
        <v>10</v>
      </c>
      <c r="C97" s="756">
        <f>'Energy NPV'!$D22</f>
        <v>25</v>
      </c>
      <c r="D97" s="197">
        <f>'Energy margins'!$E$12</f>
        <v>269.5</v>
      </c>
      <c r="E97" s="197">
        <f t="shared" si="254"/>
        <v>6737.5</v>
      </c>
      <c r="F97" s="197">
        <f>'Margins summary'!$Q$14</f>
        <v>471.64</v>
      </c>
      <c r="G97" s="197">
        <f t="shared" si="213"/>
        <v>7209.14</v>
      </c>
      <c r="H97" s="197"/>
      <c r="I97" s="917">
        <f>'Energy NPV'!$U22</f>
        <v>2318.3679999999999</v>
      </c>
      <c r="J97" s="197"/>
      <c r="K97" s="197">
        <f t="shared" si="214"/>
        <v>2318.3679999999999</v>
      </c>
      <c r="L97" s="197">
        <f t="shared" si="203"/>
        <v>4419.1319999999996</v>
      </c>
      <c r="M97" s="197">
        <f t="shared" si="204"/>
        <v>4890.7720000000008</v>
      </c>
      <c r="N97" s="196">
        <f t="shared" si="215"/>
        <v>4733.6781309623702</v>
      </c>
      <c r="O97" s="197">
        <f t="shared" si="216"/>
        <v>331.36800796839958</v>
      </c>
      <c r="P97" s="197">
        <f t="shared" si="217"/>
        <v>1628.8546049904221</v>
      </c>
      <c r="Q97" s="197">
        <f t="shared" si="218"/>
        <v>3104.8235259719481</v>
      </c>
      <c r="R97" s="199">
        <f t="shared" si="219"/>
        <v>3436.1915339403486</v>
      </c>
      <c r="S97" s="196">
        <f t="shared" si="255"/>
        <v>16048.035214614516</v>
      </c>
      <c r="T97" s="197">
        <f t="shared" si="220"/>
        <v>3978.4398007900049</v>
      </c>
      <c r="U97" s="197">
        <f t="shared" si="220"/>
        <v>14922.498458614933</v>
      </c>
      <c r="V97" s="197">
        <f t="shared" si="220"/>
        <v>1125.5367559995796</v>
      </c>
      <c r="W97" s="199">
        <f t="shared" si="220"/>
        <v>5103.9765567895884</v>
      </c>
      <c r="Z97" s="204">
        <f t="shared" si="256"/>
        <v>10</v>
      </c>
      <c r="AA97" s="756">
        <f>'Energy NPV'!$D22</f>
        <v>25</v>
      </c>
      <c r="AB97" s="197">
        <f>'Energy margins'!$E$12</f>
        <v>269.5</v>
      </c>
      <c r="AC97" s="197">
        <f t="shared" si="257"/>
        <v>6737.5</v>
      </c>
      <c r="AD97" s="197">
        <f>'Margins summary'!$Q$14</f>
        <v>471.64</v>
      </c>
      <c r="AE97" s="197">
        <f t="shared" si="221"/>
        <v>7209.14</v>
      </c>
      <c r="AF97" s="197"/>
      <c r="AG97" s="913">
        <f>'Energy NPV'!$U22</f>
        <v>2318.3679999999999</v>
      </c>
      <c r="AH97" s="197"/>
      <c r="AI97" s="197">
        <f t="shared" si="222"/>
        <v>2318.3679999999999</v>
      </c>
      <c r="AJ97" s="197">
        <f t="shared" si="205"/>
        <v>4419.1319999999996</v>
      </c>
      <c r="AK97" s="197">
        <f t="shared" si="206"/>
        <v>4890.7720000000008</v>
      </c>
      <c r="AL97" s="196">
        <f t="shared" si="223"/>
        <v>3987.9158980335433</v>
      </c>
      <c r="AM97" s="197">
        <f t="shared" si="224"/>
        <v>279.16299133930096</v>
      </c>
      <c r="AN97" s="197">
        <f t="shared" si="225"/>
        <v>1372.2384570971769</v>
      </c>
      <c r="AO97" s="197">
        <f t="shared" si="226"/>
        <v>2615.6774409363661</v>
      </c>
      <c r="AP97" s="199">
        <f t="shared" si="227"/>
        <v>2894.8404322756678</v>
      </c>
      <c r="AQ97" s="196">
        <f t="shared" si="258"/>
        <v>14394.522458675994</v>
      </c>
      <c r="AR97" s="197">
        <f t="shared" si="228"/>
        <v>3679.5901443449802</v>
      </c>
      <c r="AS97" s="197">
        <f t="shared" si="228"/>
        <v>14251.002296912553</v>
      </c>
      <c r="AT97" s="197">
        <f t="shared" si="228"/>
        <v>143.52016176343841</v>
      </c>
      <c r="AU97" s="199">
        <f t="shared" si="228"/>
        <v>3823.1103061084232</v>
      </c>
      <c r="AX97" s="204">
        <f t="shared" si="259"/>
        <v>10</v>
      </c>
      <c r="AY97" s="756">
        <f>'Energy NPV'!$D22</f>
        <v>25</v>
      </c>
      <c r="AZ97" s="197">
        <f>'Energy margins'!$E$12</f>
        <v>269.5</v>
      </c>
      <c r="BA97" s="197">
        <f t="shared" si="260"/>
        <v>6737.5</v>
      </c>
      <c r="BB97" s="197">
        <f>'Margins summary'!$Q$14</f>
        <v>471.64</v>
      </c>
      <c r="BC97" s="197">
        <f t="shared" si="229"/>
        <v>7209.14</v>
      </c>
      <c r="BD97" s="197"/>
      <c r="BE97" s="913">
        <f>'Energy NPV'!$U22</f>
        <v>2318.3679999999999</v>
      </c>
      <c r="BF97" s="197"/>
      <c r="BG97" s="197">
        <f t="shared" si="230"/>
        <v>2318.3679999999999</v>
      </c>
      <c r="BH97" s="197">
        <f t="shared" si="207"/>
        <v>4419.1319999999996</v>
      </c>
      <c r="BI97" s="197">
        <f t="shared" si="208"/>
        <v>4890.7720000000008</v>
      </c>
      <c r="BJ97" s="196">
        <f t="shared" si="231"/>
        <v>5637.6386038170358</v>
      </c>
      <c r="BK97" s="197">
        <f t="shared" si="232"/>
        <v>394.64725359618063</v>
      </c>
      <c r="BL97" s="197">
        <f t="shared" si="233"/>
        <v>1939.9066322306633</v>
      </c>
      <c r="BM97" s="197">
        <f t="shared" si="234"/>
        <v>3697.7319715863723</v>
      </c>
      <c r="BN97" s="199">
        <f t="shared" si="235"/>
        <v>4092.3792251825544</v>
      </c>
      <c r="BO97" s="196">
        <f t="shared" si="261"/>
        <v>17969.242520307216</v>
      </c>
      <c r="BP97" s="197">
        <f t="shared" si="236"/>
        <v>4321.2773201909695</v>
      </c>
      <c r="BQ97" s="197">
        <f t="shared" si="236"/>
        <v>15698.039123583469</v>
      </c>
      <c r="BR97" s="197">
        <f t="shared" si="236"/>
        <v>2271.2033967237458</v>
      </c>
      <c r="BS97" s="199">
        <f t="shared" si="236"/>
        <v>6592.4807169147189</v>
      </c>
      <c r="BV97" s="204">
        <f t="shared" si="262"/>
        <v>10</v>
      </c>
      <c r="BW97" s="756">
        <f>'Energy NPV'!$D22</f>
        <v>25</v>
      </c>
      <c r="BX97" s="197">
        <f>'Energy margins'!$E$12</f>
        <v>269.5</v>
      </c>
      <c r="BY97" s="197">
        <f t="shared" si="263"/>
        <v>6737.5</v>
      </c>
      <c r="BZ97" s="197">
        <f>'Margins summary'!$Q$14</f>
        <v>471.64</v>
      </c>
      <c r="CA97" s="197">
        <f t="shared" si="237"/>
        <v>7209.14</v>
      </c>
      <c r="CB97" s="197"/>
      <c r="CC97" s="913">
        <f>'Energy NPV'!$U22</f>
        <v>2318.3679999999999</v>
      </c>
      <c r="CD97" s="197"/>
      <c r="CE97" s="197">
        <f t="shared" si="238"/>
        <v>2318.3679999999999</v>
      </c>
      <c r="CF97" s="197">
        <f t="shared" si="209"/>
        <v>4419.1319999999996</v>
      </c>
      <c r="CG97" s="197">
        <f t="shared" si="210"/>
        <v>4890.7720000000008</v>
      </c>
      <c r="CH97" s="196">
        <f t="shared" si="239"/>
        <v>3370.427416048205</v>
      </c>
      <c r="CI97" s="197">
        <f t="shared" si="240"/>
        <v>235.93742285788133</v>
      </c>
      <c r="CJ97" s="197">
        <f t="shared" si="241"/>
        <v>1159.7611974306262</v>
      </c>
      <c r="CK97" s="197">
        <f t="shared" si="242"/>
        <v>2210.6662186175786</v>
      </c>
      <c r="CL97" s="199">
        <f t="shared" si="243"/>
        <v>2446.6036414754603</v>
      </c>
      <c r="CM97" s="196">
        <f t="shared" si="264"/>
        <v>12964.640001046515</v>
      </c>
      <c r="CN97" s="197">
        <f t="shared" si="244"/>
        <v>3417.9222142764816</v>
      </c>
      <c r="CO97" s="197">
        <f t="shared" si="244"/>
        <v>13666.736047365388</v>
      </c>
      <c r="CP97" s="197">
        <f t="shared" si="244"/>
        <v>-702.09604631887214</v>
      </c>
      <c r="CQ97" s="199">
        <f t="shared" si="244"/>
        <v>2715.8261679576108</v>
      </c>
      <c r="CT97" s="204">
        <f t="shared" si="265"/>
        <v>10</v>
      </c>
      <c r="CU97" s="756">
        <f>'Energy NPV'!$D22</f>
        <v>25</v>
      </c>
      <c r="CV97" s="197">
        <f>'Energy margins'!$E$12</f>
        <v>269.5</v>
      </c>
      <c r="CW97" s="197">
        <f t="shared" si="266"/>
        <v>6737.5</v>
      </c>
      <c r="CX97" s="197">
        <f>'Margins summary'!$Q$14</f>
        <v>471.64</v>
      </c>
      <c r="CY97" s="197">
        <f t="shared" si="245"/>
        <v>7209.14</v>
      </c>
      <c r="CZ97" s="197"/>
      <c r="DA97" s="913">
        <f>'Energy NPV'!$U22</f>
        <v>2318.3679999999999</v>
      </c>
      <c r="DB97" s="197"/>
      <c r="DC97" s="197">
        <f t="shared" si="246"/>
        <v>2318.3679999999999</v>
      </c>
      <c r="DD97" s="197">
        <f t="shared" si="211"/>
        <v>4419.1319999999996</v>
      </c>
      <c r="DE97" s="197">
        <f t="shared" si="212"/>
        <v>4890.7720000000008</v>
      </c>
      <c r="DF97" s="196">
        <f t="shared" si="247"/>
        <v>6737.5</v>
      </c>
      <c r="DG97" s="197">
        <f t="shared" si="248"/>
        <v>471.64</v>
      </c>
      <c r="DH97" s="197">
        <f t="shared" si="249"/>
        <v>2318.3679999999999</v>
      </c>
      <c r="DI97" s="197">
        <f t="shared" si="250"/>
        <v>4419.1319999999996</v>
      </c>
      <c r="DJ97" s="199">
        <f t="shared" si="251"/>
        <v>4890.7720000000008</v>
      </c>
      <c r="DK97" s="196">
        <f t="shared" si="267"/>
        <v>20212.5</v>
      </c>
      <c r="DL97" s="197">
        <f t="shared" si="252"/>
        <v>4716.3999999999996</v>
      </c>
      <c r="DM97" s="197">
        <f t="shared" si="252"/>
        <v>16598.311999999998</v>
      </c>
      <c r="DN97" s="197">
        <f t="shared" si="252"/>
        <v>3614.1879999999987</v>
      </c>
      <c r="DO97" s="199">
        <f t="shared" si="252"/>
        <v>8330.5880000000034</v>
      </c>
    </row>
    <row r="98" spans="2:119" x14ac:dyDescent="0.3">
      <c r="B98" s="204">
        <f t="shared" si="253"/>
        <v>11</v>
      </c>
      <c r="C98" s="756">
        <f>'Energy NPV'!$D23</f>
        <v>0</v>
      </c>
      <c r="D98" s="197">
        <f>'Energy margins'!$E$12</f>
        <v>269.5</v>
      </c>
      <c r="E98" s="197">
        <f t="shared" si="254"/>
        <v>0</v>
      </c>
      <c r="F98" s="197">
        <f>'Margins summary'!$Q$14</f>
        <v>471.64</v>
      </c>
      <c r="G98" s="197">
        <f t="shared" si="213"/>
        <v>471.64</v>
      </c>
      <c r="H98" s="197"/>
      <c r="I98" s="917">
        <f>'Energy NPV'!$U23</f>
        <v>0</v>
      </c>
      <c r="J98" s="197"/>
      <c r="K98" s="197">
        <f t="shared" si="214"/>
        <v>0</v>
      </c>
      <c r="L98" s="197">
        <f t="shared" si="203"/>
        <v>0</v>
      </c>
      <c r="M98" s="197">
        <f t="shared" si="204"/>
        <v>471.64</v>
      </c>
      <c r="N98" s="196">
        <f t="shared" si="215"/>
        <v>0</v>
      </c>
      <c r="O98" s="197">
        <f t="shared" si="216"/>
        <v>318.62308458499962</v>
      </c>
      <c r="P98" s="197">
        <f t="shared" si="217"/>
        <v>0</v>
      </c>
      <c r="Q98" s="197">
        <f t="shared" si="218"/>
        <v>0</v>
      </c>
      <c r="R98" s="199">
        <f t="shared" si="219"/>
        <v>318.62308458499962</v>
      </c>
      <c r="S98" s="196">
        <f t="shared" si="255"/>
        <v>16048.035214614516</v>
      </c>
      <c r="T98" s="197">
        <f t="shared" si="220"/>
        <v>4297.062885375005</v>
      </c>
      <c r="U98" s="197">
        <f t="shared" si="220"/>
        <v>14922.498458614933</v>
      </c>
      <c r="V98" s="197">
        <f t="shared" si="220"/>
        <v>1125.5367559995796</v>
      </c>
      <c r="W98" s="199">
        <f t="shared" si="220"/>
        <v>5422.5996413745879</v>
      </c>
      <c r="Z98" s="204">
        <f t="shared" si="256"/>
        <v>11</v>
      </c>
      <c r="AA98" s="756">
        <f>'Energy NPV'!$D23</f>
        <v>0</v>
      </c>
      <c r="AB98" s="197">
        <f>'Energy margins'!$E$12</f>
        <v>269.5</v>
      </c>
      <c r="AC98" s="197">
        <f t="shared" si="257"/>
        <v>0</v>
      </c>
      <c r="AD98" s="197">
        <f>'Margins summary'!$Q$14</f>
        <v>471.64</v>
      </c>
      <c r="AE98" s="197">
        <f t="shared" si="221"/>
        <v>471.64</v>
      </c>
      <c r="AF98" s="197"/>
      <c r="AG98" s="913">
        <f>'Energy NPV'!$U23</f>
        <v>0</v>
      </c>
      <c r="AH98" s="197"/>
      <c r="AI98" s="197">
        <f t="shared" si="222"/>
        <v>0</v>
      </c>
      <c r="AJ98" s="197">
        <f t="shared" si="205"/>
        <v>0</v>
      </c>
      <c r="AK98" s="197">
        <f t="shared" si="206"/>
        <v>471.64</v>
      </c>
      <c r="AL98" s="196">
        <f t="shared" si="223"/>
        <v>0</v>
      </c>
      <c r="AM98" s="197">
        <f t="shared" si="224"/>
        <v>263.36131258424621</v>
      </c>
      <c r="AN98" s="197">
        <f t="shared" si="225"/>
        <v>0</v>
      </c>
      <c r="AO98" s="197">
        <f t="shared" si="226"/>
        <v>0</v>
      </c>
      <c r="AP98" s="199">
        <f t="shared" si="227"/>
        <v>263.36131258424621</v>
      </c>
      <c r="AQ98" s="196">
        <f t="shared" si="258"/>
        <v>14394.522458675994</v>
      </c>
      <c r="AR98" s="197">
        <f t="shared" si="228"/>
        <v>3942.9514569292264</v>
      </c>
      <c r="AS98" s="197">
        <f t="shared" si="228"/>
        <v>14251.002296912553</v>
      </c>
      <c r="AT98" s="197">
        <f t="shared" si="228"/>
        <v>143.52016176343841</v>
      </c>
      <c r="AU98" s="199">
        <f t="shared" si="228"/>
        <v>4086.4716186926694</v>
      </c>
      <c r="AX98" s="204">
        <f t="shared" si="259"/>
        <v>11</v>
      </c>
      <c r="AY98" s="756">
        <f>'Energy NPV'!$D23</f>
        <v>0</v>
      </c>
      <c r="AZ98" s="197">
        <f>'Energy margins'!$E$12</f>
        <v>269.5</v>
      </c>
      <c r="BA98" s="197">
        <f t="shared" si="260"/>
        <v>0</v>
      </c>
      <c r="BB98" s="197">
        <f>'Margins summary'!$Q$14</f>
        <v>471.64</v>
      </c>
      <c r="BC98" s="197">
        <f t="shared" si="229"/>
        <v>471.64</v>
      </c>
      <c r="BD98" s="197"/>
      <c r="BE98" s="913">
        <f>'Energy NPV'!$U23</f>
        <v>0</v>
      </c>
      <c r="BF98" s="197"/>
      <c r="BG98" s="197">
        <f t="shared" si="230"/>
        <v>0</v>
      </c>
      <c r="BH98" s="197">
        <f t="shared" si="207"/>
        <v>0</v>
      </c>
      <c r="BI98" s="197">
        <f t="shared" si="208"/>
        <v>471.64</v>
      </c>
      <c r="BJ98" s="196">
        <f t="shared" si="231"/>
        <v>0</v>
      </c>
      <c r="BK98" s="197">
        <f t="shared" si="232"/>
        <v>386.90907215311825</v>
      </c>
      <c r="BL98" s="197">
        <f t="shared" si="233"/>
        <v>0</v>
      </c>
      <c r="BM98" s="197">
        <f t="shared" si="234"/>
        <v>0</v>
      </c>
      <c r="BN98" s="199">
        <f t="shared" si="235"/>
        <v>386.90907215311825</v>
      </c>
      <c r="BO98" s="196">
        <f t="shared" si="261"/>
        <v>17969.242520307216</v>
      </c>
      <c r="BP98" s="197">
        <f t="shared" si="236"/>
        <v>4708.1863923440878</v>
      </c>
      <c r="BQ98" s="197">
        <f t="shared" si="236"/>
        <v>15698.039123583469</v>
      </c>
      <c r="BR98" s="197">
        <f t="shared" si="236"/>
        <v>2271.2033967237458</v>
      </c>
      <c r="BS98" s="199">
        <f t="shared" si="236"/>
        <v>6979.3897890678372</v>
      </c>
      <c r="BV98" s="204">
        <f t="shared" si="262"/>
        <v>11</v>
      </c>
      <c r="BW98" s="756">
        <f>'Energy NPV'!$D23</f>
        <v>0</v>
      </c>
      <c r="BX98" s="197">
        <f>'Energy margins'!$E$12</f>
        <v>269.5</v>
      </c>
      <c r="BY98" s="197">
        <f t="shared" si="263"/>
        <v>0</v>
      </c>
      <c r="BZ98" s="197">
        <f>'Margins summary'!$Q$14</f>
        <v>471.64</v>
      </c>
      <c r="CA98" s="197">
        <f t="shared" si="237"/>
        <v>471.64</v>
      </c>
      <c r="CB98" s="197"/>
      <c r="CC98" s="913">
        <f>'Energy NPV'!$U23</f>
        <v>0</v>
      </c>
      <c r="CD98" s="197"/>
      <c r="CE98" s="197">
        <f t="shared" si="238"/>
        <v>0</v>
      </c>
      <c r="CF98" s="197">
        <f t="shared" si="209"/>
        <v>0</v>
      </c>
      <c r="CG98" s="197">
        <f t="shared" si="210"/>
        <v>471.64</v>
      </c>
      <c r="CH98" s="196">
        <f t="shared" si="239"/>
        <v>0</v>
      </c>
      <c r="CI98" s="197">
        <f t="shared" si="240"/>
        <v>218.46057672026046</v>
      </c>
      <c r="CJ98" s="197">
        <f t="shared" si="241"/>
        <v>0</v>
      </c>
      <c r="CK98" s="197">
        <f t="shared" si="242"/>
        <v>0</v>
      </c>
      <c r="CL98" s="199">
        <f t="shared" si="243"/>
        <v>218.46057672026046</v>
      </c>
      <c r="CM98" s="196">
        <f t="shared" si="264"/>
        <v>12964.640001046515</v>
      </c>
      <c r="CN98" s="197">
        <f t="shared" si="244"/>
        <v>3636.3827909967422</v>
      </c>
      <c r="CO98" s="197">
        <f t="shared" si="244"/>
        <v>13666.736047365388</v>
      </c>
      <c r="CP98" s="197">
        <f t="shared" si="244"/>
        <v>-702.09604631887214</v>
      </c>
      <c r="CQ98" s="199">
        <f t="shared" si="244"/>
        <v>2934.2867446778714</v>
      </c>
      <c r="CT98" s="204">
        <f t="shared" si="265"/>
        <v>11</v>
      </c>
      <c r="CU98" s="756">
        <f>'Energy NPV'!$D23</f>
        <v>0</v>
      </c>
      <c r="CV98" s="197">
        <f>'Energy margins'!$E$12</f>
        <v>269.5</v>
      </c>
      <c r="CW98" s="197">
        <f t="shared" si="266"/>
        <v>0</v>
      </c>
      <c r="CX98" s="197">
        <f>'Margins summary'!$Q$14</f>
        <v>471.64</v>
      </c>
      <c r="CY98" s="197">
        <f t="shared" si="245"/>
        <v>471.64</v>
      </c>
      <c r="CZ98" s="197"/>
      <c r="DA98" s="913">
        <f>'Energy NPV'!$U23</f>
        <v>0</v>
      </c>
      <c r="DB98" s="197"/>
      <c r="DC98" s="197">
        <f t="shared" si="246"/>
        <v>0</v>
      </c>
      <c r="DD98" s="197">
        <f t="shared" si="211"/>
        <v>0</v>
      </c>
      <c r="DE98" s="197">
        <f t="shared" si="212"/>
        <v>471.64</v>
      </c>
      <c r="DF98" s="196">
        <f t="shared" si="247"/>
        <v>0</v>
      </c>
      <c r="DG98" s="197">
        <f t="shared" si="248"/>
        <v>471.64</v>
      </c>
      <c r="DH98" s="197">
        <f t="shared" si="249"/>
        <v>0</v>
      </c>
      <c r="DI98" s="197">
        <f t="shared" si="250"/>
        <v>0</v>
      </c>
      <c r="DJ98" s="199">
        <f t="shared" si="251"/>
        <v>471.64</v>
      </c>
      <c r="DK98" s="196">
        <f t="shared" si="267"/>
        <v>20212.5</v>
      </c>
      <c r="DL98" s="197">
        <f t="shared" si="252"/>
        <v>5188.04</v>
      </c>
      <c r="DM98" s="197">
        <f t="shared" si="252"/>
        <v>16598.311999999998</v>
      </c>
      <c r="DN98" s="197">
        <f t="shared" si="252"/>
        <v>3614.1879999999987</v>
      </c>
      <c r="DO98" s="199">
        <f t="shared" si="252"/>
        <v>8802.2280000000028</v>
      </c>
    </row>
    <row r="99" spans="2:119" x14ac:dyDescent="0.3">
      <c r="B99" s="204">
        <f t="shared" si="253"/>
        <v>12</v>
      </c>
      <c r="C99" s="756">
        <f>'Energy NPV'!$D24</f>
        <v>0</v>
      </c>
      <c r="D99" s="197">
        <f>'Energy margins'!$E$12</f>
        <v>269.5</v>
      </c>
      <c r="E99" s="197">
        <f t="shared" si="254"/>
        <v>0</v>
      </c>
      <c r="F99" s="197">
        <f>'Margins summary'!$Q$14</f>
        <v>471.64</v>
      </c>
      <c r="G99" s="197">
        <f t="shared" si="213"/>
        <v>471.64</v>
      </c>
      <c r="H99" s="197"/>
      <c r="I99" s="917">
        <f>'Energy NPV'!$U24</f>
        <v>0</v>
      </c>
      <c r="J99" s="197"/>
      <c r="K99" s="197">
        <f t="shared" si="214"/>
        <v>0</v>
      </c>
      <c r="L99" s="197">
        <f t="shared" si="203"/>
        <v>0</v>
      </c>
      <c r="M99" s="197">
        <f t="shared" si="204"/>
        <v>471.64</v>
      </c>
      <c r="N99" s="196">
        <f t="shared" si="215"/>
        <v>0</v>
      </c>
      <c r="O99" s="197">
        <f t="shared" si="216"/>
        <v>306.36835056249964</v>
      </c>
      <c r="P99" s="197">
        <f t="shared" si="217"/>
        <v>0</v>
      </c>
      <c r="Q99" s="197">
        <f t="shared" si="218"/>
        <v>0</v>
      </c>
      <c r="R99" s="199">
        <f t="shared" si="219"/>
        <v>306.36835056249964</v>
      </c>
      <c r="S99" s="196">
        <f t="shared" si="255"/>
        <v>16048.035214614516</v>
      </c>
      <c r="T99" s="197">
        <f t="shared" si="220"/>
        <v>4603.4312359375044</v>
      </c>
      <c r="U99" s="197">
        <f t="shared" si="220"/>
        <v>14922.498458614933</v>
      </c>
      <c r="V99" s="197">
        <f t="shared" si="220"/>
        <v>1125.5367559995796</v>
      </c>
      <c r="W99" s="199">
        <f t="shared" si="220"/>
        <v>5728.9679919370874</v>
      </c>
      <c r="Z99" s="204">
        <f t="shared" si="256"/>
        <v>12</v>
      </c>
      <c r="AA99" s="756">
        <f>'Energy NPV'!$D24</f>
        <v>0</v>
      </c>
      <c r="AB99" s="197">
        <f>'Energy margins'!$E$12</f>
        <v>269.5</v>
      </c>
      <c r="AC99" s="197">
        <f t="shared" si="257"/>
        <v>0</v>
      </c>
      <c r="AD99" s="197">
        <f>'Margins summary'!$Q$14</f>
        <v>471.64</v>
      </c>
      <c r="AE99" s="197">
        <f t="shared" si="221"/>
        <v>471.64</v>
      </c>
      <c r="AF99" s="197"/>
      <c r="AG99" s="913">
        <f>'Energy NPV'!$U24</f>
        <v>0</v>
      </c>
      <c r="AH99" s="197"/>
      <c r="AI99" s="197">
        <f t="shared" si="222"/>
        <v>0</v>
      </c>
      <c r="AJ99" s="197">
        <f t="shared" si="205"/>
        <v>0</v>
      </c>
      <c r="AK99" s="197">
        <f t="shared" si="206"/>
        <v>471.64</v>
      </c>
      <c r="AL99" s="196">
        <f t="shared" si="223"/>
        <v>0</v>
      </c>
      <c r="AM99" s="197">
        <f t="shared" si="224"/>
        <v>248.45406847570391</v>
      </c>
      <c r="AN99" s="197">
        <f t="shared" si="225"/>
        <v>0</v>
      </c>
      <c r="AO99" s="197">
        <f t="shared" si="226"/>
        <v>0</v>
      </c>
      <c r="AP99" s="199">
        <f t="shared" si="227"/>
        <v>248.45406847570391</v>
      </c>
      <c r="AQ99" s="196">
        <f t="shared" si="258"/>
        <v>14394.522458675994</v>
      </c>
      <c r="AR99" s="197">
        <f t="shared" si="228"/>
        <v>4191.4055254049299</v>
      </c>
      <c r="AS99" s="197">
        <f t="shared" si="228"/>
        <v>14251.002296912553</v>
      </c>
      <c r="AT99" s="197">
        <f t="shared" si="228"/>
        <v>143.52016176343841</v>
      </c>
      <c r="AU99" s="199">
        <f t="shared" si="228"/>
        <v>4334.9256871683729</v>
      </c>
      <c r="AX99" s="204">
        <f t="shared" si="259"/>
        <v>12</v>
      </c>
      <c r="AY99" s="756">
        <f>'Energy NPV'!$D24</f>
        <v>0</v>
      </c>
      <c r="AZ99" s="197">
        <f>'Energy margins'!$E$12</f>
        <v>269.5</v>
      </c>
      <c r="BA99" s="197">
        <f t="shared" si="260"/>
        <v>0</v>
      </c>
      <c r="BB99" s="197">
        <f>'Margins summary'!$Q$14</f>
        <v>471.64</v>
      </c>
      <c r="BC99" s="197">
        <f t="shared" si="229"/>
        <v>471.64</v>
      </c>
      <c r="BD99" s="197"/>
      <c r="BE99" s="913">
        <f>'Energy NPV'!$U24</f>
        <v>0</v>
      </c>
      <c r="BF99" s="197"/>
      <c r="BG99" s="197">
        <f t="shared" si="230"/>
        <v>0</v>
      </c>
      <c r="BH99" s="197">
        <f t="shared" si="207"/>
        <v>0</v>
      </c>
      <c r="BI99" s="197">
        <f t="shared" si="208"/>
        <v>471.64</v>
      </c>
      <c r="BJ99" s="196">
        <f t="shared" si="231"/>
        <v>0</v>
      </c>
      <c r="BK99" s="197">
        <f t="shared" si="232"/>
        <v>379.3226197579591</v>
      </c>
      <c r="BL99" s="197">
        <f t="shared" si="233"/>
        <v>0</v>
      </c>
      <c r="BM99" s="197">
        <f t="shared" si="234"/>
        <v>0</v>
      </c>
      <c r="BN99" s="199">
        <f t="shared" si="235"/>
        <v>379.3226197579591</v>
      </c>
      <c r="BO99" s="196">
        <f t="shared" si="261"/>
        <v>17969.242520307216</v>
      </c>
      <c r="BP99" s="197">
        <f t="shared" si="236"/>
        <v>5087.5090121020467</v>
      </c>
      <c r="BQ99" s="197">
        <f t="shared" si="236"/>
        <v>15698.039123583469</v>
      </c>
      <c r="BR99" s="197">
        <f t="shared" si="236"/>
        <v>2271.2033967237458</v>
      </c>
      <c r="BS99" s="199">
        <f t="shared" si="236"/>
        <v>7358.712408825796</v>
      </c>
      <c r="BV99" s="204">
        <f t="shared" si="262"/>
        <v>12</v>
      </c>
      <c r="BW99" s="756">
        <f>'Energy NPV'!$D24</f>
        <v>0</v>
      </c>
      <c r="BX99" s="197">
        <f>'Energy margins'!$E$12</f>
        <v>269.5</v>
      </c>
      <c r="BY99" s="197">
        <f t="shared" si="263"/>
        <v>0</v>
      </c>
      <c r="BZ99" s="197">
        <f>'Margins summary'!$Q$14</f>
        <v>471.64</v>
      </c>
      <c r="CA99" s="197">
        <f t="shared" si="237"/>
        <v>471.64</v>
      </c>
      <c r="CB99" s="197"/>
      <c r="CC99" s="913">
        <f>'Energy NPV'!$U24</f>
        <v>0</v>
      </c>
      <c r="CD99" s="197"/>
      <c r="CE99" s="197">
        <f t="shared" si="238"/>
        <v>0</v>
      </c>
      <c r="CF99" s="197">
        <f t="shared" si="209"/>
        <v>0</v>
      </c>
      <c r="CG99" s="197">
        <f t="shared" si="210"/>
        <v>471.64</v>
      </c>
      <c r="CH99" s="196">
        <f t="shared" si="239"/>
        <v>0</v>
      </c>
      <c r="CI99" s="197">
        <f t="shared" si="240"/>
        <v>202.27831177801897</v>
      </c>
      <c r="CJ99" s="197">
        <f t="shared" si="241"/>
        <v>0</v>
      </c>
      <c r="CK99" s="197">
        <f t="shared" si="242"/>
        <v>0</v>
      </c>
      <c r="CL99" s="199">
        <f t="shared" si="243"/>
        <v>202.27831177801897</v>
      </c>
      <c r="CM99" s="196">
        <f t="shared" si="264"/>
        <v>12964.640001046515</v>
      </c>
      <c r="CN99" s="197">
        <f t="shared" si="244"/>
        <v>3838.6611027747613</v>
      </c>
      <c r="CO99" s="197">
        <f t="shared" si="244"/>
        <v>13666.736047365388</v>
      </c>
      <c r="CP99" s="197">
        <f t="shared" si="244"/>
        <v>-702.09604631887214</v>
      </c>
      <c r="CQ99" s="199">
        <f t="shared" si="244"/>
        <v>3136.5650564558905</v>
      </c>
      <c r="CT99" s="204">
        <f t="shared" si="265"/>
        <v>12</v>
      </c>
      <c r="CU99" s="756">
        <f>'Energy NPV'!$D24</f>
        <v>0</v>
      </c>
      <c r="CV99" s="197">
        <f>'Energy margins'!$E$12</f>
        <v>269.5</v>
      </c>
      <c r="CW99" s="197">
        <f t="shared" si="266"/>
        <v>0</v>
      </c>
      <c r="CX99" s="197">
        <f>'Margins summary'!$Q$14</f>
        <v>471.64</v>
      </c>
      <c r="CY99" s="197">
        <f t="shared" si="245"/>
        <v>471.64</v>
      </c>
      <c r="CZ99" s="197"/>
      <c r="DA99" s="913">
        <f>'Energy NPV'!$U24</f>
        <v>0</v>
      </c>
      <c r="DB99" s="197"/>
      <c r="DC99" s="197">
        <f t="shared" si="246"/>
        <v>0</v>
      </c>
      <c r="DD99" s="197">
        <f t="shared" si="211"/>
        <v>0</v>
      </c>
      <c r="DE99" s="197">
        <f t="shared" si="212"/>
        <v>471.64</v>
      </c>
      <c r="DF99" s="196">
        <f t="shared" si="247"/>
        <v>0</v>
      </c>
      <c r="DG99" s="197">
        <f t="shared" si="248"/>
        <v>471.64</v>
      </c>
      <c r="DH99" s="197">
        <f t="shared" si="249"/>
        <v>0</v>
      </c>
      <c r="DI99" s="197">
        <f t="shared" si="250"/>
        <v>0</v>
      </c>
      <c r="DJ99" s="199">
        <f t="shared" si="251"/>
        <v>471.64</v>
      </c>
      <c r="DK99" s="196">
        <f t="shared" si="267"/>
        <v>20212.5</v>
      </c>
      <c r="DL99" s="197">
        <f t="shared" si="252"/>
        <v>5659.68</v>
      </c>
      <c r="DM99" s="197">
        <f t="shared" si="252"/>
        <v>16598.311999999998</v>
      </c>
      <c r="DN99" s="197">
        <f t="shared" si="252"/>
        <v>3614.1879999999987</v>
      </c>
      <c r="DO99" s="199">
        <f t="shared" si="252"/>
        <v>9273.8680000000022</v>
      </c>
    </row>
    <row r="100" spans="2:119" x14ac:dyDescent="0.3">
      <c r="B100" s="204">
        <f t="shared" si="253"/>
        <v>13</v>
      </c>
      <c r="C100" s="756">
        <f>'Energy NPV'!$D25</f>
        <v>25</v>
      </c>
      <c r="D100" s="197">
        <f>'Energy margins'!$E$12</f>
        <v>269.5</v>
      </c>
      <c r="E100" s="197">
        <f t="shared" si="254"/>
        <v>6737.5</v>
      </c>
      <c r="F100" s="197">
        <f>'Margins summary'!$Q$14</f>
        <v>471.64</v>
      </c>
      <c r="G100" s="197">
        <f t="shared" si="213"/>
        <v>7209.14</v>
      </c>
      <c r="H100" s="197"/>
      <c r="I100" s="917">
        <f>'Energy NPV'!$U25</f>
        <v>2120.8000000000002</v>
      </c>
      <c r="J100" s="197"/>
      <c r="K100" s="197">
        <f t="shared" si="214"/>
        <v>2120.8000000000002</v>
      </c>
      <c r="L100" s="197">
        <f t="shared" si="203"/>
        <v>4616.7</v>
      </c>
      <c r="M100" s="197">
        <f t="shared" si="204"/>
        <v>5088.34</v>
      </c>
      <c r="N100" s="196">
        <f t="shared" si="215"/>
        <v>4208.2226215456885</v>
      </c>
      <c r="O100" s="197">
        <f t="shared" si="216"/>
        <v>294.58495246394193</v>
      </c>
      <c r="P100" s="197">
        <f t="shared" si="217"/>
        <v>1324.6454227494023</v>
      </c>
      <c r="Q100" s="197">
        <f t="shared" si="218"/>
        <v>2883.5771987962867</v>
      </c>
      <c r="R100" s="199">
        <f t="shared" si="219"/>
        <v>3178.1621512602287</v>
      </c>
      <c r="S100" s="196">
        <f t="shared" si="255"/>
        <v>20256.257836160206</v>
      </c>
      <c r="T100" s="197">
        <f t="shared" si="220"/>
        <v>4898.016188401446</v>
      </c>
      <c r="U100" s="197">
        <f t="shared" si="220"/>
        <v>16247.143881364336</v>
      </c>
      <c r="V100" s="197">
        <f t="shared" si="220"/>
        <v>4009.1139547958664</v>
      </c>
      <c r="W100" s="199">
        <f t="shared" si="220"/>
        <v>8907.1301431973152</v>
      </c>
      <c r="Z100" s="204">
        <f t="shared" si="256"/>
        <v>13</v>
      </c>
      <c r="AA100" s="756">
        <f>'Energy NPV'!$D25</f>
        <v>25</v>
      </c>
      <c r="AB100" s="197">
        <f>'Energy margins'!$E$12</f>
        <v>269.5</v>
      </c>
      <c r="AC100" s="197">
        <f t="shared" si="257"/>
        <v>6737.5</v>
      </c>
      <c r="AD100" s="197">
        <f>'Margins summary'!$Q$14</f>
        <v>471.64</v>
      </c>
      <c r="AE100" s="197">
        <f t="shared" si="221"/>
        <v>7209.14</v>
      </c>
      <c r="AF100" s="197"/>
      <c r="AG100" s="913">
        <f>'Energy NPV'!$U25</f>
        <v>2120.8000000000002</v>
      </c>
      <c r="AH100" s="197"/>
      <c r="AI100" s="197">
        <f t="shared" si="222"/>
        <v>2120.8000000000002</v>
      </c>
      <c r="AJ100" s="197">
        <f t="shared" si="205"/>
        <v>4616.7</v>
      </c>
      <c r="AK100" s="197">
        <f t="shared" si="206"/>
        <v>5088.34</v>
      </c>
      <c r="AL100" s="196">
        <f t="shared" si="223"/>
        <v>3348.3310871000408</v>
      </c>
      <c r="AM100" s="197">
        <f t="shared" si="224"/>
        <v>234.3906306374565</v>
      </c>
      <c r="AN100" s="197">
        <f t="shared" si="225"/>
        <v>1053.9726262741028</v>
      </c>
      <c r="AO100" s="197">
        <f t="shared" si="226"/>
        <v>2294.358460825938</v>
      </c>
      <c r="AP100" s="199">
        <f t="shared" si="227"/>
        <v>2528.749091463395</v>
      </c>
      <c r="AQ100" s="196">
        <f t="shared" si="258"/>
        <v>17742.853545776034</v>
      </c>
      <c r="AR100" s="197">
        <f t="shared" si="228"/>
        <v>4425.7961560423864</v>
      </c>
      <c r="AS100" s="197">
        <f t="shared" si="228"/>
        <v>15304.974923186655</v>
      </c>
      <c r="AT100" s="197">
        <f t="shared" si="228"/>
        <v>2437.8786225893764</v>
      </c>
      <c r="AU100" s="199">
        <f t="shared" si="228"/>
        <v>6863.6747786317683</v>
      </c>
      <c r="AX100" s="204">
        <f t="shared" si="259"/>
        <v>13</v>
      </c>
      <c r="AY100" s="756">
        <f>'Energy NPV'!$D25</f>
        <v>25</v>
      </c>
      <c r="AZ100" s="197">
        <f>'Energy margins'!$E$12</f>
        <v>269.5</v>
      </c>
      <c r="BA100" s="197">
        <f t="shared" si="260"/>
        <v>6737.5</v>
      </c>
      <c r="BB100" s="197">
        <f>'Margins summary'!$Q$14</f>
        <v>471.64</v>
      </c>
      <c r="BC100" s="197">
        <f t="shared" si="229"/>
        <v>7209.14</v>
      </c>
      <c r="BD100" s="197"/>
      <c r="BE100" s="913">
        <f>'Energy NPV'!$U25</f>
        <v>2120.8000000000002</v>
      </c>
      <c r="BF100" s="197"/>
      <c r="BG100" s="197">
        <f t="shared" si="230"/>
        <v>2120.8000000000002</v>
      </c>
      <c r="BH100" s="197">
        <f t="shared" si="207"/>
        <v>4616.7</v>
      </c>
      <c r="BI100" s="197">
        <f t="shared" si="208"/>
        <v>5088.34</v>
      </c>
      <c r="BJ100" s="196">
        <f t="shared" si="231"/>
        <v>5312.4727704814095</v>
      </c>
      <c r="BK100" s="197">
        <f t="shared" si="232"/>
        <v>371.88492133133241</v>
      </c>
      <c r="BL100" s="197">
        <f t="shared" si="233"/>
        <v>1672.236326773577</v>
      </c>
      <c r="BM100" s="197">
        <f t="shared" si="234"/>
        <v>3640.2364437078331</v>
      </c>
      <c r="BN100" s="199">
        <f t="shared" si="235"/>
        <v>4012.1213650391655</v>
      </c>
      <c r="BO100" s="196">
        <f t="shared" si="261"/>
        <v>23281.715290788627</v>
      </c>
      <c r="BP100" s="197">
        <f t="shared" si="236"/>
        <v>5459.3939334333791</v>
      </c>
      <c r="BQ100" s="197">
        <f t="shared" si="236"/>
        <v>17370.275450357047</v>
      </c>
      <c r="BR100" s="197">
        <f t="shared" si="236"/>
        <v>5911.4398404315789</v>
      </c>
      <c r="BS100" s="199">
        <f t="shared" si="236"/>
        <v>11370.833773864961</v>
      </c>
      <c r="BV100" s="204">
        <f t="shared" si="262"/>
        <v>13</v>
      </c>
      <c r="BW100" s="756">
        <f>'Energy NPV'!$D25</f>
        <v>25</v>
      </c>
      <c r="BX100" s="197">
        <f>'Energy margins'!$E$12</f>
        <v>269.5</v>
      </c>
      <c r="BY100" s="197">
        <f t="shared" si="263"/>
        <v>6737.5</v>
      </c>
      <c r="BZ100" s="197">
        <f>'Margins summary'!$Q$14</f>
        <v>471.64</v>
      </c>
      <c r="CA100" s="197">
        <f t="shared" si="237"/>
        <v>7209.14</v>
      </c>
      <c r="CB100" s="197"/>
      <c r="CC100" s="913">
        <f>'Energy NPV'!$U25</f>
        <v>2120.8000000000002</v>
      </c>
      <c r="CD100" s="197"/>
      <c r="CE100" s="197">
        <f t="shared" si="238"/>
        <v>2120.8000000000002</v>
      </c>
      <c r="CF100" s="197">
        <f t="shared" si="209"/>
        <v>4616.7</v>
      </c>
      <c r="CG100" s="197">
        <f t="shared" si="210"/>
        <v>5088.34</v>
      </c>
      <c r="CH100" s="196">
        <f t="shared" si="239"/>
        <v>2675.5539488773661</v>
      </c>
      <c r="CI100" s="197">
        <f t="shared" si="240"/>
        <v>187.29473312779533</v>
      </c>
      <c r="CJ100" s="197">
        <f t="shared" si="241"/>
        <v>842.19885933641831</v>
      </c>
      <c r="CK100" s="197">
        <f t="shared" si="242"/>
        <v>1833.3550895409478</v>
      </c>
      <c r="CL100" s="199">
        <f t="shared" si="243"/>
        <v>2020.6498226687434</v>
      </c>
      <c r="CM100" s="196">
        <f t="shared" si="264"/>
        <v>15640.193949923882</v>
      </c>
      <c r="CN100" s="197">
        <f t="shared" si="244"/>
        <v>4025.9558359025568</v>
      </c>
      <c r="CO100" s="197">
        <f t="shared" si="244"/>
        <v>14508.934906701807</v>
      </c>
      <c r="CP100" s="197">
        <f t="shared" si="244"/>
        <v>1131.2590432220757</v>
      </c>
      <c r="CQ100" s="199">
        <f t="shared" si="244"/>
        <v>5157.2148791246336</v>
      </c>
      <c r="CT100" s="204">
        <f t="shared" si="265"/>
        <v>13</v>
      </c>
      <c r="CU100" s="756">
        <f>'Energy NPV'!$D25</f>
        <v>25</v>
      </c>
      <c r="CV100" s="197">
        <f>'Energy margins'!$E$12</f>
        <v>269.5</v>
      </c>
      <c r="CW100" s="197">
        <f t="shared" si="266"/>
        <v>6737.5</v>
      </c>
      <c r="CX100" s="197">
        <f>'Margins summary'!$Q$14</f>
        <v>471.64</v>
      </c>
      <c r="CY100" s="197">
        <f t="shared" si="245"/>
        <v>7209.14</v>
      </c>
      <c r="CZ100" s="197"/>
      <c r="DA100" s="913">
        <f>'Energy NPV'!$U25</f>
        <v>2120.8000000000002</v>
      </c>
      <c r="DB100" s="197"/>
      <c r="DC100" s="197">
        <f t="shared" si="246"/>
        <v>2120.8000000000002</v>
      </c>
      <c r="DD100" s="197">
        <f t="shared" si="211"/>
        <v>4616.7</v>
      </c>
      <c r="DE100" s="197">
        <f t="shared" si="212"/>
        <v>5088.34</v>
      </c>
      <c r="DF100" s="196">
        <f t="shared" si="247"/>
        <v>6737.5</v>
      </c>
      <c r="DG100" s="197">
        <f t="shared" si="248"/>
        <v>471.64</v>
      </c>
      <c r="DH100" s="197">
        <f t="shared" si="249"/>
        <v>2120.8000000000002</v>
      </c>
      <c r="DI100" s="197">
        <f t="shared" si="250"/>
        <v>4616.7</v>
      </c>
      <c r="DJ100" s="199">
        <f t="shared" si="251"/>
        <v>5088.34</v>
      </c>
      <c r="DK100" s="196">
        <f t="shared" si="267"/>
        <v>26950</v>
      </c>
      <c r="DL100" s="197">
        <f t="shared" si="252"/>
        <v>6131.3200000000006</v>
      </c>
      <c r="DM100" s="197">
        <f t="shared" si="252"/>
        <v>18719.111999999997</v>
      </c>
      <c r="DN100" s="197">
        <f t="shared" si="252"/>
        <v>8230.887999999999</v>
      </c>
      <c r="DO100" s="199">
        <f t="shared" si="252"/>
        <v>14362.208000000002</v>
      </c>
    </row>
    <row r="101" spans="2:119" x14ac:dyDescent="0.3">
      <c r="B101" s="204">
        <f t="shared" si="253"/>
        <v>14</v>
      </c>
      <c r="C101" s="756">
        <f>'Energy NPV'!$D26</f>
        <v>0</v>
      </c>
      <c r="D101" s="197">
        <f>'Energy margins'!$E$12</f>
        <v>269.5</v>
      </c>
      <c r="E101" s="197">
        <f t="shared" si="254"/>
        <v>0</v>
      </c>
      <c r="F101" s="197">
        <f>'Margins summary'!$Q$14</f>
        <v>471.64</v>
      </c>
      <c r="G101" s="197">
        <f t="shared" si="213"/>
        <v>471.64</v>
      </c>
      <c r="H101" s="197"/>
      <c r="I101" s="917">
        <f>'Energy NPV'!$U26</f>
        <v>0</v>
      </c>
      <c r="J101" s="197"/>
      <c r="K101" s="197">
        <f t="shared" si="214"/>
        <v>0</v>
      </c>
      <c r="L101" s="197">
        <f t="shared" si="203"/>
        <v>0</v>
      </c>
      <c r="M101" s="197">
        <f t="shared" si="204"/>
        <v>471.64</v>
      </c>
      <c r="N101" s="196">
        <f t="shared" si="215"/>
        <v>0</v>
      </c>
      <c r="O101" s="197">
        <f t="shared" si="216"/>
        <v>283.25476198455954</v>
      </c>
      <c r="P101" s="197">
        <f t="shared" si="217"/>
        <v>0</v>
      </c>
      <c r="Q101" s="197">
        <f t="shared" si="218"/>
        <v>0</v>
      </c>
      <c r="R101" s="199">
        <f t="shared" si="219"/>
        <v>283.25476198455954</v>
      </c>
      <c r="S101" s="196">
        <f t="shared" si="255"/>
        <v>20256.257836160206</v>
      </c>
      <c r="T101" s="197">
        <f t="shared" si="220"/>
        <v>5181.270950386006</v>
      </c>
      <c r="U101" s="197">
        <f t="shared" si="220"/>
        <v>16247.143881364336</v>
      </c>
      <c r="V101" s="197">
        <f t="shared" si="220"/>
        <v>4009.1139547958664</v>
      </c>
      <c r="W101" s="199">
        <f t="shared" si="220"/>
        <v>9190.3849051818743</v>
      </c>
      <c r="Z101" s="204">
        <f t="shared" si="256"/>
        <v>14</v>
      </c>
      <c r="AA101" s="756">
        <f>'Energy NPV'!$D26</f>
        <v>0</v>
      </c>
      <c r="AB101" s="197">
        <f>'Energy margins'!$E$12</f>
        <v>269.5</v>
      </c>
      <c r="AC101" s="197">
        <f t="shared" si="257"/>
        <v>0</v>
      </c>
      <c r="AD101" s="197">
        <f>'Margins summary'!$Q$14</f>
        <v>471.64</v>
      </c>
      <c r="AE101" s="197">
        <f t="shared" si="221"/>
        <v>471.64</v>
      </c>
      <c r="AF101" s="197"/>
      <c r="AG101" s="913">
        <f>'Energy NPV'!$U26</f>
        <v>0</v>
      </c>
      <c r="AH101" s="197"/>
      <c r="AI101" s="197">
        <f t="shared" si="222"/>
        <v>0</v>
      </c>
      <c r="AJ101" s="197">
        <f t="shared" si="205"/>
        <v>0</v>
      </c>
      <c r="AK101" s="197">
        <f t="shared" si="206"/>
        <v>471.64</v>
      </c>
      <c r="AL101" s="196">
        <f t="shared" si="223"/>
        <v>0</v>
      </c>
      <c r="AM101" s="197">
        <f t="shared" si="224"/>
        <v>221.12323645043065</v>
      </c>
      <c r="AN101" s="197">
        <f t="shared" si="225"/>
        <v>0</v>
      </c>
      <c r="AO101" s="197">
        <f t="shared" si="226"/>
        <v>0</v>
      </c>
      <c r="AP101" s="199">
        <f t="shared" si="227"/>
        <v>221.12323645043065</v>
      </c>
      <c r="AQ101" s="196">
        <f t="shared" si="258"/>
        <v>17742.853545776034</v>
      </c>
      <c r="AR101" s="197">
        <f t="shared" si="228"/>
        <v>4646.9193924928168</v>
      </c>
      <c r="AS101" s="197">
        <f t="shared" si="228"/>
        <v>15304.974923186655</v>
      </c>
      <c r="AT101" s="197">
        <f t="shared" si="228"/>
        <v>2437.8786225893764</v>
      </c>
      <c r="AU101" s="199">
        <f t="shared" si="228"/>
        <v>7084.7980150821986</v>
      </c>
      <c r="AX101" s="204">
        <f t="shared" si="259"/>
        <v>14</v>
      </c>
      <c r="AY101" s="756">
        <f>'Energy NPV'!$D26</f>
        <v>0</v>
      </c>
      <c r="AZ101" s="197">
        <f>'Energy margins'!$E$12</f>
        <v>269.5</v>
      </c>
      <c r="BA101" s="197">
        <f t="shared" si="260"/>
        <v>0</v>
      </c>
      <c r="BB101" s="197">
        <f>'Margins summary'!$Q$14</f>
        <v>471.64</v>
      </c>
      <c r="BC101" s="197">
        <f t="shared" si="229"/>
        <v>471.64</v>
      </c>
      <c r="BD101" s="197"/>
      <c r="BE101" s="913">
        <f>'Energy NPV'!$U26</f>
        <v>0</v>
      </c>
      <c r="BF101" s="197"/>
      <c r="BG101" s="197">
        <f t="shared" si="230"/>
        <v>0</v>
      </c>
      <c r="BH101" s="197">
        <f t="shared" si="207"/>
        <v>0</v>
      </c>
      <c r="BI101" s="197">
        <f t="shared" si="208"/>
        <v>471.64</v>
      </c>
      <c r="BJ101" s="196">
        <f t="shared" si="231"/>
        <v>0</v>
      </c>
      <c r="BK101" s="197">
        <f t="shared" si="232"/>
        <v>364.59306012875732</v>
      </c>
      <c r="BL101" s="197">
        <f t="shared" si="233"/>
        <v>0</v>
      </c>
      <c r="BM101" s="197">
        <f t="shared" si="234"/>
        <v>0</v>
      </c>
      <c r="BN101" s="199">
        <f t="shared" si="235"/>
        <v>364.59306012875732</v>
      </c>
      <c r="BO101" s="196">
        <f t="shared" si="261"/>
        <v>23281.715290788627</v>
      </c>
      <c r="BP101" s="197">
        <f t="shared" si="236"/>
        <v>5823.9869935621364</v>
      </c>
      <c r="BQ101" s="197">
        <f t="shared" si="236"/>
        <v>17370.275450357047</v>
      </c>
      <c r="BR101" s="197">
        <f t="shared" si="236"/>
        <v>5911.4398404315789</v>
      </c>
      <c r="BS101" s="199">
        <f t="shared" si="236"/>
        <v>11735.426833993719</v>
      </c>
      <c r="BV101" s="204">
        <f t="shared" si="262"/>
        <v>14</v>
      </c>
      <c r="BW101" s="756">
        <f>'Energy NPV'!$D26</f>
        <v>0</v>
      </c>
      <c r="BX101" s="197">
        <f>'Energy margins'!$E$12</f>
        <v>269.5</v>
      </c>
      <c r="BY101" s="197">
        <f t="shared" si="263"/>
        <v>0</v>
      </c>
      <c r="BZ101" s="197">
        <f>'Margins summary'!$Q$14</f>
        <v>471.64</v>
      </c>
      <c r="CA101" s="197">
        <f t="shared" si="237"/>
        <v>471.64</v>
      </c>
      <c r="CB101" s="197"/>
      <c r="CC101" s="913">
        <f>'Energy NPV'!$U26</f>
        <v>0</v>
      </c>
      <c r="CD101" s="197"/>
      <c r="CE101" s="197">
        <f t="shared" si="238"/>
        <v>0</v>
      </c>
      <c r="CF101" s="197">
        <f t="shared" si="209"/>
        <v>0</v>
      </c>
      <c r="CG101" s="197">
        <f t="shared" si="210"/>
        <v>471.64</v>
      </c>
      <c r="CH101" s="196">
        <f t="shared" si="239"/>
        <v>0</v>
      </c>
      <c r="CI101" s="197">
        <f t="shared" si="240"/>
        <v>173.42104919240307</v>
      </c>
      <c r="CJ101" s="197">
        <f t="shared" si="241"/>
        <v>0</v>
      </c>
      <c r="CK101" s="197">
        <f t="shared" si="242"/>
        <v>0</v>
      </c>
      <c r="CL101" s="199">
        <f t="shared" si="243"/>
        <v>173.42104919240307</v>
      </c>
      <c r="CM101" s="196">
        <f t="shared" si="264"/>
        <v>15640.193949923882</v>
      </c>
      <c r="CN101" s="197">
        <f t="shared" si="244"/>
        <v>4199.37688509496</v>
      </c>
      <c r="CO101" s="197">
        <f t="shared" si="244"/>
        <v>14508.934906701807</v>
      </c>
      <c r="CP101" s="197">
        <f t="shared" si="244"/>
        <v>1131.2590432220757</v>
      </c>
      <c r="CQ101" s="199">
        <f t="shared" si="244"/>
        <v>5330.6359283170368</v>
      </c>
      <c r="CT101" s="204">
        <f t="shared" si="265"/>
        <v>14</v>
      </c>
      <c r="CU101" s="756">
        <f>'Energy NPV'!$D26</f>
        <v>0</v>
      </c>
      <c r="CV101" s="197">
        <f>'Energy margins'!$E$12</f>
        <v>269.5</v>
      </c>
      <c r="CW101" s="197">
        <f t="shared" si="266"/>
        <v>0</v>
      </c>
      <c r="CX101" s="197">
        <f>'Margins summary'!$Q$14</f>
        <v>471.64</v>
      </c>
      <c r="CY101" s="197">
        <f t="shared" si="245"/>
        <v>471.64</v>
      </c>
      <c r="CZ101" s="197"/>
      <c r="DA101" s="913">
        <f>'Energy NPV'!$U26</f>
        <v>0</v>
      </c>
      <c r="DB101" s="197"/>
      <c r="DC101" s="197">
        <f t="shared" si="246"/>
        <v>0</v>
      </c>
      <c r="DD101" s="197">
        <f t="shared" si="211"/>
        <v>0</v>
      </c>
      <c r="DE101" s="197">
        <f t="shared" si="212"/>
        <v>471.64</v>
      </c>
      <c r="DF101" s="196">
        <f t="shared" si="247"/>
        <v>0</v>
      </c>
      <c r="DG101" s="197">
        <f t="shared" si="248"/>
        <v>471.64</v>
      </c>
      <c r="DH101" s="197">
        <f t="shared" si="249"/>
        <v>0</v>
      </c>
      <c r="DI101" s="197">
        <f t="shared" si="250"/>
        <v>0</v>
      </c>
      <c r="DJ101" s="199">
        <f t="shared" si="251"/>
        <v>471.64</v>
      </c>
      <c r="DK101" s="196">
        <f t="shared" si="267"/>
        <v>26950</v>
      </c>
      <c r="DL101" s="197">
        <f t="shared" si="252"/>
        <v>6602.9600000000009</v>
      </c>
      <c r="DM101" s="197">
        <f t="shared" si="252"/>
        <v>18719.111999999997</v>
      </c>
      <c r="DN101" s="197">
        <f t="shared" si="252"/>
        <v>8230.887999999999</v>
      </c>
      <c r="DO101" s="199">
        <f t="shared" si="252"/>
        <v>14833.848000000002</v>
      </c>
    </row>
    <row r="102" spans="2:119" x14ac:dyDescent="0.3">
      <c r="B102" s="204">
        <f t="shared" si="253"/>
        <v>15</v>
      </c>
      <c r="C102" s="756">
        <f>'Energy NPV'!$D27</f>
        <v>0</v>
      </c>
      <c r="D102" s="197">
        <f>'Energy margins'!$E$12</f>
        <v>269.5</v>
      </c>
      <c r="E102" s="197">
        <f t="shared" si="254"/>
        <v>0</v>
      </c>
      <c r="F102" s="197">
        <f>'Margins summary'!$Q$14</f>
        <v>471.64</v>
      </c>
      <c r="G102" s="197">
        <f t="shared" si="213"/>
        <v>471.64</v>
      </c>
      <c r="H102" s="197"/>
      <c r="I102" s="917">
        <f>'Energy NPV'!$U27</f>
        <v>0</v>
      </c>
      <c r="J102" s="197"/>
      <c r="K102" s="197">
        <f t="shared" si="214"/>
        <v>0</v>
      </c>
      <c r="L102" s="197">
        <f t="shared" si="203"/>
        <v>0</v>
      </c>
      <c r="M102" s="197">
        <f t="shared" si="204"/>
        <v>471.64</v>
      </c>
      <c r="N102" s="196">
        <f t="shared" si="215"/>
        <v>0</v>
      </c>
      <c r="O102" s="197">
        <f t="shared" si="216"/>
        <v>272.36034806207647</v>
      </c>
      <c r="P102" s="197">
        <f t="shared" si="217"/>
        <v>0</v>
      </c>
      <c r="Q102" s="197">
        <f t="shared" si="218"/>
        <v>0</v>
      </c>
      <c r="R102" s="199">
        <f t="shared" si="219"/>
        <v>272.36034806207647</v>
      </c>
      <c r="S102" s="196">
        <f t="shared" si="255"/>
        <v>20256.257836160206</v>
      </c>
      <c r="T102" s="197">
        <f t="shared" si="220"/>
        <v>5453.6312984480828</v>
      </c>
      <c r="U102" s="197">
        <f t="shared" si="220"/>
        <v>16247.143881364336</v>
      </c>
      <c r="V102" s="197">
        <f t="shared" si="220"/>
        <v>4009.1139547958664</v>
      </c>
      <c r="W102" s="199">
        <f t="shared" si="220"/>
        <v>9462.7452532439511</v>
      </c>
      <c r="Z102" s="204">
        <f t="shared" si="256"/>
        <v>15</v>
      </c>
      <c r="AA102" s="756">
        <f>'Energy NPV'!$D27</f>
        <v>0</v>
      </c>
      <c r="AB102" s="197">
        <f>'Energy margins'!$E$12</f>
        <v>269.5</v>
      </c>
      <c r="AC102" s="197">
        <f t="shared" si="257"/>
        <v>0</v>
      </c>
      <c r="AD102" s="197">
        <f>'Margins summary'!$Q$14</f>
        <v>471.64</v>
      </c>
      <c r="AE102" s="197">
        <f t="shared" si="221"/>
        <v>471.64</v>
      </c>
      <c r="AF102" s="197"/>
      <c r="AG102" s="913">
        <f>'Energy NPV'!$U27</f>
        <v>0</v>
      </c>
      <c r="AH102" s="197"/>
      <c r="AI102" s="197">
        <f t="shared" si="222"/>
        <v>0</v>
      </c>
      <c r="AJ102" s="197">
        <f t="shared" si="205"/>
        <v>0</v>
      </c>
      <c r="AK102" s="197">
        <f t="shared" si="206"/>
        <v>471.64</v>
      </c>
      <c r="AL102" s="196">
        <f t="shared" si="223"/>
        <v>0</v>
      </c>
      <c r="AM102" s="197">
        <f t="shared" si="224"/>
        <v>208.60682684002893</v>
      </c>
      <c r="AN102" s="197">
        <f t="shared" si="225"/>
        <v>0</v>
      </c>
      <c r="AO102" s="197">
        <f t="shared" si="226"/>
        <v>0</v>
      </c>
      <c r="AP102" s="199">
        <f t="shared" si="227"/>
        <v>208.60682684002893</v>
      </c>
      <c r="AQ102" s="196">
        <f t="shared" si="258"/>
        <v>17742.853545776034</v>
      </c>
      <c r="AR102" s="197">
        <f t="shared" si="228"/>
        <v>4855.5262193328454</v>
      </c>
      <c r="AS102" s="197">
        <f t="shared" si="228"/>
        <v>15304.974923186655</v>
      </c>
      <c r="AT102" s="197">
        <f t="shared" si="228"/>
        <v>2437.8786225893764</v>
      </c>
      <c r="AU102" s="199">
        <f t="shared" si="228"/>
        <v>7293.4048419222272</v>
      </c>
      <c r="AX102" s="204">
        <f t="shared" si="259"/>
        <v>15</v>
      </c>
      <c r="AY102" s="756">
        <f>'Energy NPV'!$D27</f>
        <v>0</v>
      </c>
      <c r="AZ102" s="197">
        <f>'Energy margins'!$E$12</f>
        <v>269.5</v>
      </c>
      <c r="BA102" s="197">
        <f t="shared" si="260"/>
        <v>0</v>
      </c>
      <c r="BB102" s="197">
        <f>'Margins summary'!$Q$14</f>
        <v>471.64</v>
      </c>
      <c r="BC102" s="197">
        <f t="shared" si="229"/>
        <v>471.64</v>
      </c>
      <c r="BD102" s="197"/>
      <c r="BE102" s="913">
        <f>'Energy NPV'!$U27</f>
        <v>0</v>
      </c>
      <c r="BF102" s="197"/>
      <c r="BG102" s="197">
        <f t="shared" si="230"/>
        <v>0</v>
      </c>
      <c r="BH102" s="197">
        <f t="shared" si="207"/>
        <v>0</v>
      </c>
      <c r="BI102" s="197">
        <f t="shared" si="208"/>
        <v>471.64</v>
      </c>
      <c r="BJ102" s="196">
        <f t="shared" si="231"/>
        <v>0</v>
      </c>
      <c r="BK102" s="197">
        <f t="shared" si="232"/>
        <v>357.44417659682085</v>
      </c>
      <c r="BL102" s="197">
        <f t="shared" si="233"/>
        <v>0</v>
      </c>
      <c r="BM102" s="197">
        <f t="shared" si="234"/>
        <v>0</v>
      </c>
      <c r="BN102" s="199">
        <f t="shared" si="235"/>
        <v>357.44417659682085</v>
      </c>
      <c r="BO102" s="196">
        <f t="shared" si="261"/>
        <v>23281.715290788627</v>
      </c>
      <c r="BP102" s="197">
        <f t="shared" si="236"/>
        <v>6181.4311701589577</v>
      </c>
      <c r="BQ102" s="197">
        <f t="shared" si="236"/>
        <v>17370.275450357047</v>
      </c>
      <c r="BR102" s="197">
        <f t="shared" si="236"/>
        <v>5911.4398404315789</v>
      </c>
      <c r="BS102" s="199">
        <f t="shared" si="236"/>
        <v>12092.871010590539</v>
      </c>
      <c r="BV102" s="204">
        <f t="shared" si="262"/>
        <v>15</v>
      </c>
      <c r="BW102" s="756">
        <f>'Energy NPV'!$D27</f>
        <v>0</v>
      </c>
      <c r="BX102" s="197">
        <f>'Energy margins'!$E$12</f>
        <v>269.5</v>
      </c>
      <c r="BY102" s="197">
        <f t="shared" si="263"/>
        <v>0</v>
      </c>
      <c r="BZ102" s="197">
        <f>'Margins summary'!$Q$14</f>
        <v>471.64</v>
      </c>
      <c r="CA102" s="197">
        <f t="shared" si="237"/>
        <v>471.64</v>
      </c>
      <c r="CB102" s="197"/>
      <c r="CC102" s="913">
        <f>'Energy NPV'!$U27</f>
        <v>0</v>
      </c>
      <c r="CD102" s="197"/>
      <c r="CE102" s="197">
        <f t="shared" si="238"/>
        <v>0</v>
      </c>
      <c r="CF102" s="197">
        <f t="shared" si="209"/>
        <v>0</v>
      </c>
      <c r="CG102" s="197">
        <f t="shared" si="210"/>
        <v>471.64</v>
      </c>
      <c r="CH102" s="196">
        <f t="shared" si="239"/>
        <v>0</v>
      </c>
      <c r="CI102" s="197">
        <f t="shared" si="240"/>
        <v>160.57504554852133</v>
      </c>
      <c r="CJ102" s="197">
        <f t="shared" si="241"/>
        <v>0</v>
      </c>
      <c r="CK102" s="197">
        <f t="shared" si="242"/>
        <v>0</v>
      </c>
      <c r="CL102" s="199">
        <f t="shared" si="243"/>
        <v>160.57504554852133</v>
      </c>
      <c r="CM102" s="196">
        <f t="shared" si="264"/>
        <v>15640.193949923882</v>
      </c>
      <c r="CN102" s="197">
        <f t="shared" si="244"/>
        <v>4359.9519306434813</v>
      </c>
      <c r="CO102" s="197">
        <f t="shared" si="244"/>
        <v>14508.934906701807</v>
      </c>
      <c r="CP102" s="197">
        <f t="shared" si="244"/>
        <v>1131.2590432220757</v>
      </c>
      <c r="CQ102" s="199">
        <f t="shared" si="244"/>
        <v>5491.2109738655581</v>
      </c>
      <c r="CT102" s="204">
        <f t="shared" si="265"/>
        <v>15</v>
      </c>
      <c r="CU102" s="756">
        <f>'Energy NPV'!$D27</f>
        <v>0</v>
      </c>
      <c r="CV102" s="197">
        <f>'Energy margins'!$E$12</f>
        <v>269.5</v>
      </c>
      <c r="CW102" s="197">
        <f t="shared" si="266"/>
        <v>0</v>
      </c>
      <c r="CX102" s="197">
        <f>'Margins summary'!$Q$14</f>
        <v>471.64</v>
      </c>
      <c r="CY102" s="197">
        <f t="shared" si="245"/>
        <v>471.64</v>
      </c>
      <c r="CZ102" s="197"/>
      <c r="DA102" s="913">
        <f>'Energy NPV'!$U27</f>
        <v>0</v>
      </c>
      <c r="DB102" s="197"/>
      <c r="DC102" s="197">
        <f t="shared" si="246"/>
        <v>0</v>
      </c>
      <c r="DD102" s="197">
        <f t="shared" si="211"/>
        <v>0</v>
      </c>
      <c r="DE102" s="197">
        <f t="shared" si="212"/>
        <v>471.64</v>
      </c>
      <c r="DF102" s="196">
        <f t="shared" si="247"/>
        <v>0</v>
      </c>
      <c r="DG102" s="197">
        <f t="shared" si="248"/>
        <v>471.64</v>
      </c>
      <c r="DH102" s="197">
        <f t="shared" si="249"/>
        <v>0</v>
      </c>
      <c r="DI102" s="197">
        <f t="shared" si="250"/>
        <v>0</v>
      </c>
      <c r="DJ102" s="199">
        <f t="shared" si="251"/>
        <v>471.64</v>
      </c>
      <c r="DK102" s="196">
        <f t="shared" si="267"/>
        <v>26950</v>
      </c>
      <c r="DL102" s="197">
        <f t="shared" si="252"/>
        <v>7074.6000000000013</v>
      </c>
      <c r="DM102" s="197">
        <f t="shared" si="252"/>
        <v>18719.111999999997</v>
      </c>
      <c r="DN102" s="197">
        <f t="shared" si="252"/>
        <v>8230.887999999999</v>
      </c>
      <c r="DO102" s="199">
        <f t="shared" si="252"/>
        <v>15305.488000000001</v>
      </c>
    </row>
    <row r="103" spans="2:119" x14ac:dyDescent="0.3">
      <c r="B103" s="206">
        <f t="shared" si="253"/>
        <v>16</v>
      </c>
      <c r="C103" s="215">
        <f>'Energy NPV'!$D28</f>
        <v>25</v>
      </c>
      <c r="D103" s="207">
        <f>'Energy margins'!$E$12</f>
        <v>269.5</v>
      </c>
      <c r="E103" s="207">
        <f t="shared" si="254"/>
        <v>6737.5</v>
      </c>
      <c r="F103" s="207">
        <f>'Margins summary'!$Q$14</f>
        <v>471.64</v>
      </c>
      <c r="G103" s="207">
        <f t="shared" si="213"/>
        <v>7209.14</v>
      </c>
      <c r="H103" s="207"/>
      <c r="I103" s="914">
        <f>'Energy NPV'!$U28</f>
        <v>2120.8000000000002</v>
      </c>
      <c r="J103" s="207">
        <f>'Energy margins'!$J$67</f>
        <v>2100</v>
      </c>
      <c r="K103" s="207">
        <f t="shared" si="214"/>
        <v>4220.8</v>
      </c>
      <c r="L103" s="207">
        <f t="shared" si="203"/>
        <v>2516.6999999999998</v>
      </c>
      <c r="M103" s="207">
        <f t="shared" si="204"/>
        <v>2988.34</v>
      </c>
      <c r="N103" s="208">
        <f t="shared" si="215"/>
        <v>3741.0945870306891</v>
      </c>
      <c r="O103" s="207">
        <f t="shared" si="216"/>
        <v>261.88495005968895</v>
      </c>
      <c r="P103" s="207">
        <f t="shared" si="217"/>
        <v>2343.6604130521905</v>
      </c>
      <c r="Q103" s="207">
        <f t="shared" si="218"/>
        <v>1397.4341739784986</v>
      </c>
      <c r="R103" s="209">
        <f>M103/((1+$B$4)^(B103-1))</f>
        <v>1659.3191240381877</v>
      </c>
      <c r="S103" s="208">
        <f t="shared" si="255"/>
        <v>23997.352423190896</v>
      </c>
      <c r="T103" s="207">
        <f t="shared" si="220"/>
        <v>5715.5162485077717</v>
      </c>
      <c r="U103" s="207">
        <f t="shared" si="220"/>
        <v>18590.804294416528</v>
      </c>
      <c r="V103" s="207">
        <f t="shared" si="220"/>
        <v>5406.5481287743651</v>
      </c>
      <c r="W103" s="209">
        <f t="shared" si="220"/>
        <v>11122.064377282139</v>
      </c>
      <c r="Z103" s="206">
        <f t="shared" si="256"/>
        <v>16</v>
      </c>
      <c r="AA103" s="215">
        <f>'Energy NPV'!$D28</f>
        <v>25</v>
      </c>
      <c r="AB103" s="207">
        <f>'Energy margins'!$E$12</f>
        <v>269.5</v>
      </c>
      <c r="AC103" s="207">
        <f t="shared" si="257"/>
        <v>6737.5</v>
      </c>
      <c r="AD103" s="207">
        <f>'Margins summary'!$Q$14</f>
        <v>471.64</v>
      </c>
      <c r="AE103" s="207">
        <f t="shared" si="221"/>
        <v>7209.14</v>
      </c>
      <c r="AF103" s="207"/>
      <c r="AG103" s="914">
        <f>'Energy NPV'!$U28</f>
        <v>2120.8000000000002</v>
      </c>
      <c r="AH103" s="207">
        <f>'Energy margins'!$J$67</f>
        <v>2100</v>
      </c>
      <c r="AI103" s="207">
        <f t="shared" si="222"/>
        <v>4220.8</v>
      </c>
      <c r="AJ103" s="207">
        <f t="shared" si="205"/>
        <v>2516.6999999999998</v>
      </c>
      <c r="AK103" s="207">
        <f t="shared" si="206"/>
        <v>2988.34</v>
      </c>
      <c r="AL103" s="208">
        <f t="shared" si="223"/>
        <v>2811.323346705703</v>
      </c>
      <c r="AM103" s="207">
        <f t="shared" si="224"/>
        <v>196.79889324531024</v>
      </c>
      <c r="AN103" s="207">
        <f t="shared" si="225"/>
        <v>1761.1923683525688</v>
      </c>
      <c r="AO103" s="207">
        <f t="shared" si="226"/>
        <v>1050.1309783531344</v>
      </c>
      <c r="AP103" s="209">
        <f t="shared" si="227"/>
        <v>1246.9298715984446</v>
      </c>
      <c r="AQ103" s="208">
        <f>AQ102+AL103</f>
        <v>20554.176892481737</v>
      </c>
      <c r="AR103" s="207">
        <f t="shared" si="228"/>
        <v>5052.3251125781553</v>
      </c>
      <c r="AS103" s="207">
        <f t="shared" si="228"/>
        <v>17066.167291539223</v>
      </c>
      <c r="AT103" s="207">
        <f t="shared" si="228"/>
        <v>3488.0096009425106</v>
      </c>
      <c r="AU103" s="209">
        <f t="shared" si="228"/>
        <v>8540.3347135206714</v>
      </c>
      <c r="AX103" s="206">
        <f t="shared" si="259"/>
        <v>16</v>
      </c>
      <c r="AY103" s="215">
        <f>'Energy NPV'!$D28</f>
        <v>25</v>
      </c>
      <c r="AZ103" s="207">
        <f>'Energy margins'!$E$12</f>
        <v>269.5</v>
      </c>
      <c r="BA103" s="207">
        <f t="shared" si="260"/>
        <v>6737.5</v>
      </c>
      <c r="BB103" s="207">
        <f>'Margins summary'!$Q$14</f>
        <v>471.64</v>
      </c>
      <c r="BC103" s="207">
        <f t="shared" si="229"/>
        <v>7209.14</v>
      </c>
      <c r="BD103" s="207"/>
      <c r="BE103" s="914">
        <f>'Energy NPV'!$U28</f>
        <v>2120.8000000000002</v>
      </c>
      <c r="BF103" s="207">
        <f>'Energy margins'!$J$67</f>
        <v>2100</v>
      </c>
      <c r="BG103" s="207">
        <f t="shared" si="230"/>
        <v>4220.8</v>
      </c>
      <c r="BH103" s="207">
        <f t="shared" si="207"/>
        <v>2516.6999999999998</v>
      </c>
      <c r="BI103" s="207">
        <f t="shared" si="208"/>
        <v>2988.34</v>
      </c>
      <c r="BJ103" s="208">
        <f t="shared" si="231"/>
        <v>5006.0617432976487</v>
      </c>
      <c r="BK103" s="207">
        <f t="shared" si="232"/>
        <v>350.43546725178521</v>
      </c>
      <c r="BL103" s="207">
        <f t="shared" si="233"/>
        <v>3136.1165723355425</v>
      </c>
      <c r="BM103" s="207">
        <f t="shared" si="234"/>
        <v>1869.9451709621064</v>
      </c>
      <c r="BN103" s="209">
        <f t="shared" si="235"/>
        <v>2220.3806382138919</v>
      </c>
      <c r="BO103" s="208">
        <f t="shared" si="261"/>
        <v>28287.777034086277</v>
      </c>
      <c r="BP103" s="207">
        <f t="shared" si="236"/>
        <v>6531.8666374107434</v>
      </c>
      <c r="BQ103" s="207">
        <f t="shared" si="236"/>
        <v>20506.392022692591</v>
      </c>
      <c r="BR103" s="207">
        <f t="shared" si="236"/>
        <v>7781.3850113936851</v>
      </c>
      <c r="BS103" s="209">
        <f t="shared" si="236"/>
        <v>14313.251648804431</v>
      </c>
      <c r="BV103" s="206">
        <f t="shared" si="262"/>
        <v>16</v>
      </c>
      <c r="BW103" s="215">
        <f>'Energy NPV'!$D28</f>
        <v>25</v>
      </c>
      <c r="BX103" s="207">
        <f>'Energy margins'!$E$12</f>
        <v>269.5</v>
      </c>
      <c r="BY103" s="207">
        <f t="shared" si="263"/>
        <v>6737.5</v>
      </c>
      <c r="BZ103" s="207">
        <f>'Margins summary'!$Q$14</f>
        <v>471.64</v>
      </c>
      <c r="CA103" s="207">
        <f t="shared" si="237"/>
        <v>7209.14</v>
      </c>
      <c r="CB103" s="207"/>
      <c r="CC103" s="914">
        <f>'Energy NPV'!$U28</f>
        <v>2120.8000000000002</v>
      </c>
      <c r="CD103" s="207">
        <f>'Energy margins'!$J$67</f>
        <v>2100</v>
      </c>
      <c r="CE103" s="207">
        <f t="shared" si="238"/>
        <v>4220.8</v>
      </c>
      <c r="CF103" s="207">
        <f t="shared" si="209"/>
        <v>2516.6999999999998</v>
      </c>
      <c r="CG103" s="207">
        <f t="shared" si="210"/>
        <v>2988.34</v>
      </c>
      <c r="CH103" s="208">
        <f t="shared" si="239"/>
        <v>2123.9409872076835</v>
      </c>
      <c r="CI103" s="207">
        <f t="shared" si="240"/>
        <v>148.68059773011234</v>
      </c>
      <c r="CJ103" s="207">
        <f t="shared" si="241"/>
        <v>1330.5721883200283</v>
      </c>
      <c r="CK103" s="207">
        <f t="shared" si="242"/>
        <v>793.3687988876552</v>
      </c>
      <c r="CL103" s="209">
        <f t="shared" si="243"/>
        <v>942.04939661776768</v>
      </c>
      <c r="CM103" s="208">
        <f t="shared" si="264"/>
        <v>17764.134937131566</v>
      </c>
      <c r="CN103" s="207">
        <f t="shared" si="244"/>
        <v>4508.6325283735932</v>
      </c>
      <c r="CO103" s="207">
        <f t="shared" si="244"/>
        <v>15839.507095021834</v>
      </c>
      <c r="CP103" s="207">
        <f t="shared" si="244"/>
        <v>1924.6278421097309</v>
      </c>
      <c r="CQ103" s="209">
        <f t="shared" si="244"/>
        <v>6433.2603704833255</v>
      </c>
      <c r="CT103" s="206">
        <f t="shared" si="265"/>
        <v>16</v>
      </c>
      <c r="CU103" s="215">
        <f>'Energy NPV'!$D28</f>
        <v>25</v>
      </c>
      <c r="CV103" s="207">
        <f>'Energy margins'!$E$12</f>
        <v>269.5</v>
      </c>
      <c r="CW103" s="207">
        <f t="shared" si="266"/>
        <v>6737.5</v>
      </c>
      <c r="CX103" s="207">
        <f>'Margins summary'!$Q$14</f>
        <v>471.64</v>
      </c>
      <c r="CY103" s="207">
        <f t="shared" si="245"/>
        <v>7209.14</v>
      </c>
      <c r="CZ103" s="207"/>
      <c r="DA103" s="914">
        <f>'Energy NPV'!$U28</f>
        <v>2120.8000000000002</v>
      </c>
      <c r="DB103" s="207">
        <f>'Energy margins'!$J$67</f>
        <v>2100</v>
      </c>
      <c r="DC103" s="207">
        <f t="shared" si="246"/>
        <v>4220.8</v>
      </c>
      <c r="DD103" s="207">
        <f t="shared" si="211"/>
        <v>2516.6999999999998</v>
      </c>
      <c r="DE103" s="207">
        <f t="shared" si="212"/>
        <v>2988.34</v>
      </c>
      <c r="DF103" s="208">
        <f t="shared" si="247"/>
        <v>6737.5</v>
      </c>
      <c r="DG103" s="207">
        <f t="shared" si="248"/>
        <v>471.64</v>
      </c>
      <c r="DH103" s="207">
        <f t="shared" si="249"/>
        <v>4220.8</v>
      </c>
      <c r="DI103" s="207">
        <f t="shared" si="250"/>
        <v>2516.6999999999998</v>
      </c>
      <c r="DJ103" s="209">
        <f>DE103/((1+$F$4)^(CT103-1))</f>
        <v>2988.34</v>
      </c>
      <c r="DK103" s="208">
        <f t="shared" si="267"/>
        <v>33687.5</v>
      </c>
      <c r="DL103" s="207">
        <f t="shared" si="252"/>
        <v>7546.2400000000016</v>
      </c>
      <c r="DM103" s="207">
        <f t="shared" si="252"/>
        <v>22939.911999999997</v>
      </c>
      <c r="DN103" s="207">
        <f t="shared" si="252"/>
        <v>10747.588</v>
      </c>
      <c r="DO103" s="209">
        <f t="shared" si="252"/>
        <v>18293.828000000001</v>
      </c>
    </row>
    <row r="109" spans="2:119" x14ac:dyDescent="0.3">
      <c r="B109" s="211" t="s">
        <v>93</v>
      </c>
      <c r="C109" s="760" t="s">
        <v>412</v>
      </c>
      <c r="D109" s="269" t="s">
        <v>397</v>
      </c>
      <c r="E109" s="194"/>
      <c r="F109" s="193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Z109" s="211" t="s">
        <v>93</v>
      </c>
      <c r="AA109" s="211" t="s">
        <v>420</v>
      </c>
      <c r="AB109" s="766"/>
      <c r="AC109" s="194"/>
      <c r="AD109" s="193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  <c r="AX109" s="211" t="s">
        <v>93</v>
      </c>
      <c r="AY109" s="211" t="s">
        <v>419</v>
      </c>
      <c r="AZ109" s="231"/>
      <c r="BA109" s="194"/>
      <c r="BB109" s="193"/>
      <c r="BC109" s="102"/>
      <c r="BD109" s="102"/>
      <c r="BE109" s="102"/>
      <c r="BF109" s="102"/>
      <c r="BG109" s="102"/>
      <c r="BH109" s="102"/>
      <c r="BI109" s="102"/>
      <c r="BJ109" s="102"/>
      <c r="BK109" s="102"/>
      <c r="BL109" s="102"/>
      <c r="BM109" s="102"/>
      <c r="BN109" s="102"/>
      <c r="BO109" s="102"/>
      <c r="BP109" s="102"/>
      <c r="BQ109" s="102"/>
      <c r="BR109" s="102"/>
      <c r="BS109" s="102"/>
      <c r="BV109" s="211" t="s">
        <v>93</v>
      </c>
      <c r="BW109" s="211" t="s">
        <v>418</v>
      </c>
      <c r="BX109" s="231"/>
      <c r="BY109" s="194"/>
      <c r="BZ109" s="193"/>
      <c r="CA109" s="102"/>
      <c r="CB109" s="102"/>
      <c r="CC109" s="102"/>
      <c r="CD109" s="102"/>
      <c r="CE109" s="102"/>
      <c r="CF109" s="102"/>
      <c r="CG109" s="102"/>
      <c r="CH109" s="102"/>
      <c r="CI109" s="102"/>
      <c r="CJ109" s="102"/>
      <c r="CK109" s="102"/>
      <c r="CL109" s="102"/>
      <c r="CM109" s="102"/>
      <c r="CN109" s="102"/>
      <c r="CO109" s="102"/>
      <c r="CP109" s="102"/>
      <c r="CQ109" s="102"/>
      <c r="CT109" s="211" t="s">
        <v>93</v>
      </c>
      <c r="CU109" s="211" t="s">
        <v>417</v>
      </c>
      <c r="CV109" s="231"/>
      <c r="CW109" s="194"/>
      <c r="CX109" s="193"/>
      <c r="CY109" s="102"/>
      <c r="CZ109" s="102"/>
      <c r="DA109" s="102"/>
      <c r="DB109" s="102"/>
      <c r="DC109" s="102"/>
      <c r="DD109" s="102"/>
      <c r="DE109" s="102"/>
      <c r="DF109" s="102"/>
      <c r="DG109" s="102"/>
      <c r="DH109" s="102"/>
      <c r="DI109" s="102"/>
      <c r="DJ109" s="102"/>
      <c r="DK109" s="102"/>
      <c r="DL109" s="102"/>
      <c r="DM109" s="102"/>
      <c r="DN109" s="102"/>
      <c r="DO109" s="102"/>
    </row>
    <row r="110" spans="2:119" x14ac:dyDescent="0.3">
      <c r="B110" s="203"/>
      <c r="C110" s="148"/>
      <c r="D110" s="148"/>
      <c r="E110" s="1082"/>
      <c r="F110" s="1082"/>
      <c r="G110" s="1082"/>
      <c r="H110" s="148"/>
      <c r="I110" s="926"/>
      <c r="J110" s="1082"/>
      <c r="K110" s="1082"/>
      <c r="L110" s="148"/>
      <c r="M110" s="148"/>
      <c r="N110" s="1083" t="s">
        <v>273</v>
      </c>
      <c r="O110" s="1084"/>
      <c r="P110" s="1084"/>
      <c r="Q110" s="1084"/>
      <c r="R110" s="1085"/>
      <c r="S110" s="1083" t="s">
        <v>274</v>
      </c>
      <c r="T110" s="1084"/>
      <c r="U110" s="1084"/>
      <c r="V110" s="1084"/>
      <c r="W110" s="1085"/>
      <c r="Z110" s="203"/>
      <c r="AA110" s="148"/>
      <c r="AB110" s="148"/>
      <c r="AC110" s="985"/>
      <c r="AD110" s="985"/>
      <c r="AE110" s="985"/>
      <c r="AF110" s="148"/>
      <c r="AG110" s="926"/>
      <c r="AH110" s="985"/>
      <c r="AI110" s="985"/>
      <c r="AJ110" s="148"/>
      <c r="AK110" s="148"/>
      <c r="AL110" s="986" t="s">
        <v>273</v>
      </c>
      <c r="AM110" s="987"/>
      <c r="AN110" s="987"/>
      <c r="AO110" s="987"/>
      <c r="AP110" s="988"/>
      <c r="AQ110" s="986" t="s">
        <v>274</v>
      </c>
      <c r="AR110" s="987"/>
      <c r="AS110" s="987"/>
      <c r="AT110" s="987"/>
      <c r="AU110" s="988"/>
      <c r="AX110" s="203"/>
      <c r="AY110" s="148"/>
      <c r="AZ110" s="148"/>
      <c r="BA110" s="985"/>
      <c r="BB110" s="985"/>
      <c r="BC110" s="985"/>
      <c r="BD110" s="148"/>
      <c r="BE110" s="926"/>
      <c r="BF110" s="985"/>
      <c r="BG110" s="985"/>
      <c r="BH110" s="148"/>
      <c r="BI110" s="148"/>
      <c r="BJ110" s="986" t="s">
        <v>273</v>
      </c>
      <c r="BK110" s="987"/>
      <c r="BL110" s="987"/>
      <c r="BM110" s="987"/>
      <c r="BN110" s="988"/>
      <c r="BO110" s="986" t="s">
        <v>274</v>
      </c>
      <c r="BP110" s="987"/>
      <c r="BQ110" s="987"/>
      <c r="BR110" s="987"/>
      <c r="BS110" s="988"/>
      <c r="BV110" s="203"/>
      <c r="BW110" s="148"/>
      <c r="BX110" s="148"/>
      <c r="BY110" s="985"/>
      <c r="BZ110" s="985"/>
      <c r="CA110" s="985"/>
      <c r="CB110" s="148"/>
      <c r="CC110" s="926"/>
      <c r="CD110" s="985"/>
      <c r="CE110" s="985"/>
      <c r="CF110" s="148"/>
      <c r="CG110" s="148"/>
      <c r="CH110" s="986" t="s">
        <v>273</v>
      </c>
      <c r="CI110" s="987"/>
      <c r="CJ110" s="987"/>
      <c r="CK110" s="987"/>
      <c r="CL110" s="988"/>
      <c r="CM110" s="986" t="s">
        <v>274</v>
      </c>
      <c r="CN110" s="987"/>
      <c r="CO110" s="987"/>
      <c r="CP110" s="987"/>
      <c r="CQ110" s="988"/>
      <c r="CT110" s="203"/>
      <c r="CU110" s="148"/>
      <c r="CV110" s="148"/>
      <c r="CW110" s="985"/>
      <c r="CX110" s="985"/>
      <c r="CY110" s="985"/>
      <c r="CZ110" s="148"/>
      <c r="DA110" s="926"/>
      <c r="DB110" s="985"/>
      <c r="DC110" s="985"/>
      <c r="DD110" s="148"/>
      <c r="DE110" s="148"/>
      <c r="DF110" s="986" t="s">
        <v>273</v>
      </c>
      <c r="DG110" s="987"/>
      <c r="DH110" s="987"/>
      <c r="DI110" s="987"/>
      <c r="DJ110" s="988"/>
      <c r="DK110" s="986" t="s">
        <v>274</v>
      </c>
      <c r="DL110" s="987"/>
      <c r="DM110" s="987"/>
      <c r="DN110" s="987"/>
      <c r="DO110" s="988"/>
    </row>
    <row r="111" spans="2:119" ht="51" x14ac:dyDescent="0.3">
      <c r="B111" s="204" t="s">
        <v>275</v>
      </c>
      <c r="C111" s="205" t="s">
        <v>293</v>
      </c>
      <c r="D111" s="205" t="s">
        <v>294</v>
      </c>
      <c r="E111" s="171" t="s">
        <v>622</v>
      </c>
      <c r="F111" s="171" t="s">
        <v>591</v>
      </c>
      <c r="G111" s="171" t="s">
        <v>623</v>
      </c>
      <c r="H111" s="205" t="s">
        <v>291</v>
      </c>
      <c r="I111" s="930" t="s">
        <v>292</v>
      </c>
      <c r="J111" s="205" t="s">
        <v>295</v>
      </c>
      <c r="K111" s="171" t="s">
        <v>279</v>
      </c>
      <c r="L111" s="171" t="s">
        <v>624</v>
      </c>
      <c r="M111" s="171" t="s">
        <v>625</v>
      </c>
      <c r="N111" s="195" t="s">
        <v>280</v>
      </c>
      <c r="O111" s="171" t="s">
        <v>626</v>
      </c>
      <c r="P111" s="171" t="s">
        <v>281</v>
      </c>
      <c r="Q111" s="171" t="s">
        <v>627</v>
      </c>
      <c r="R111" s="198" t="s">
        <v>282</v>
      </c>
      <c r="S111" s="195" t="s">
        <v>283</v>
      </c>
      <c r="T111" s="171" t="s">
        <v>628</v>
      </c>
      <c r="U111" s="171" t="s">
        <v>284</v>
      </c>
      <c r="V111" s="171" t="s">
        <v>629</v>
      </c>
      <c r="W111" s="198" t="s">
        <v>285</v>
      </c>
      <c r="Z111" s="204" t="s">
        <v>275</v>
      </c>
      <c r="AA111" s="205" t="s">
        <v>293</v>
      </c>
      <c r="AB111" s="205" t="s">
        <v>294</v>
      </c>
      <c r="AC111" s="171" t="s">
        <v>622</v>
      </c>
      <c r="AD111" s="171" t="s">
        <v>591</v>
      </c>
      <c r="AE111" s="171" t="s">
        <v>623</v>
      </c>
      <c r="AF111" s="205" t="s">
        <v>291</v>
      </c>
      <c r="AG111" s="930" t="s">
        <v>292</v>
      </c>
      <c r="AH111" s="205" t="s">
        <v>295</v>
      </c>
      <c r="AI111" s="171" t="s">
        <v>279</v>
      </c>
      <c r="AJ111" s="171" t="s">
        <v>624</v>
      </c>
      <c r="AK111" s="171" t="s">
        <v>625</v>
      </c>
      <c r="AL111" s="195" t="s">
        <v>280</v>
      </c>
      <c r="AM111" s="171" t="s">
        <v>626</v>
      </c>
      <c r="AN111" s="171" t="s">
        <v>281</v>
      </c>
      <c r="AO111" s="171" t="s">
        <v>627</v>
      </c>
      <c r="AP111" s="198" t="s">
        <v>282</v>
      </c>
      <c r="AQ111" s="195" t="s">
        <v>283</v>
      </c>
      <c r="AR111" s="171" t="s">
        <v>628</v>
      </c>
      <c r="AS111" s="171" t="s">
        <v>284</v>
      </c>
      <c r="AT111" s="171" t="s">
        <v>629</v>
      </c>
      <c r="AU111" s="198" t="s">
        <v>285</v>
      </c>
      <c r="AX111" s="204" t="s">
        <v>275</v>
      </c>
      <c r="AY111" s="205" t="s">
        <v>293</v>
      </c>
      <c r="AZ111" s="205" t="s">
        <v>294</v>
      </c>
      <c r="BA111" s="171" t="s">
        <v>622</v>
      </c>
      <c r="BB111" s="171" t="s">
        <v>591</v>
      </c>
      <c r="BC111" s="171" t="s">
        <v>623</v>
      </c>
      <c r="BD111" s="205" t="s">
        <v>291</v>
      </c>
      <c r="BE111" s="930" t="s">
        <v>292</v>
      </c>
      <c r="BF111" s="205" t="s">
        <v>295</v>
      </c>
      <c r="BG111" s="171" t="s">
        <v>279</v>
      </c>
      <c r="BH111" s="171" t="s">
        <v>624</v>
      </c>
      <c r="BI111" s="171" t="s">
        <v>625</v>
      </c>
      <c r="BJ111" s="195" t="s">
        <v>280</v>
      </c>
      <c r="BK111" s="171" t="s">
        <v>626</v>
      </c>
      <c r="BL111" s="171" t="s">
        <v>281</v>
      </c>
      <c r="BM111" s="171" t="s">
        <v>627</v>
      </c>
      <c r="BN111" s="198" t="s">
        <v>282</v>
      </c>
      <c r="BO111" s="195" t="s">
        <v>283</v>
      </c>
      <c r="BP111" s="171" t="s">
        <v>628</v>
      </c>
      <c r="BQ111" s="171" t="s">
        <v>284</v>
      </c>
      <c r="BR111" s="171" t="s">
        <v>629</v>
      </c>
      <c r="BS111" s="198" t="s">
        <v>285</v>
      </c>
      <c r="BV111" s="204" t="s">
        <v>275</v>
      </c>
      <c r="BW111" s="205" t="s">
        <v>293</v>
      </c>
      <c r="BX111" s="205" t="s">
        <v>294</v>
      </c>
      <c r="BY111" s="171" t="s">
        <v>622</v>
      </c>
      <c r="BZ111" s="171" t="s">
        <v>591</v>
      </c>
      <c r="CA111" s="171" t="s">
        <v>623</v>
      </c>
      <c r="CB111" s="205" t="s">
        <v>291</v>
      </c>
      <c r="CC111" s="930" t="s">
        <v>292</v>
      </c>
      <c r="CD111" s="205" t="s">
        <v>295</v>
      </c>
      <c r="CE111" s="171" t="s">
        <v>279</v>
      </c>
      <c r="CF111" s="171" t="s">
        <v>624</v>
      </c>
      <c r="CG111" s="171" t="s">
        <v>625</v>
      </c>
      <c r="CH111" s="195" t="s">
        <v>280</v>
      </c>
      <c r="CI111" s="171" t="s">
        <v>626</v>
      </c>
      <c r="CJ111" s="171" t="s">
        <v>281</v>
      </c>
      <c r="CK111" s="171" t="s">
        <v>627</v>
      </c>
      <c r="CL111" s="198" t="s">
        <v>282</v>
      </c>
      <c r="CM111" s="195" t="s">
        <v>283</v>
      </c>
      <c r="CN111" s="171" t="s">
        <v>628</v>
      </c>
      <c r="CO111" s="171" t="s">
        <v>284</v>
      </c>
      <c r="CP111" s="171" t="s">
        <v>629</v>
      </c>
      <c r="CQ111" s="198" t="s">
        <v>285</v>
      </c>
      <c r="CT111" s="204" t="s">
        <v>275</v>
      </c>
      <c r="CU111" s="205" t="s">
        <v>293</v>
      </c>
      <c r="CV111" s="205" t="s">
        <v>294</v>
      </c>
      <c r="CW111" s="171" t="s">
        <v>622</v>
      </c>
      <c r="CX111" s="171" t="s">
        <v>591</v>
      </c>
      <c r="CY111" s="171" t="s">
        <v>623</v>
      </c>
      <c r="CZ111" s="205" t="s">
        <v>291</v>
      </c>
      <c r="DA111" s="930" t="s">
        <v>292</v>
      </c>
      <c r="DB111" s="205" t="s">
        <v>295</v>
      </c>
      <c r="DC111" s="171" t="s">
        <v>279</v>
      </c>
      <c r="DD111" s="171" t="s">
        <v>624</v>
      </c>
      <c r="DE111" s="171" t="s">
        <v>625</v>
      </c>
      <c r="DF111" s="195" t="s">
        <v>280</v>
      </c>
      <c r="DG111" s="171" t="s">
        <v>626</v>
      </c>
      <c r="DH111" s="171" t="s">
        <v>281</v>
      </c>
      <c r="DI111" s="171" t="s">
        <v>627</v>
      </c>
      <c r="DJ111" s="198" t="s">
        <v>282</v>
      </c>
      <c r="DK111" s="195" t="s">
        <v>283</v>
      </c>
      <c r="DL111" s="171" t="s">
        <v>628</v>
      </c>
      <c r="DM111" s="171" t="s">
        <v>284</v>
      </c>
      <c r="DN111" s="171" t="s">
        <v>629</v>
      </c>
      <c r="DO111" s="198" t="s">
        <v>285</v>
      </c>
    </row>
    <row r="112" spans="2:119" x14ac:dyDescent="0.3">
      <c r="B112" s="173"/>
      <c r="C112" s="226" t="s">
        <v>336</v>
      </c>
      <c r="D112" s="226" t="s">
        <v>573</v>
      </c>
      <c r="E112" s="201" t="s">
        <v>571</v>
      </c>
      <c r="F112" s="201" t="s">
        <v>571</v>
      </c>
      <c r="G112" s="201" t="s">
        <v>571</v>
      </c>
      <c r="H112" s="201" t="s">
        <v>571</v>
      </c>
      <c r="I112" s="964" t="s">
        <v>571</v>
      </c>
      <c r="J112" s="201" t="s">
        <v>571</v>
      </c>
      <c r="K112" s="201" t="s">
        <v>571</v>
      </c>
      <c r="L112" s="201" t="s">
        <v>571</v>
      </c>
      <c r="M112" s="202" t="s">
        <v>571</v>
      </c>
      <c r="N112" s="201" t="s">
        <v>571</v>
      </c>
      <c r="O112" s="201" t="s">
        <v>571</v>
      </c>
      <c r="P112" s="201" t="s">
        <v>571</v>
      </c>
      <c r="Q112" s="201" t="s">
        <v>571</v>
      </c>
      <c r="R112" s="202" t="s">
        <v>571</v>
      </c>
      <c r="S112" s="201" t="s">
        <v>571</v>
      </c>
      <c r="T112" s="201" t="s">
        <v>571</v>
      </c>
      <c r="U112" s="201" t="s">
        <v>571</v>
      </c>
      <c r="V112" s="201" t="s">
        <v>571</v>
      </c>
      <c r="W112" s="202" t="s">
        <v>571</v>
      </c>
      <c r="Z112" s="173"/>
      <c r="AA112" s="226" t="s">
        <v>336</v>
      </c>
      <c r="AB112" s="226" t="s">
        <v>573</v>
      </c>
      <c r="AC112" s="201" t="s">
        <v>571</v>
      </c>
      <c r="AD112" s="201" t="s">
        <v>571</v>
      </c>
      <c r="AE112" s="201" t="s">
        <v>571</v>
      </c>
      <c r="AF112" s="201" t="s">
        <v>571</v>
      </c>
      <c r="AG112" s="964" t="s">
        <v>571</v>
      </c>
      <c r="AH112" s="201" t="s">
        <v>571</v>
      </c>
      <c r="AI112" s="201" t="s">
        <v>571</v>
      </c>
      <c r="AJ112" s="201" t="s">
        <v>571</v>
      </c>
      <c r="AK112" s="202" t="s">
        <v>571</v>
      </c>
      <c r="AL112" s="201" t="s">
        <v>571</v>
      </c>
      <c r="AM112" s="201" t="s">
        <v>571</v>
      </c>
      <c r="AN112" s="201" t="s">
        <v>571</v>
      </c>
      <c r="AO112" s="201" t="s">
        <v>571</v>
      </c>
      <c r="AP112" s="202" t="s">
        <v>571</v>
      </c>
      <c r="AQ112" s="201" t="s">
        <v>571</v>
      </c>
      <c r="AR112" s="201" t="s">
        <v>571</v>
      </c>
      <c r="AS112" s="201" t="s">
        <v>571</v>
      </c>
      <c r="AT112" s="201" t="s">
        <v>571</v>
      </c>
      <c r="AU112" s="202" t="s">
        <v>571</v>
      </c>
      <c r="AX112" s="173"/>
      <c r="AY112" s="226" t="s">
        <v>336</v>
      </c>
      <c r="AZ112" s="226" t="s">
        <v>573</v>
      </c>
      <c r="BA112" s="201" t="s">
        <v>571</v>
      </c>
      <c r="BB112" s="201" t="s">
        <v>571</v>
      </c>
      <c r="BC112" s="201" t="s">
        <v>571</v>
      </c>
      <c r="BD112" s="201" t="s">
        <v>571</v>
      </c>
      <c r="BE112" s="964" t="s">
        <v>571</v>
      </c>
      <c r="BF112" s="201" t="s">
        <v>571</v>
      </c>
      <c r="BG112" s="201" t="s">
        <v>571</v>
      </c>
      <c r="BH112" s="201" t="s">
        <v>571</v>
      </c>
      <c r="BI112" s="202" t="s">
        <v>571</v>
      </c>
      <c r="BJ112" s="201" t="s">
        <v>571</v>
      </c>
      <c r="BK112" s="201" t="s">
        <v>571</v>
      </c>
      <c r="BL112" s="201" t="s">
        <v>571</v>
      </c>
      <c r="BM112" s="201" t="s">
        <v>571</v>
      </c>
      <c r="BN112" s="202" t="s">
        <v>571</v>
      </c>
      <c r="BO112" s="201" t="s">
        <v>571</v>
      </c>
      <c r="BP112" s="201" t="s">
        <v>571</v>
      </c>
      <c r="BQ112" s="201" t="s">
        <v>571</v>
      </c>
      <c r="BR112" s="201" t="s">
        <v>571</v>
      </c>
      <c r="BS112" s="202" t="s">
        <v>571</v>
      </c>
      <c r="BV112" s="173"/>
      <c r="BW112" s="226" t="s">
        <v>336</v>
      </c>
      <c r="BX112" s="226" t="s">
        <v>573</v>
      </c>
      <c r="BY112" s="201" t="s">
        <v>571</v>
      </c>
      <c r="BZ112" s="201" t="s">
        <v>571</v>
      </c>
      <c r="CA112" s="201" t="s">
        <v>571</v>
      </c>
      <c r="CB112" s="201" t="s">
        <v>571</v>
      </c>
      <c r="CC112" s="964" t="s">
        <v>571</v>
      </c>
      <c r="CD112" s="201" t="s">
        <v>571</v>
      </c>
      <c r="CE112" s="201" t="s">
        <v>571</v>
      </c>
      <c r="CF112" s="201" t="s">
        <v>571</v>
      </c>
      <c r="CG112" s="202" t="s">
        <v>571</v>
      </c>
      <c r="CH112" s="201" t="s">
        <v>571</v>
      </c>
      <c r="CI112" s="201" t="s">
        <v>571</v>
      </c>
      <c r="CJ112" s="201" t="s">
        <v>571</v>
      </c>
      <c r="CK112" s="201" t="s">
        <v>571</v>
      </c>
      <c r="CL112" s="202" t="s">
        <v>571</v>
      </c>
      <c r="CM112" s="201" t="s">
        <v>571</v>
      </c>
      <c r="CN112" s="201" t="s">
        <v>571</v>
      </c>
      <c r="CO112" s="201" t="s">
        <v>571</v>
      </c>
      <c r="CP112" s="201" t="s">
        <v>571</v>
      </c>
      <c r="CQ112" s="202" t="s">
        <v>571</v>
      </c>
      <c r="CT112" s="173"/>
      <c r="CU112" s="226" t="s">
        <v>336</v>
      </c>
      <c r="CV112" s="226" t="s">
        <v>573</v>
      </c>
      <c r="CW112" s="201" t="s">
        <v>571</v>
      </c>
      <c r="CX112" s="201" t="s">
        <v>571</v>
      </c>
      <c r="CY112" s="201" t="s">
        <v>571</v>
      </c>
      <c r="CZ112" s="201" t="s">
        <v>571</v>
      </c>
      <c r="DA112" s="964" t="s">
        <v>571</v>
      </c>
      <c r="DB112" s="201" t="s">
        <v>571</v>
      </c>
      <c r="DC112" s="201" t="s">
        <v>571</v>
      </c>
      <c r="DD112" s="201" t="s">
        <v>571</v>
      </c>
      <c r="DE112" s="202" t="s">
        <v>571</v>
      </c>
      <c r="DF112" s="201" t="s">
        <v>571</v>
      </c>
      <c r="DG112" s="201" t="s">
        <v>571</v>
      </c>
      <c r="DH112" s="201" t="s">
        <v>571</v>
      </c>
      <c r="DI112" s="201" t="s">
        <v>571</v>
      </c>
      <c r="DJ112" s="202" t="s">
        <v>571</v>
      </c>
      <c r="DK112" s="201" t="s">
        <v>571</v>
      </c>
      <c r="DL112" s="201" t="s">
        <v>571</v>
      </c>
      <c r="DM112" s="201" t="s">
        <v>571</v>
      </c>
      <c r="DN112" s="201" t="s">
        <v>571</v>
      </c>
      <c r="DO112" s="202" t="s">
        <v>571</v>
      </c>
    </row>
    <row r="113" spans="2:119" x14ac:dyDescent="0.3">
      <c r="B113" s="204">
        <v>1</v>
      </c>
      <c r="C113" s="757">
        <f>'Energy NPV'!$D39</f>
        <v>0.6</v>
      </c>
      <c r="D113" s="197">
        <f>'Energy margins'!$L$12</f>
        <v>269.5</v>
      </c>
      <c r="E113" s="197">
        <f>C113*D113</f>
        <v>161.69999999999999</v>
      </c>
      <c r="F113" s="197">
        <f>'Margins summary'!$S$14</f>
        <v>471.64</v>
      </c>
      <c r="G113" s="197">
        <f>E113+F113</f>
        <v>633.33999999999992</v>
      </c>
      <c r="H113" s="197">
        <f>'Margins summary'!$R$20</f>
        <v>66298.2</v>
      </c>
      <c r="I113" s="913">
        <f>'Energy NPV'!U39</f>
        <v>0</v>
      </c>
      <c r="J113" s="197"/>
      <c r="K113" s="197">
        <f>H113+I113+J113</f>
        <v>66298.2</v>
      </c>
      <c r="L113" s="197">
        <f t="shared" ref="L113:L128" si="268">E113-K113</f>
        <v>-66136.5</v>
      </c>
      <c r="M113" s="197">
        <f t="shared" ref="M113:M128" si="269">G113-K113</f>
        <v>-65664.86</v>
      </c>
      <c r="N113" s="1014">
        <f>E113/((1+$B$4)^(B113-1))</f>
        <v>161.69999999999999</v>
      </c>
      <c r="O113" s="213">
        <f>F113/((1+$B$4)^(B113-1))</f>
        <v>471.64</v>
      </c>
      <c r="P113" s="213">
        <f>K113/((1+$B$4)^(B113-1))</f>
        <v>66298.2</v>
      </c>
      <c r="Q113" s="213">
        <f>L113/((1+$B$4)^(B113-1))</f>
        <v>-66136.5</v>
      </c>
      <c r="R113" s="924">
        <f>M113/((1+$B$4)^(B113-1))</f>
        <v>-65664.86</v>
      </c>
      <c r="S113" s="196">
        <f>N113</f>
        <v>161.69999999999999</v>
      </c>
      <c r="T113" s="197">
        <f>O113</f>
        <v>471.64</v>
      </c>
      <c r="U113" s="197">
        <f>P113</f>
        <v>66298.2</v>
      </c>
      <c r="V113" s="197">
        <f>Q113</f>
        <v>-66136.5</v>
      </c>
      <c r="W113" s="199">
        <f>R113</f>
        <v>-65664.86</v>
      </c>
      <c r="Z113" s="204">
        <v>1</v>
      </c>
      <c r="AA113" s="757">
        <f>'Energy NPV'!$D39</f>
        <v>0.6</v>
      </c>
      <c r="AB113" s="197">
        <f>'Energy margins'!$L$12</f>
        <v>269.5</v>
      </c>
      <c r="AC113" s="197">
        <f>AA113*AB113</f>
        <v>161.69999999999999</v>
      </c>
      <c r="AD113" s="197">
        <f>'Margins summary'!$S$14</f>
        <v>471.64</v>
      </c>
      <c r="AE113" s="197">
        <f>AC113+AD113</f>
        <v>633.33999999999992</v>
      </c>
      <c r="AF113" s="197">
        <f>'Margins summary'!$R$20</f>
        <v>66298.2</v>
      </c>
      <c r="AG113" s="913">
        <f>'Energy NPV'!U39</f>
        <v>0</v>
      </c>
      <c r="AH113" s="197"/>
      <c r="AI113" s="197">
        <f>AF113+AG113+AH113</f>
        <v>66298.2</v>
      </c>
      <c r="AJ113" s="197">
        <f t="shared" ref="AJ113:AJ128" si="270">AC113-AI113</f>
        <v>-66136.5</v>
      </c>
      <c r="AK113" s="197">
        <f t="shared" ref="AK113:AK128" si="271">AE113-AI113</f>
        <v>-65664.86</v>
      </c>
      <c r="AL113" s="1014">
        <f>AC113/((1+$C$4)^(Z113-1))</f>
        <v>161.69999999999999</v>
      </c>
      <c r="AM113" s="213">
        <f>AD113/((1+$C$4)^(Z113-1))</f>
        <v>471.64</v>
      </c>
      <c r="AN113" s="213">
        <f>AI113/((1+$C$4)^(Z113-1))</f>
        <v>66298.2</v>
      </c>
      <c r="AO113" s="213">
        <f>AJ113/((1+$C$4)^(Z113-1))</f>
        <v>-66136.5</v>
      </c>
      <c r="AP113" s="924">
        <f>AK113/((1+$C$4)^(Z113-1))</f>
        <v>-65664.86</v>
      </c>
      <c r="AQ113" s="196">
        <f>AL113</f>
        <v>161.69999999999999</v>
      </c>
      <c r="AR113" s="197">
        <f>AM113</f>
        <v>471.64</v>
      </c>
      <c r="AS113" s="197">
        <f>AN113</f>
        <v>66298.2</v>
      </c>
      <c r="AT113" s="197">
        <f>AO113</f>
        <v>-66136.5</v>
      </c>
      <c r="AU113" s="199">
        <f>AP113</f>
        <v>-65664.86</v>
      </c>
      <c r="AX113" s="204">
        <v>1</v>
      </c>
      <c r="AY113" s="757">
        <f>'Energy NPV'!$D39</f>
        <v>0.6</v>
      </c>
      <c r="AZ113" s="197">
        <f>'Energy margins'!$L$12</f>
        <v>269.5</v>
      </c>
      <c r="BA113" s="197">
        <f>AY113*AZ113</f>
        <v>161.69999999999999</v>
      </c>
      <c r="BB113" s="197">
        <f>'Margins summary'!$S$14</f>
        <v>471.64</v>
      </c>
      <c r="BC113" s="197">
        <f>BA113+BB113</f>
        <v>633.33999999999992</v>
      </c>
      <c r="BD113" s="197">
        <f>'Margins summary'!$R$20</f>
        <v>66298.2</v>
      </c>
      <c r="BE113" s="913">
        <f>'Energy NPV'!U39</f>
        <v>0</v>
      </c>
      <c r="BF113" s="197"/>
      <c r="BG113" s="197">
        <f>BD113+BE113+BF113</f>
        <v>66298.2</v>
      </c>
      <c r="BH113" s="197">
        <f t="shared" ref="BH113:BH128" si="272">BA113-BG113</f>
        <v>-66136.5</v>
      </c>
      <c r="BI113" s="197">
        <f t="shared" ref="BI113:BI128" si="273">BC113-BG113</f>
        <v>-65664.86</v>
      </c>
      <c r="BJ113" s="1014">
        <f>BA113/((1+$D$4)^(AX113-1))</f>
        <v>161.69999999999999</v>
      </c>
      <c r="BK113" s="213">
        <f>BB113/((1+$D$4)^(AX113-1))</f>
        <v>471.64</v>
      </c>
      <c r="BL113" s="213">
        <f>BG113/((1+$D$4)^(AX113-1))</f>
        <v>66298.2</v>
      </c>
      <c r="BM113" s="213">
        <f>BH113/((1+$D$4)^(AX113-1))</f>
        <v>-66136.5</v>
      </c>
      <c r="BN113" s="924">
        <f>BI113/((1+$D$4)^(AX113-1))</f>
        <v>-65664.86</v>
      </c>
      <c r="BO113" s="196">
        <f>BJ113</f>
        <v>161.69999999999999</v>
      </c>
      <c r="BP113" s="197">
        <f>BK113</f>
        <v>471.64</v>
      </c>
      <c r="BQ113" s="197">
        <f>BL113</f>
        <v>66298.2</v>
      </c>
      <c r="BR113" s="197">
        <f>BM113</f>
        <v>-66136.5</v>
      </c>
      <c r="BS113" s="199">
        <f>BN113</f>
        <v>-65664.86</v>
      </c>
      <c r="BV113" s="204">
        <v>1</v>
      </c>
      <c r="BW113" s="757">
        <f>'Energy NPV'!$D39</f>
        <v>0.6</v>
      </c>
      <c r="BX113" s="197">
        <f>'Energy margins'!$L$12</f>
        <v>269.5</v>
      </c>
      <c r="BY113" s="197">
        <f>BW113*BX113</f>
        <v>161.69999999999999</v>
      </c>
      <c r="BZ113" s="197">
        <f>'Margins summary'!$S$14</f>
        <v>471.64</v>
      </c>
      <c r="CA113" s="197">
        <f>BY113+BZ113</f>
        <v>633.33999999999992</v>
      </c>
      <c r="CB113" s="197">
        <f>'Margins summary'!$R$20</f>
        <v>66298.2</v>
      </c>
      <c r="CC113" s="913">
        <f>'Energy NPV'!U39</f>
        <v>0</v>
      </c>
      <c r="CD113" s="197"/>
      <c r="CE113" s="197">
        <f>CB113+CC113+CD113</f>
        <v>66298.2</v>
      </c>
      <c r="CF113" s="197">
        <f t="shared" ref="CF113:CF128" si="274">BY113-CE113</f>
        <v>-66136.5</v>
      </c>
      <c r="CG113" s="197">
        <f t="shared" ref="CG113:CG128" si="275">CA113-CE113</f>
        <v>-65664.86</v>
      </c>
      <c r="CH113" s="1014">
        <f>BY113/((1+$E$4)^(BV113-1))</f>
        <v>161.69999999999999</v>
      </c>
      <c r="CI113" s="213">
        <f>BZ113/((1+$E$4)^(BV113-1))</f>
        <v>471.64</v>
      </c>
      <c r="CJ113" s="213">
        <f>CE113/((1+$E$4)^(BV113-1))</f>
        <v>66298.2</v>
      </c>
      <c r="CK113" s="213">
        <f>CF113/((1+$E$4)^(BV113-1))</f>
        <v>-66136.5</v>
      </c>
      <c r="CL113" s="924">
        <f>CG113/((1+$E$4)^(BV113-1))</f>
        <v>-65664.86</v>
      </c>
      <c r="CM113" s="196">
        <f>CH113</f>
        <v>161.69999999999999</v>
      </c>
      <c r="CN113" s="197">
        <f>CI113</f>
        <v>471.64</v>
      </c>
      <c r="CO113" s="197">
        <f>CJ113</f>
        <v>66298.2</v>
      </c>
      <c r="CP113" s="197">
        <f>CK113</f>
        <v>-66136.5</v>
      </c>
      <c r="CQ113" s="199">
        <f>CL113</f>
        <v>-65664.86</v>
      </c>
      <c r="CT113" s="204">
        <v>1</v>
      </c>
      <c r="CU113" s="757">
        <f>'Energy NPV'!$D39</f>
        <v>0.6</v>
      </c>
      <c r="CV113" s="197">
        <f>'Energy margins'!$L$12</f>
        <v>269.5</v>
      </c>
      <c r="CW113" s="197">
        <f>CU113*CV113</f>
        <v>161.69999999999999</v>
      </c>
      <c r="CX113" s="197">
        <f>'Margins summary'!$S$14</f>
        <v>471.64</v>
      </c>
      <c r="CY113" s="197">
        <f>CW113+CX113</f>
        <v>633.33999999999992</v>
      </c>
      <c r="CZ113" s="197">
        <f>'Margins summary'!$R$20</f>
        <v>66298.2</v>
      </c>
      <c r="DA113" s="913">
        <f>'Energy NPV'!U39</f>
        <v>0</v>
      </c>
      <c r="DB113" s="197"/>
      <c r="DC113" s="197">
        <f>CZ113+DA113+DB113</f>
        <v>66298.2</v>
      </c>
      <c r="DD113" s="197">
        <f t="shared" ref="DD113:DD128" si="276">CW113-DC113</f>
        <v>-66136.5</v>
      </c>
      <c r="DE113" s="197">
        <f t="shared" ref="DE113:DE128" si="277">CY113-DC113</f>
        <v>-65664.86</v>
      </c>
      <c r="DF113" s="1014">
        <f>CW113/((1+$F$4)^(CT113-1))</f>
        <v>161.69999999999999</v>
      </c>
      <c r="DG113" s="213">
        <f>CX113/((1+$F$4)^(CT113-1))</f>
        <v>471.64</v>
      </c>
      <c r="DH113" s="213">
        <f>DC113/((1+$F$4)^(CT113-1))</f>
        <v>66298.2</v>
      </c>
      <c r="DI113" s="213">
        <f>DD113/((1+$F$4)^(CT113-1))</f>
        <v>-66136.5</v>
      </c>
      <c r="DJ113" s="924">
        <f>DE113/((1+$F$4)^(CT113-1))</f>
        <v>-65664.86</v>
      </c>
      <c r="DK113" s="196">
        <f>DF113</f>
        <v>161.69999999999999</v>
      </c>
      <c r="DL113" s="197">
        <f>DG113</f>
        <v>471.64</v>
      </c>
      <c r="DM113" s="197">
        <f>DH113</f>
        <v>66298.2</v>
      </c>
      <c r="DN113" s="197">
        <f>DI113</f>
        <v>-66136.5</v>
      </c>
      <c r="DO113" s="199">
        <f>DJ113</f>
        <v>-65664.86</v>
      </c>
    </row>
    <row r="114" spans="2:119" x14ac:dyDescent="0.3">
      <c r="B114" s="204">
        <v>2</v>
      </c>
      <c r="C114" s="757">
        <f>'Energy NPV'!$D40</f>
        <v>3.9250000000000007</v>
      </c>
      <c r="D114" s="197">
        <f>'Energy margins'!$L$12</f>
        <v>269.5</v>
      </c>
      <c r="E114" s="197">
        <f>C114*D114</f>
        <v>1057.7875000000001</v>
      </c>
      <c r="F114" s="197">
        <f>'Margins summary'!$S$14</f>
        <v>471.64</v>
      </c>
      <c r="G114" s="197">
        <f t="shared" ref="G114:G128" si="278">E114+F114</f>
        <v>1529.4275000000002</v>
      </c>
      <c r="H114" s="197"/>
      <c r="I114" s="913">
        <f>'Energy NPV'!U40</f>
        <v>2491.768</v>
      </c>
      <c r="J114" s="197"/>
      <c r="K114" s="197">
        <f t="shared" ref="K114:K128" si="279">H114+I114+J114</f>
        <v>2491.768</v>
      </c>
      <c r="L114" s="197">
        <f t="shared" si="268"/>
        <v>-1433.9804999999999</v>
      </c>
      <c r="M114" s="197">
        <f t="shared" si="269"/>
        <v>-962.34049999999979</v>
      </c>
      <c r="N114" s="196">
        <f t="shared" ref="N114:N128" si="280">E114/((1+$B$4)^(B114-1))</f>
        <v>1017.1033653846155</v>
      </c>
      <c r="O114" s="197">
        <f t="shared" ref="O114:O128" si="281">F114/((1+$B$4)^(B114-1))</f>
        <v>453.49999999999994</v>
      </c>
      <c r="P114" s="197">
        <f t="shared" ref="P114:P128" si="282">K114/((1+$B$4)^(B114-1))</f>
        <v>2395.9307692307693</v>
      </c>
      <c r="Q114" s="197">
        <f t="shared" ref="Q114:Q128" si="283">L114/((1+$B$4)^(B114-1))</f>
        <v>-1378.8274038461536</v>
      </c>
      <c r="R114" s="199">
        <f t="shared" ref="R114:R128" si="284">M114/((1+$B$4)^(B114-1))</f>
        <v>-925.32740384615363</v>
      </c>
      <c r="S114" s="196">
        <f>S113+N114</f>
        <v>1178.8033653846155</v>
      </c>
      <c r="T114" s="197">
        <f t="shared" ref="T114:W128" si="285">T113+O114</f>
        <v>925.13999999999987</v>
      </c>
      <c r="U114" s="197">
        <f t="shared" si="285"/>
        <v>68694.13076923076</v>
      </c>
      <c r="V114" s="197">
        <f t="shared" si="285"/>
        <v>-67515.327403846153</v>
      </c>
      <c r="W114" s="199">
        <f t="shared" si="285"/>
        <v>-66590.187403846154</v>
      </c>
      <c r="Z114" s="204">
        <v>2</v>
      </c>
      <c r="AA114" s="757">
        <f>'Energy NPV'!$D40</f>
        <v>3.9250000000000007</v>
      </c>
      <c r="AB114" s="197">
        <f>'Energy margins'!$L$12</f>
        <v>269.5</v>
      </c>
      <c r="AC114" s="197">
        <f>AA114*AB114</f>
        <v>1057.7875000000001</v>
      </c>
      <c r="AD114" s="197">
        <f>'Margins summary'!$S$14</f>
        <v>471.64</v>
      </c>
      <c r="AE114" s="197">
        <f t="shared" ref="AE114:AE128" si="286">AC114+AD114</f>
        <v>1529.4275000000002</v>
      </c>
      <c r="AF114" s="197"/>
      <c r="AG114" s="913">
        <f>'Energy NPV'!U40</f>
        <v>2491.768</v>
      </c>
      <c r="AH114" s="197"/>
      <c r="AI114" s="197">
        <f t="shared" ref="AI114:AI128" si="287">AF114+AG114+AH114</f>
        <v>2491.768</v>
      </c>
      <c r="AJ114" s="197">
        <f t="shared" si="270"/>
        <v>-1433.9804999999999</v>
      </c>
      <c r="AK114" s="197">
        <f t="shared" si="271"/>
        <v>-962.34049999999979</v>
      </c>
      <c r="AL114" s="196">
        <f t="shared" ref="AL114:AL128" si="288">AC114/((1+$C$4)^(Z114-1))</f>
        <v>997.91273584905673</v>
      </c>
      <c r="AM114" s="197">
        <f t="shared" ref="AM114:AM128" si="289">AD114/((1+$C$4)^(Z114-1))</f>
        <v>444.94339622641508</v>
      </c>
      <c r="AN114" s="197">
        <f t="shared" ref="AN114:AN128" si="290">AI114/((1+$C$4)^(Z114-1))</f>
        <v>2350.7245283018865</v>
      </c>
      <c r="AO114" s="197">
        <f t="shared" ref="AO114:AO128" si="291">AJ114/((1+$C$4)^(Z114-1))</f>
        <v>-1352.8117924528301</v>
      </c>
      <c r="AP114" s="199">
        <f t="shared" ref="AP114:AP128" si="292">AK114/((1+$C$4)^(Z114-1))</f>
        <v>-907.8683962264148</v>
      </c>
      <c r="AQ114" s="196">
        <f>AQ113+AL114</f>
        <v>1159.6127358490567</v>
      </c>
      <c r="AR114" s="197">
        <f t="shared" ref="AR114:AU128" si="293">AR113+AM114</f>
        <v>916.58339622641506</v>
      </c>
      <c r="AS114" s="197">
        <f t="shared" si="293"/>
        <v>68648.924528301883</v>
      </c>
      <c r="AT114" s="197">
        <f t="shared" si="293"/>
        <v>-67489.311792452834</v>
      </c>
      <c r="AU114" s="199">
        <f t="shared" si="293"/>
        <v>-66572.728396226419</v>
      </c>
      <c r="AX114" s="204">
        <v>2</v>
      </c>
      <c r="AY114" s="757">
        <f>'Energy NPV'!$D40</f>
        <v>3.9250000000000007</v>
      </c>
      <c r="AZ114" s="197">
        <f>'Energy margins'!$L$12</f>
        <v>269.5</v>
      </c>
      <c r="BA114" s="197">
        <f>AY114*AZ114</f>
        <v>1057.7875000000001</v>
      </c>
      <c r="BB114" s="197">
        <f>'Margins summary'!$S$14</f>
        <v>471.64</v>
      </c>
      <c r="BC114" s="197">
        <f t="shared" ref="BC114:BC128" si="294">BA114+BB114</f>
        <v>1529.4275000000002</v>
      </c>
      <c r="BD114" s="197"/>
      <c r="BE114" s="913">
        <f>'Energy NPV'!U40</f>
        <v>2491.768</v>
      </c>
      <c r="BF114" s="197"/>
      <c r="BG114" s="197">
        <f t="shared" ref="BG114:BG128" si="295">BD114+BE114+BF114</f>
        <v>2491.768</v>
      </c>
      <c r="BH114" s="197">
        <f t="shared" si="272"/>
        <v>-1433.9804999999999</v>
      </c>
      <c r="BI114" s="197">
        <f t="shared" si="273"/>
        <v>-962.34049999999979</v>
      </c>
      <c r="BJ114" s="196">
        <f t="shared" ref="BJ114:BJ128" si="296">BA114/((1+$D$4)^(AX114-1))</f>
        <v>1037.0465686274511</v>
      </c>
      <c r="BK114" s="197">
        <f t="shared" ref="BK114:BK128" si="297">BB114/((1+$D$4)^(AX114-1))</f>
        <v>462.39215686274508</v>
      </c>
      <c r="BL114" s="197">
        <f t="shared" ref="BL114:BL128" si="298">BG114/((1+$D$4)^(AX114-1))</f>
        <v>2442.9098039215687</v>
      </c>
      <c r="BM114" s="197">
        <f t="shared" ref="BM114:BM128" si="299">BH114/((1+$D$4)^(AX114-1))</f>
        <v>-1405.8632352941174</v>
      </c>
      <c r="BN114" s="199">
        <f t="shared" ref="BN114:BN128" si="300">BI114/((1+$D$4)^(AX114-1))</f>
        <v>-943.47107843137235</v>
      </c>
      <c r="BO114" s="196">
        <f>BO113+BJ114</f>
        <v>1198.7465686274511</v>
      </c>
      <c r="BP114" s="197">
        <f t="shared" ref="BP114:BS128" si="301">BP113+BK114</f>
        <v>934.03215686274507</v>
      </c>
      <c r="BQ114" s="197">
        <f t="shared" si="301"/>
        <v>68741.109803921572</v>
      </c>
      <c r="BR114" s="197">
        <f t="shared" si="301"/>
        <v>-67542.36323529412</v>
      </c>
      <c r="BS114" s="199">
        <f t="shared" si="301"/>
        <v>-66608.33107843138</v>
      </c>
      <c r="BV114" s="204">
        <v>2</v>
      </c>
      <c r="BW114" s="757">
        <f>'Energy NPV'!$D40</f>
        <v>3.9250000000000007</v>
      </c>
      <c r="BX114" s="197">
        <f>'Energy margins'!$L$12</f>
        <v>269.5</v>
      </c>
      <c r="BY114" s="197">
        <f>BW114*BX114</f>
        <v>1057.7875000000001</v>
      </c>
      <c r="BZ114" s="197">
        <f>'Margins summary'!$S$14</f>
        <v>471.64</v>
      </c>
      <c r="CA114" s="197">
        <f t="shared" ref="CA114:CA128" si="302">BY114+BZ114</f>
        <v>1529.4275000000002</v>
      </c>
      <c r="CB114" s="197"/>
      <c r="CC114" s="913">
        <f>'Energy NPV'!U40</f>
        <v>2491.768</v>
      </c>
      <c r="CD114" s="197"/>
      <c r="CE114" s="197">
        <f t="shared" ref="CE114:CE128" si="303">CB114+CC114+CD114</f>
        <v>2491.768</v>
      </c>
      <c r="CF114" s="197">
        <f t="shared" si="274"/>
        <v>-1433.9804999999999</v>
      </c>
      <c r="CG114" s="197">
        <f t="shared" si="275"/>
        <v>-962.34049999999979</v>
      </c>
      <c r="CH114" s="196">
        <f t="shared" ref="CH114:CH128" si="304">BY114/((1+$E$4)^(BV114-1))</f>
        <v>979.43287037037044</v>
      </c>
      <c r="CI114" s="197">
        <f t="shared" ref="CI114:CI128" si="305">BZ114/((1+$E$4)^(BV114-1))</f>
        <v>436.70370370370364</v>
      </c>
      <c r="CJ114" s="197">
        <f t="shared" ref="CJ114:CJ128" si="306">CE114/((1+$E$4)^(BV114-1))</f>
        <v>2307.1925925925925</v>
      </c>
      <c r="CK114" s="197">
        <f t="shared" ref="CK114:CK128" si="307">CF114/((1+$E$4)^(BV114-1))</f>
        <v>-1327.7597222222221</v>
      </c>
      <c r="CL114" s="199">
        <f t="shared" ref="CL114:CL128" si="308">CG114/((1+$E$4)^(BV114-1))</f>
        <v>-891.05601851851827</v>
      </c>
      <c r="CM114" s="196">
        <f>CM113+CH114</f>
        <v>1141.1328703703705</v>
      </c>
      <c r="CN114" s="197">
        <f t="shared" ref="CN114:CQ128" si="309">CN113+CI114</f>
        <v>908.34370370370357</v>
      </c>
      <c r="CO114" s="197">
        <f t="shared" si="309"/>
        <v>68605.392592592587</v>
      </c>
      <c r="CP114" s="197">
        <f t="shared" si="309"/>
        <v>-67464.259722222225</v>
      </c>
      <c r="CQ114" s="199">
        <f t="shared" si="309"/>
        <v>-66555.916018518517</v>
      </c>
      <c r="CT114" s="204">
        <f>CT113+1</f>
        <v>2</v>
      </c>
      <c r="CU114" s="757">
        <f>'Energy NPV'!$D40</f>
        <v>3.9250000000000007</v>
      </c>
      <c r="CV114" s="197">
        <f>'Energy margins'!$L$12</f>
        <v>269.5</v>
      </c>
      <c r="CW114" s="197">
        <f>CU114*CV114</f>
        <v>1057.7875000000001</v>
      </c>
      <c r="CX114" s="197">
        <f>'Margins summary'!$S$14</f>
        <v>471.64</v>
      </c>
      <c r="CY114" s="197">
        <f t="shared" ref="CY114:CY128" si="310">CW114+CX114</f>
        <v>1529.4275000000002</v>
      </c>
      <c r="CZ114" s="197"/>
      <c r="DA114" s="913">
        <f>'Energy NPV'!U40</f>
        <v>2491.768</v>
      </c>
      <c r="DB114" s="197"/>
      <c r="DC114" s="197">
        <f t="shared" ref="DC114:DC128" si="311">CZ114+DA114+DB114</f>
        <v>2491.768</v>
      </c>
      <c r="DD114" s="197">
        <f t="shared" si="276"/>
        <v>-1433.9804999999999</v>
      </c>
      <c r="DE114" s="197">
        <f t="shared" si="277"/>
        <v>-962.34049999999979</v>
      </c>
      <c r="DF114" s="196">
        <f t="shared" ref="DF114:DF127" si="312">CW114/((1+$F$4)^(CT114-1))</f>
        <v>1057.7875000000001</v>
      </c>
      <c r="DG114" s="197">
        <f t="shared" ref="DG114:DG127" si="313">CX114/((1+$F$4)^(CT114-1))</f>
        <v>471.64</v>
      </c>
      <c r="DH114" s="197">
        <f t="shared" ref="DH114:DH127" si="314">DC114/((1+$F$4)^(CT114-1))</f>
        <v>2491.768</v>
      </c>
      <c r="DI114" s="197">
        <f t="shared" ref="DI114:DI128" si="315">DD114/((1+$F$4)^(CT114-1))</f>
        <v>-1433.9804999999999</v>
      </c>
      <c r="DJ114" s="199">
        <f t="shared" ref="DJ114:DJ127" si="316">DE114/((1+$F$4)^(CT114-1))</f>
        <v>-962.34049999999979</v>
      </c>
      <c r="DK114" s="196">
        <f>DK113+DF114</f>
        <v>1219.4875000000002</v>
      </c>
      <c r="DL114" s="197">
        <f t="shared" ref="DL114:DO128" si="317">DL113+DG114</f>
        <v>943.28</v>
      </c>
      <c r="DM114" s="197">
        <f t="shared" si="317"/>
        <v>68789.967999999993</v>
      </c>
      <c r="DN114" s="197">
        <f t="shared" si="317"/>
        <v>-67570.480500000005</v>
      </c>
      <c r="DO114" s="199">
        <f t="shared" si="317"/>
        <v>-66627.200500000006</v>
      </c>
    </row>
    <row r="115" spans="2:119" x14ac:dyDescent="0.3">
      <c r="B115" s="204">
        <f t="shared" ref="B115:B128" si="318">B114+1</f>
        <v>3</v>
      </c>
      <c r="C115" s="757">
        <f>'Energy NPV'!$D41</f>
        <v>11.099999999999998</v>
      </c>
      <c r="D115" s="197">
        <f>'Energy margins'!$L$12</f>
        <v>269.5</v>
      </c>
      <c r="E115" s="197">
        <f t="shared" ref="E115:E128" si="319">C115*D115</f>
        <v>2991.4499999999994</v>
      </c>
      <c r="F115" s="197">
        <f>'Margins summary'!$S$14</f>
        <v>471.64</v>
      </c>
      <c r="G115" s="197">
        <f t="shared" si="278"/>
        <v>3463.0899999999992</v>
      </c>
      <c r="H115" s="197"/>
      <c r="I115" s="913">
        <f>'Energy NPV'!U41</f>
        <v>2491.768</v>
      </c>
      <c r="J115" s="197"/>
      <c r="K115" s="197">
        <f t="shared" si="279"/>
        <v>2491.768</v>
      </c>
      <c r="L115" s="197">
        <f t="shared" si="268"/>
        <v>499.68199999999933</v>
      </c>
      <c r="M115" s="197">
        <f t="shared" si="269"/>
        <v>971.32199999999921</v>
      </c>
      <c r="N115" s="196">
        <f t="shared" si="280"/>
        <v>2765.7636834319519</v>
      </c>
      <c r="O115" s="197">
        <f t="shared" si="281"/>
        <v>436.05769230769226</v>
      </c>
      <c r="P115" s="197">
        <f t="shared" si="282"/>
        <v>2303.7795857988162</v>
      </c>
      <c r="Q115" s="197">
        <f t="shared" si="283"/>
        <v>461.98409763313543</v>
      </c>
      <c r="R115" s="199">
        <f t="shared" si="284"/>
        <v>898.04178994082758</v>
      </c>
      <c r="S115" s="196">
        <f t="shared" ref="S115:S128" si="320">S114+N115</f>
        <v>3944.5670488165674</v>
      </c>
      <c r="T115" s="197">
        <f t="shared" si="285"/>
        <v>1361.1976923076923</v>
      </c>
      <c r="U115" s="197">
        <f t="shared" si="285"/>
        <v>70997.910355029569</v>
      </c>
      <c r="V115" s="197">
        <f t="shared" si="285"/>
        <v>-67053.343306213021</v>
      </c>
      <c r="W115" s="199">
        <f t="shared" si="285"/>
        <v>-65692.145613905333</v>
      </c>
      <c r="Z115" s="204">
        <f t="shared" ref="Z115:Z128" si="321">Z114+1</f>
        <v>3</v>
      </c>
      <c r="AA115" s="757">
        <f>'Energy NPV'!$D41</f>
        <v>11.099999999999998</v>
      </c>
      <c r="AB115" s="197">
        <f>'Energy margins'!$L$12</f>
        <v>269.5</v>
      </c>
      <c r="AC115" s="197">
        <f t="shared" ref="AC115:AC128" si="322">AA115*AB115</f>
        <v>2991.4499999999994</v>
      </c>
      <c r="AD115" s="197">
        <f>'Margins summary'!$S$14</f>
        <v>471.64</v>
      </c>
      <c r="AE115" s="197">
        <f t="shared" si="286"/>
        <v>3463.0899999999992</v>
      </c>
      <c r="AF115" s="197"/>
      <c r="AG115" s="913">
        <f>'Energy NPV'!U41</f>
        <v>2491.768</v>
      </c>
      <c r="AH115" s="197"/>
      <c r="AI115" s="197">
        <f t="shared" si="287"/>
        <v>2491.768</v>
      </c>
      <c r="AJ115" s="197">
        <f t="shared" si="270"/>
        <v>499.68199999999933</v>
      </c>
      <c r="AK115" s="197">
        <f t="shared" si="271"/>
        <v>971.32199999999921</v>
      </c>
      <c r="AL115" s="196">
        <f t="shared" si="288"/>
        <v>2662.3798504805973</v>
      </c>
      <c r="AM115" s="197">
        <f t="shared" si="289"/>
        <v>419.75792096831606</v>
      </c>
      <c r="AN115" s="197">
        <f t="shared" si="290"/>
        <v>2217.6646493414023</v>
      </c>
      <c r="AO115" s="197">
        <f t="shared" si="291"/>
        <v>444.71520113919479</v>
      </c>
      <c r="AP115" s="199">
        <f t="shared" si="292"/>
        <v>864.47312210751079</v>
      </c>
      <c r="AQ115" s="196">
        <f t="shared" ref="AQ115:AQ127" si="323">AQ114+AL115</f>
        <v>3821.9925863296539</v>
      </c>
      <c r="AR115" s="197">
        <f t="shared" si="293"/>
        <v>1336.3413171947311</v>
      </c>
      <c r="AS115" s="197">
        <f t="shared" si="293"/>
        <v>70866.589177643284</v>
      </c>
      <c r="AT115" s="197">
        <f t="shared" si="293"/>
        <v>-67044.596591313646</v>
      </c>
      <c r="AU115" s="199">
        <f t="shared" si="293"/>
        <v>-65708.255274118914</v>
      </c>
      <c r="AX115" s="204">
        <f t="shared" ref="AX115:AX128" si="324">AX114+1</f>
        <v>3</v>
      </c>
      <c r="AY115" s="757">
        <f>'Energy NPV'!$D41</f>
        <v>11.099999999999998</v>
      </c>
      <c r="AZ115" s="197">
        <f>'Energy margins'!$L$12</f>
        <v>269.5</v>
      </c>
      <c r="BA115" s="197">
        <f t="shared" ref="BA115:BA128" si="325">AY115*AZ115</f>
        <v>2991.4499999999994</v>
      </c>
      <c r="BB115" s="197">
        <f>'Margins summary'!$S$14</f>
        <v>471.64</v>
      </c>
      <c r="BC115" s="197">
        <f t="shared" si="294"/>
        <v>3463.0899999999992</v>
      </c>
      <c r="BD115" s="197"/>
      <c r="BE115" s="913">
        <f>'Energy NPV'!U41</f>
        <v>2491.768</v>
      </c>
      <c r="BF115" s="197"/>
      <c r="BG115" s="197">
        <f t="shared" si="295"/>
        <v>2491.768</v>
      </c>
      <c r="BH115" s="197">
        <f t="shared" si="272"/>
        <v>499.68199999999933</v>
      </c>
      <c r="BI115" s="197">
        <f t="shared" si="273"/>
        <v>971.32199999999921</v>
      </c>
      <c r="BJ115" s="196">
        <f t="shared" si="296"/>
        <v>2875.288350634371</v>
      </c>
      <c r="BK115" s="197">
        <f t="shared" si="297"/>
        <v>453.32564398308341</v>
      </c>
      <c r="BL115" s="197">
        <f t="shared" si="298"/>
        <v>2395.0096116878126</v>
      </c>
      <c r="BM115" s="197">
        <f t="shared" si="299"/>
        <v>480.27873894655841</v>
      </c>
      <c r="BN115" s="199">
        <f t="shared" si="300"/>
        <v>933.6043829296417</v>
      </c>
      <c r="BO115" s="196">
        <f t="shared" ref="BO115:BO128" si="326">BO114+BJ115</f>
        <v>4074.0349192618223</v>
      </c>
      <c r="BP115" s="197">
        <f t="shared" si="301"/>
        <v>1387.3578008458285</v>
      </c>
      <c r="BQ115" s="197">
        <f t="shared" si="301"/>
        <v>71136.119415609384</v>
      </c>
      <c r="BR115" s="197">
        <f t="shared" si="301"/>
        <v>-67062.084496347568</v>
      </c>
      <c r="BS115" s="199">
        <f t="shared" si="301"/>
        <v>-65674.72669550174</v>
      </c>
      <c r="BV115" s="204">
        <f t="shared" ref="BV115:BV128" si="327">BV114+1</f>
        <v>3</v>
      </c>
      <c r="BW115" s="757">
        <f>'Energy NPV'!$D41</f>
        <v>11.099999999999998</v>
      </c>
      <c r="BX115" s="197">
        <f>'Energy margins'!$L$12</f>
        <v>269.5</v>
      </c>
      <c r="BY115" s="197">
        <f t="shared" ref="BY115:BY128" si="328">BW115*BX115</f>
        <v>2991.4499999999994</v>
      </c>
      <c r="BZ115" s="197">
        <f>'Margins summary'!$S$14</f>
        <v>471.64</v>
      </c>
      <c r="CA115" s="197">
        <f t="shared" si="302"/>
        <v>3463.0899999999992</v>
      </c>
      <c r="CB115" s="197"/>
      <c r="CC115" s="913">
        <f>'Energy NPV'!U41</f>
        <v>2491.768</v>
      </c>
      <c r="CD115" s="197"/>
      <c r="CE115" s="197">
        <f t="shared" si="303"/>
        <v>2491.768</v>
      </c>
      <c r="CF115" s="197">
        <f t="shared" si="274"/>
        <v>499.68199999999933</v>
      </c>
      <c r="CG115" s="197">
        <f t="shared" si="275"/>
        <v>971.32199999999921</v>
      </c>
      <c r="CH115" s="196">
        <f t="shared" si="304"/>
        <v>2564.6862139917689</v>
      </c>
      <c r="CI115" s="197">
        <f t="shared" si="305"/>
        <v>404.35528120713303</v>
      </c>
      <c r="CJ115" s="197">
        <f t="shared" si="306"/>
        <v>2136.2894375857336</v>
      </c>
      <c r="CK115" s="197">
        <f t="shared" si="307"/>
        <v>428.39677640603503</v>
      </c>
      <c r="CL115" s="199">
        <f t="shared" si="308"/>
        <v>832.75205761316795</v>
      </c>
      <c r="CM115" s="196">
        <f t="shared" ref="CM115:CM128" si="329">CM114+CH115</f>
        <v>3705.8190843621396</v>
      </c>
      <c r="CN115" s="197">
        <f t="shared" si="309"/>
        <v>1312.6989849108365</v>
      </c>
      <c r="CO115" s="197">
        <f t="shared" si="309"/>
        <v>70741.682030178315</v>
      </c>
      <c r="CP115" s="197">
        <f t="shared" si="309"/>
        <v>-67035.862945816189</v>
      </c>
      <c r="CQ115" s="199">
        <f t="shared" si="309"/>
        <v>-65723.163960905353</v>
      </c>
      <c r="CT115" s="204">
        <f t="shared" ref="CT115:CT128" si="330">CT114+1</f>
        <v>3</v>
      </c>
      <c r="CU115" s="757">
        <f>'Energy NPV'!$D41</f>
        <v>11.099999999999998</v>
      </c>
      <c r="CV115" s="197">
        <f>'Energy margins'!$L$12</f>
        <v>269.5</v>
      </c>
      <c r="CW115" s="197">
        <f t="shared" ref="CW115:CW128" si="331">CU115*CV115</f>
        <v>2991.4499999999994</v>
      </c>
      <c r="CX115" s="197">
        <f>'Margins summary'!$S$14</f>
        <v>471.64</v>
      </c>
      <c r="CY115" s="197">
        <f t="shared" si="310"/>
        <v>3463.0899999999992</v>
      </c>
      <c r="CZ115" s="197"/>
      <c r="DA115" s="913">
        <f>'Energy NPV'!U41</f>
        <v>2491.768</v>
      </c>
      <c r="DB115" s="197"/>
      <c r="DC115" s="197">
        <f t="shared" si="311"/>
        <v>2491.768</v>
      </c>
      <c r="DD115" s="197">
        <f t="shared" si="276"/>
        <v>499.68199999999933</v>
      </c>
      <c r="DE115" s="197">
        <f t="shared" si="277"/>
        <v>971.32199999999921</v>
      </c>
      <c r="DF115" s="196">
        <f t="shared" si="312"/>
        <v>2991.4499999999994</v>
      </c>
      <c r="DG115" s="197">
        <f t="shared" si="313"/>
        <v>471.64</v>
      </c>
      <c r="DH115" s="197">
        <f t="shared" si="314"/>
        <v>2491.768</v>
      </c>
      <c r="DI115" s="197">
        <f t="shared" si="315"/>
        <v>499.68199999999933</v>
      </c>
      <c r="DJ115" s="199">
        <f t="shared" si="316"/>
        <v>971.32199999999921</v>
      </c>
      <c r="DK115" s="196">
        <f t="shared" ref="DK115:DK128" si="332">DK114+DF115</f>
        <v>4210.9375</v>
      </c>
      <c r="DL115" s="197">
        <f t="shared" si="317"/>
        <v>1414.92</v>
      </c>
      <c r="DM115" s="197">
        <f t="shared" si="317"/>
        <v>71281.73599999999</v>
      </c>
      <c r="DN115" s="197">
        <f t="shared" si="317"/>
        <v>-67070.798500000004</v>
      </c>
      <c r="DO115" s="199">
        <f t="shared" si="317"/>
        <v>-65655.878500000006</v>
      </c>
    </row>
    <row r="116" spans="2:119" x14ac:dyDescent="0.3">
      <c r="B116" s="204">
        <f t="shared" si="318"/>
        <v>4</v>
      </c>
      <c r="C116" s="757">
        <f>'Energy NPV'!$D42</f>
        <v>12.54</v>
      </c>
      <c r="D116" s="197">
        <f>'Energy margins'!$L$12</f>
        <v>269.5</v>
      </c>
      <c r="E116" s="197">
        <f t="shared" si="319"/>
        <v>3379.5299999999997</v>
      </c>
      <c r="F116" s="197">
        <f>'Margins summary'!$S$14</f>
        <v>471.64</v>
      </c>
      <c r="G116" s="197">
        <f t="shared" si="278"/>
        <v>3851.1699999999996</v>
      </c>
      <c r="H116" s="197"/>
      <c r="I116" s="913">
        <f>'Energy NPV'!U42</f>
        <v>2000.1999999999998</v>
      </c>
      <c r="J116" s="197"/>
      <c r="K116" s="197">
        <f t="shared" si="279"/>
        <v>2000.1999999999998</v>
      </c>
      <c r="L116" s="197">
        <f t="shared" si="268"/>
        <v>1379.33</v>
      </c>
      <c r="M116" s="197">
        <f t="shared" si="269"/>
        <v>1850.9699999999998</v>
      </c>
      <c r="N116" s="196">
        <f t="shared" si="280"/>
        <v>3004.3898640191164</v>
      </c>
      <c r="O116" s="197">
        <f t="shared" si="281"/>
        <v>419.28624260355025</v>
      </c>
      <c r="P116" s="197">
        <f t="shared" si="282"/>
        <v>1778.1705166135637</v>
      </c>
      <c r="Q116" s="197">
        <f t="shared" si="283"/>
        <v>1226.219347405553</v>
      </c>
      <c r="R116" s="199">
        <f t="shared" si="284"/>
        <v>1645.5055900091031</v>
      </c>
      <c r="S116" s="196">
        <f t="shared" si="320"/>
        <v>6948.9569128356834</v>
      </c>
      <c r="T116" s="197">
        <f t="shared" si="285"/>
        <v>1780.4839349112426</v>
      </c>
      <c r="U116" s="197">
        <f t="shared" si="285"/>
        <v>72776.080871643135</v>
      </c>
      <c r="V116" s="197">
        <f t="shared" si="285"/>
        <v>-65827.123958807468</v>
      </c>
      <c r="W116" s="199">
        <f t="shared" si="285"/>
        <v>-64046.640023896231</v>
      </c>
      <c r="Z116" s="204">
        <f t="shared" si="321"/>
        <v>4</v>
      </c>
      <c r="AA116" s="757">
        <f>'Energy NPV'!$D42</f>
        <v>12.54</v>
      </c>
      <c r="AB116" s="197">
        <f>'Energy margins'!$L$12</f>
        <v>269.5</v>
      </c>
      <c r="AC116" s="197">
        <f t="shared" si="322"/>
        <v>3379.5299999999997</v>
      </c>
      <c r="AD116" s="197">
        <f>'Margins summary'!$S$14</f>
        <v>471.64</v>
      </c>
      <c r="AE116" s="197">
        <f t="shared" si="286"/>
        <v>3851.1699999999996</v>
      </c>
      <c r="AF116" s="197"/>
      <c r="AG116" s="913">
        <f>'Energy NPV'!U42</f>
        <v>2000.1999999999998</v>
      </c>
      <c r="AH116" s="197"/>
      <c r="AI116" s="197">
        <f t="shared" si="287"/>
        <v>2000.1999999999998</v>
      </c>
      <c r="AJ116" s="197">
        <f t="shared" si="270"/>
        <v>1379.33</v>
      </c>
      <c r="AK116" s="197">
        <f t="shared" si="271"/>
        <v>1850.9699999999998</v>
      </c>
      <c r="AL116" s="196">
        <f t="shared" si="288"/>
        <v>2837.518555586154</v>
      </c>
      <c r="AM116" s="197">
        <f t="shared" si="289"/>
        <v>395.99803864935473</v>
      </c>
      <c r="AN116" s="197">
        <f t="shared" si="290"/>
        <v>1679.4064899212096</v>
      </c>
      <c r="AO116" s="197">
        <f t="shared" si="291"/>
        <v>1158.1120656649446</v>
      </c>
      <c r="AP116" s="199">
        <f t="shared" si="292"/>
        <v>1554.1101043142992</v>
      </c>
      <c r="AQ116" s="196">
        <f t="shared" si="323"/>
        <v>6659.5111419158075</v>
      </c>
      <c r="AR116" s="197">
        <f t="shared" si="293"/>
        <v>1732.3393558440857</v>
      </c>
      <c r="AS116" s="197">
        <f t="shared" si="293"/>
        <v>72545.995667564493</v>
      </c>
      <c r="AT116" s="197">
        <f t="shared" si="293"/>
        <v>-65886.484525648702</v>
      </c>
      <c r="AU116" s="199">
        <f t="shared" si="293"/>
        <v>-64154.145169804615</v>
      </c>
      <c r="AX116" s="204">
        <f t="shared" si="324"/>
        <v>4</v>
      </c>
      <c r="AY116" s="757">
        <f>'Energy NPV'!$D42</f>
        <v>12.54</v>
      </c>
      <c r="AZ116" s="197">
        <f>'Energy margins'!$L$12</f>
        <v>269.5</v>
      </c>
      <c r="BA116" s="197">
        <f t="shared" si="325"/>
        <v>3379.5299999999997</v>
      </c>
      <c r="BB116" s="197">
        <f>'Margins summary'!$S$14</f>
        <v>471.64</v>
      </c>
      <c r="BC116" s="197">
        <f t="shared" si="294"/>
        <v>3851.1699999999996</v>
      </c>
      <c r="BD116" s="197"/>
      <c r="BE116" s="913">
        <f>'Energy NPV'!U42</f>
        <v>2000.1999999999998</v>
      </c>
      <c r="BF116" s="197"/>
      <c r="BG116" s="197">
        <f t="shared" si="295"/>
        <v>2000.1999999999998</v>
      </c>
      <c r="BH116" s="197">
        <f t="shared" si="272"/>
        <v>1379.33</v>
      </c>
      <c r="BI116" s="197">
        <f t="shared" si="273"/>
        <v>1850.9699999999998</v>
      </c>
      <c r="BJ116" s="196">
        <f t="shared" si="296"/>
        <v>3184.6065992717731</v>
      </c>
      <c r="BK116" s="197">
        <f t="shared" si="297"/>
        <v>444.4369058657681</v>
      </c>
      <c r="BL116" s="197">
        <f t="shared" si="298"/>
        <v>1884.8331335609985</v>
      </c>
      <c r="BM116" s="197">
        <f t="shared" si="299"/>
        <v>1299.7734657107749</v>
      </c>
      <c r="BN116" s="199">
        <f t="shared" si="300"/>
        <v>1744.2103715765429</v>
      </c>
      <c r="BO116" s="196">
        <f t="shared" si="326"/>
        <v>7258.6415185335954</v>
      </c>
      <c r="BP116" s="197">
        <f t="shared" si="301"/>
        <v>1831.7947067115965</v>
      </c>
      <c r="BQ116" s="197">
        <f t="shared" si="301"/>
        <v>73020.952549170383</v>
      </c>
      <c r="BR116" s="197">
        <f t="shared" si="301"/>
        <v>-65762.311030636789</v>
      </c>
      <c r="BS116" s="199">
        <f t="shared" si="301"/>
        <v>-63930.5163239252</v>
      </c>
      <c r="BV116" s="204">
        <f t="shared" si="327"/>
        <v>4</v>
      </c>
      <c r="BW116" s="757">
        <f>'Energy NPV'!$D42</f>
        <v>12.54</v>
      </c>
      <c r="BX116" s="197">
        <f>'Energy margins'!$L$12</f>
        <v>269.5</v>
      </c>
      <c r="BY116" s="197">
        <f t="shared" si="328"/>
        <v>3379.5299999999997</v>
      </c>
      <c r="BZ116" s="197">
        <f>'Margins summary'!$S$14</f>
        <v>471.64</v>
      </c>
      <c r="CA116" s="197">
        <f t="shared" si="302"/>
        <v>3851.1699999999996</v>
      </c>
      <c r="CB116" s="197"/>
      <c r="CC116" s="913">
        <f>'Energy NPV'!U42</f>
        <v>2000.1999999999998</v>
      </c>
      <c r="CD116" s="197"/>
      <c r="CE116" s="197">
        <f t="shared" si="303"/>
        <v>2000.1999999999998</v>
      </c>
      <c r="CF116" s="197">
        <f t="shared" si="274"/>
        <v>1379.33</v>
      </c>
      <c r="CG116" s="197">
        <f t="shared" si="275"/>
        <v>1850.9699999999998</v>
      </c>
      <c r="CH116" s="196">
        <f t="shared" si="304"/>
        <v>2682.7798734948933</v>
      </c>
      <c r="CI116" s="197">
        <f t="shared" si="305"/>
        <v>374.40303815475278</v>
      </c>
      <c r="CJ116" s="197">
        <f t="shared" si="306"/>
        <v>1587.823248488543</v>
      </c>
      <c r="CK116" s="197">
        <f t="shared" si="307"/>
        <v>1094.9566250063504</v>
      </c>
      <c r="CL116" s="199">
        <f t="shared" si="308"/>
        <v>1469.3596631611031</v>
      </c>
      <c r="CM116" s="196">
        <f t="shared" si="329"/>
        <v>6388.5989578570334</v>
      </c>
      <c r="CN116" s="197">
        <f t="shared" si="309"/>
        <v>1687.1020230655893</v>
      </c>
      <c r="CO116" s="197">
        <f t="shared" si="309"/>
        <v>72329.505278666853</v>
      </c>
      <c r="CP116" s="197">
        <f t="shared" si="309"/>
        <v>-65940.906320809838</v>
      </c>
      <c r="CQ116" s="199">
        <f t="shared" si="309"/>
        <v>-64253.804297744253</v>
      </c>
      <c r="CT116" s="204">
        <f t="shared" si="330"/>
        <v>4</v>
      </c>
      <c r="CU116" s="757">
        <f>'Energy NPV'!$D42</f>
        <v>12.54</v>
      </c>
      <c r="CV116" s="197">
        <f>'Energy margins'!$L$12</f>
        <v>269.5</v>
      </c>
      <c r="CW116" s="197">
        <f t="shared" si="331"/>
        <v>3379.5299999999997</v>
      </c>
      <c r="CX116" s="197">
        <f>'Margins summary'!$S$14</f>
        <v>471.64</v>
      </c>
      <c r="CY116" s="197">
        <f t="shared" si="310"/>
        <v>3851.1699999999996</v>
      </c>
      <c r="CZ116" s="197"/>
      <c r="DA116" s="913">
        <f>'Energy NPV'!U42</f>
        <v>2000.1999999999998</v>
      </c>
      <c r="DB116" s="197"/>
      <c r="DC116" s="197">
        <f t="shared" si="311"/>
        <v>2000.1999999999998</v>
      </c>
      <c r="DD116" s="197">
        <f t="shared" si="276"/>
        <v>1379.33</v>
      </c>
      <c r="DE116" s="197">
        <f t="shared" si="277"/>
        <v>1850.9699999999998</v>
      </c>
      <c r="DF116" s="196">
        <f t="shared" si="312"/>
        <v>3379.5299999999997</v>
      </c>
      <c r="DG116" s="197">
        <f t="shared" si="313"/>
        <v>471.64</v>
      </c>
      <c r="DH116" s="197">
        <f t="shared" si="314"/>
        <v>2000.1999999999998</v>
      </c>
      <c r="DI116" s="197">
        <f t="shared" si="315"/>
        <v>1379.33</v>
      </c>
      <c r="DJ116" s="199">
        <f t="shared" si="316"/>
        <v>1850.9699999999998</v>
      </c>
      <c r="DK116" s="196">
        <f t="shared" si="332"/>
        <v>7590.4674999999997</v>
      </c>
      <c r="DL116" s="197">
        <f t="shared" si="317"/>
        <v>1886.56</v>
      </c>
      <c r="DM116" s="197">
        <f t="shared" si="317"/>
        <v>73281.935999999987</v>
      </c>
      <c r="DN116" s="197">
        <f t="shared" si="317"/>
        <v>-65691.468500000003</v>
      </c>
      <c r="DO116" s="199">
        <f t="shared" si="317"/>
        <v>-63804.908500000005</v>
      </c>
    </row>
    <row r="117" spans="2:119" x14ac:dyDescent="0.3">
      <c r="B117" s="204">
        <f t="shared" si="318"/>
        <v>5</v>
      </c>
      <c r="C117" s="757">
        <f>'Energy NPV'!$D43</f>
        <v>12.54</v>
      </c>
      <c r="D117" s="197">
        <f>'Energy margins'!$L$12</f>
        <v>269.5</v>
      </c>
      <c r="E117" s="197">
        <f t="shared" si="319"/>
        <v>3379.5299999999997</v>
      </c>
      <c r="F117" s="197">
        <f>'Margins summary'!$S$14</f>
        <v>471.64</v>
      </c>
      <c r="G117" s="197">
        <f t="shared" si="278"/>
        <v>3851.1699999999996</v>
      </c>
      <c r="H117" s="197"/>
      <c r="I117" s="913">
        <f>'Energy NPV'!U43</f>
        <v>2000.1999999999998</v>
      </c>
      <c r="J117" s="197"/>
      <c r="K117" s="197">
        <f t="shared" si="279"/>
        <v>2000.1999999999998</v>
      </c>
      <c r="L117" s="197">
        <f t="shared" si="268"/>
        <v>1379.33</v>
      </c>
      <c r="M117" s="197">
        <f t="shared" si="269"/>
        <v>1850.9699999999998</v>
      </c>
      <c r="N117" s="196">
        <f t="shared" si="280"/>
        <v>2888.8364077106885</v>
      </c>
      <c r="O117" s="197">
        <f t="shared" si="281"/>
        <v>403.15984865725983</v>
      </c>
      <c r="P117" s="197">
        <f t="shared" si="282"/>
        <v>1709.7793428976572</v>
      </c>
      <c r="Q117" s="197">
        <f t="shared" si="283"/>
        <v>1179.0570648130315</v>
      </c>
      <c r="R117" s="199">
        <f t="shared" si="284"/>
        <v>1582.2169134702913</v>
      </c>
      <c r="S117" s="196">
        <f t="shared" si="320"/>
        <v>9837.7933205463723</v>
      </c>
      <c r="T117" s="197">
        <f t="shared" si="285"/>
        <v>2183.6437835685024</v>
      </c>
      <c r="U117" s="197">
        <f t="shared" si="285"/>
        <v>74485.860214540793</v>
      </c>
      <c r="V117" s="197">
        <f t="shared" si="285"/>
        <v>-64648.066893994437</v>
      </c>
      <c r="W117" s="199">
        <f t="shared" si="285"/>
        <v>-62464.423110425938</v>
      </c>
      <c r="Z117" s="204">
        <f t="shared" si="321"/>
        <v>5</v>
      </c>
      <c r="AA117" s="757">
        <f>'Energy NPV'!$D43</f>
        <v>12.54</v>
      </c>
      <c r="AB117" s="197">
        <f>'Energy margins'!$L$12</f>
        <v>269.5</v>
      </c>
      <c r="AC117" s="197">
        <f t="shared" si="322"/>
        <v>3379.5299999999997</v>
      </c>
      <c r="AD117" s="197">
        <f>'Margins summary'!$S$14</f>
        <v>471.64</v>
      </c>
      <c r="AE117" s="197">
        <f t="shared" si="286"/>
        <v>3851.1699999999996</v>
      </c>
      <c r="AF117" s="197"/>
      <c r="AG117" s="913">
        <f>'Energy NPV'!U43</f>
        <v>2000.1999999999998</v>
      </c>
      <c r="AH117" s="197"/>
      <c r="AI117" s="197">
        <f t="shared" si="287"/>
        <v>2000.1999999999998</v>
      </c>
      <c r="AJ117" s="197">
        <f t="shared" si="270"/>
        <v>1379.33</v>
      </c>
      <c r="AK117" s="197">
        <f t="shared" si="271"/>
        <v>1850.9699999999998</v>
      </c>
      <c r="AL117" s="196">
        <f t="shared" si="288"/>
        <v>2676.9042977227869</v>
      </c>
      <c r="AM117" s="197">
        <f t="shared" si="289"/>
        <v>373.58305532957991</v>
      </c>
      <c r="AN117" s="197">
        <f t="shared" si="290"/>
        <v>1584.3457452086882</v>
      </c>
      <c r="AO117" s="197">
        <f t="shared" si="291"/>
        <v>1092.5585525140987</v>
      </c>
      <c r="AP117" s="199">
        <f t="shared" si="292"/>
        <v>1466.1416078436785</v>
      </c>
      <c r="AQ117" s="196">
        <f t="shared" si="323"/>
        <v>9336.4154396385948</v>
      </c>
      <c r="AR117" s="197">
        <f t="shared" si="293"/>
        <v>2105.9224111736658</v>
      </c>
      <c r="AS117" s="197">
        <f t="shared" si="293"/>
        <v>74130.341412773181</v>
      </c>
      <c r="AT117" s="197">
        <f t="shared" si="293"/>
        <v>-64793.925973134603</v>
      </c>
      <c r="AU117" s="199">
        <f t="shared" si="293"/>
        <v>-62688.003561960933</v>
      </c>
      <c r="AX117" s="204">
        <f t="shared" si="324"/>
        <v>5</v>
      </c>
      <c r="AY117" s="757">
        <f>'Energy NPV'!$D43</f>
        <v>12.54</v>
      </c>
      <c r="AZ117" s="197">
        <f>'Energy margins'!$L$12</f>
        <v>269.5</v>
      </c>
      <c r="BA117" s="197">
        <f t="shared" si="325"/>
        <v>3379.5299999999997</v>
      </c>
      <c r="BB117" s="197">
        <f>'Margins summary'!$S$14</f>
        <v>471.64</v>
      </c>
      <c r="BC117" s="197">
        <f t="shared" si="294"/>
        <v>3851.1699999999996</v>
      </c>
      <c r="BD117" s="197"/>
      <c r="BE117" s="913">
        <f>'Energy NPV'!U43</f>
        <v>2000.1999999999998</v>
      </c>
      <c r="BF117" s="197"/>
      <c r="BG117" s="197">
        <f t="shared" si="295"/>
        <v>2000.1999999999998</v>
      </c>
      <c r="BH117" s="197">
        <f t="shared" si="272"/>
        <v>1379.33</v>
      </c>
      <c r="BI117" s="197">
        <f t="shared" si="273"/>
        <v>1850.9699999999998</v>
      </c>
      <c r="BJ117" s="196">
        <f t="shared" si="296"/>
        <v>3122.1633326193855</v>
      </c>
      <c r="BK117" s="197">
        <f t="shared" si="297"/>
        <v>435.72245673114514</v>
      </c>
      <c r="BL117" s="197">
        <f t="shared" si="298"/>
        <v>1847.8756211382336</v>
      </c>
      <c r="BM117" s="197">
        <f t="shared" si="299"/>
        <v>1274.2877114811517</v>
      </c>
      <c r="BN117" s="199">
        <f t="shared" si="300"/>
        <v>1710.0101682122968</v>
      </c>
      <c r="BO117" s="196">
        <f t="shared" si="326"/>
        <v>10380.804851152981</v>
      </c>
      <c r="BP117" s="197">
        <f t="shared" si="301"/>
        <v>2267.5171634427415</v>
      </c>
      <c r="BQ117" s="197">
        <f t="shared" si="301"/>
        <v>74868.82817030861</v>
      </c>
      <c r="BR117" s="197">
        <f t="shared" si="301"/>
        <v>-64488.02331915564</v>
      </c>
      <c r="BS117" s="199">
        <f t="shared" si="301"/>
        <v>-62220.506155712901</v>
      </c>
      <c r="BV117" s="204">
        <f t="shared" si="327"/>
        <v>5</v>
      </c>
      <c r="BW117" s="757">
        <f>'Energy NPV'!$D43</f>
        <v>12.54</v>
      </c>
      <c r="BX117" s="197">
        <f>'Energy margins'!$L$12</f>
        <v>269.5</v>
      </c>
      <c r="BY117" s="197">
        <f t="shared" si="328"/>
        <v>3379.5299999999997</v>
      </c>
      <c r="BZ117" s="197">
        <f>'Margins summary'!$S$14</f>
        <v>471.64</v>
      </c>
      <c r="CA117" s="197">
        <f t="shared" si="302"/>
        <v>3851.1699999999996</v>
      </c>
      <c r="CB117" s="197"/>
      <c r="CC117" s="913">
        <f>'Energy NPV'!U43</f>
        <v>2000.1999999999998</v>
      </c>
      <c r="CD117" s="197"/>
      <c r="CE117" s="197">
        <f t="shared" si="303"/>
        <v>2000.1999999999998</v>
      </c>
      <c r="CF117" s="197">
        <f t="shared" si="274"/>
        <v>1379.33</v>
      </c>
      <c r="CG117" s="197">
        <f t="shared" si="275"/>
        <v>1850.9699999999998</v>
      </c>
      <c r="CH117" s="196">
        <f t="shared" si="304"/>
        <v>2484.0554384211973</v>
      </c>
      <c r="CI117" s="197">
        <f t="shared" si="305"/>
        <v>346.6694797729192</v>
      </c>
      <c r="CJ117" s="197">
        <f t="shared" si="306"/>
        <v>1470.2067115634657</v>
      </c>
      <c r="CK117" s="197">
        <f t="shared" si="307"/>
        <v>1013.8487268577318</v>
      </c>
      <c r="CL117" s="199">
        <f t="shared" si="308"/>
        <v>1360.5182066306509</v>
      </c>
      <c r="CM117" s="196">
        <f t="shared" si="329"/>
        <v>8872.6543962782307</v>
      </c>
      <c r="CN117" s="197">
        <f t="shared" si="309"/>
        <v>2033.7715028385085</v>
      </c>
      <c r="CO117" s="197">
        <f t="shared" si="309"/>
        <v>73799.711990230324</v>
      </c>
      <c r="CP117" s="197">
        <f t="shared" si="309"/>
        <v>-64927.057593952108</v>
      </c>
      <c r="CQ117" s="199">
        <f t="shared" si="309"/>
        <v>-62893.286091113601</v>
      </c>
      <c r="CT117" s="204">
        <f t="shared" si="330"/>
        <v>5</v>
      </c>
      <c r="CU117" s="757">
        <f>'Energy NPV'!$D43</f>
        <v>12.54</v>
      </c>
      <c r="CV117" s="197">
        <f>'Energy margins'!$L$12</f>
        <v>269.5</v>
      </c>
      <c r="CW117" s="197">
        <f t="shared" si="331"/>
        <v>3379.5299999999997</v>
      </c>
      <c r="CX117" s="197">
        <f>'Margins summary'!$S$14</f>
        <v>471.64</v>
      </c>
      <c r="CY117" s="197">
        <f t="shared" si="310"/>
        <v>3851.1699999999996</v>
      </c>
      <c r="CZ117" s="197"/>
      <c r="DA117" s="913">
        <f>'Energy NPV'!U43</f>
        <v>2000.1999999999998</v>
      </c>
      <c r="DB117" s="197"/>
      <c r="DC117" s="197">
        <f t="shared" si="311"/>
        <v>2000.1999999999998</v>
      </c>
      <c r="DD117" s="197">
        <f t="shared" si="276"/>
        <v>1379.33</v>
      </c>
      <c r="DE117" s="197">
        <f t="shared" si="277"/>
        <v>1850.9699999999998</v>
      </c>
      <c r="DF117" s="196">
        <f t="shared" si="312"/>
        <v>3379.5299999999997</v>
      </c>
      <c r="DG117" s="197">
        <f t="shared" si="313"/>
        <v>471.64</v>
      </c>
      <c r="DH117" s="197">
        <f t="shared" si="314"/>
        <v>2000.1999999999998</v>
      </c>
      <c r="DI117" s="197">
        <f t="shared" si="315"/>
        <v>1379.33</v>
      </c>
      <c r="DJ117" s="199">
        <f t="shared" si="316"/>
        <v>1850.9699999999998</v>
      </c>
      <c r="DK117" s="196">
        <f t="shared" si="332"/>
        <v>10969.997499999999</v>
      </c>
      <c r="DL117" s="197">
        <f t="shared" si="317"/>
        <v>2358.1999999999998</v>
      </c>
      <c r="DM117" s="197">
        <f t="shared" si="317"/>
        <v>75282.135999999984</v>
      </c>
      <c r="DN117" s="197">
        <f t="shared" si="317"/>
        <v>-64312.138500000001</v>
      </c>
      <c r="DO117" s="199">
        <f t="shared" si="317"/>
        <v>-61953.938500000004</v>
      </c>
    </row>
    <row r="118" spans="2:119" x14ac:dyDescent="0.3">
      <c r="B118" s="204">
        <f t="shared" si="318"/>
        <v>6</v>
      </c>
      <c r="C118" s="757">
        <f>'Energy NPV'!$D44</f>
        <v>12.54</v>
      </c>
      <c r="D118" s="197">
        <f>'Energy margins'!$L$12</f>
        <v>269.5</v>
      </c>
      <c r="E118" s="197">
        <f t="shared" si="319"/>
        <v>3379.5299999999997</v>
      </c>
      <c r="F118" s="197">
        <f>'Margins summary'!$S$14</f>
        <v>471.64</v>
      </c>
      <c r="G118" s="197">
        <f t="shared" si="278"/>
        <v>3851.1699999999996</v>
      </c>
      <c r="H118" s="197"/>
      <c r="I118" s="913">
        <f>'Energy NPV'!U44</f>
        <v>2000.1999999999998</v>
      </c>
      <c r="J118" s="197"/>
      <c r="K118" s="197">
        <f t="shared" si="279"/>
        <v>2000.1999999999998</v>
      </c>
      <c r="L118" s="197">
        <f t="shared" si="268"/>
        <v>1379.33</v>
      </c>
      <c r="M118" s="197">
        <f t="shared" si="269"/>
        <v>1850.9699999999998</v>
      </c>
      <c r="N118" s="196">
        <f t="shared" si="280"/>
        <v>2777.727315106431</v>
      </c>
      <c r="O118" s="197">
        <f t="shared" si="281"/>
        <v>387.65370063198054</v>
      </c>
      <c r="P118" s="197">
        <f t="shared" si="282"/>
        <v>1644.0185989400547</v>
      </c>
      <c r="Q118" s="197">
        <f t="shared" si="283"/>
        <v>1133.7087161663762</v>
      </c>
      <c r="R118" s="199">
        <f t="shared" si="284"/>
        <v>1521.3624167983567</v>
      </c>
      <c r="S118" s="196">
        <f t="shared" si="320"/>
        <v>12615.520635652803</v>
      </c>
      <c r="T118" s="197">
        <f t="shared" si="285"/>
        <v>2571.2974842004828</v>
      </c>
      <c r="U118" s="197">
        <f t="shared" si="285"/>
        <v>76129.878813480842</v>
      </c>
      <c r="V118" s="197">
        <f t="shared" si="285"/>
        <v>-63514.358177828064</v>
      </c>
      <c r="W118" s="199">
        <f t="shared" si="285"/>
        <v>-60943.06069362758</v>
      </c>
      <c r="Z118" s="204">
        <f t="shared" si="321"/>
        <v>6</v>
      </c>
      <c r="AA118" s="757">
        <f>'Energy NPV'!$D44</f>
        <v>12.54</v>
      </c>
      <c r="AB118" s="197">
        <f>'Energy margins'!$L$12</f>
        <v>269.5</v>
      </c>
      <c r="AC118" s="197">
        <f t="shared" si="322"/>
        <v>3379.5299999999997</v>
      </c>
      <c r="AD118" s="197">
        <f>'Margins summary'!$S$14</f>
        <v>471.64</v>
      </c>
      <c r="AE118" s="197">
        <f t="shared" si="286"/>
        <v>3851.1699999999996</v>
      </c>
      <c r="AF118" s="197"/>
      <c r="AG118" s="913">
        <f>'Energy NPV'!U44</f>
        <v>2000.1999999999998</v>
      </c>
      <c r="AH118" s="197"/>
      <c r="AI118" s="197">
        <f t="shared" si="287"/>
        <v>2000.1999999999998</v>
      </c>
      <c r="AJ118" s="197">
        <f t="shared" si="270"/>
        <v>1379.33</v>
      </c>
      <c r="AK118" s="197">
        <f t="shared" si="271"/>
        <v>1850.9699999999998</v>
      </c>
      <c r="AL118" s="196">
        <f t="shared" si="288"/>
        <v>2525.3814129460252</v>
      </c>
      <c r="AM118" s="197">
        <f t="shared" si="289"/>
        <v>352.43684465054707</v>
      </c>
      <c r="AN118" s="197">
        <f t="shared" si="290"/>
        <v>1494.6657973666868</v>
      </c>
      <c r="AO118" s="197">
        <f t="shared" si="291"/>
        <v>1030.7156155793382</v>
      </c>
      <c r="AP118" s="199">
        <f t="shared" si="292"/>
        <v>1383.1524602298853</v>
      </c>
      <c r="AQ118" s="196">
        <f t="shared" si="323"/>
        <v>11861.796852584619</v>
      </c>
      <c r="AR118" s="197">
        <f t="shared" si="293"/>
        <v>2458.3592558242126</v>
      </c>
      <c r="AS118" s="197">
        <f t="shared" si="293"/>
        <v>75625.007210139869</v>
      </c>
      <c r="AT118" s="197">
        <f t="shared" si="293"/>
        <v>-63763.210357555261</v>
      </c>
      <c r="AU118" s="199">
        <f t="shared" si="293"/>
        <v>-61304.851101731045</v>
      </c>
      <c r="AX118" s="204">
        <f t="shared" si="324"/>
        <v>6</v>
      </c>
      <c r="AY118" s="757">
        <f>'Energy NPV'!$D44</f>
        <v>12.54</v>
      </c>
      <c r="AZ118" s="197">
        <f>'Energy margins'!$L$12</f>
        <v>269.5</v>
      </c>
      <c r="BA118" s="197">
        <f t="shared" si="325"/>
        <v>3379.5299999999997</v>
      </c>
      <c r="BB118" s="197">
        <f>'Margins summary'!$S$14</f>
        <v>471.64</v>
      </c>
      <c r="BC118" s="197">
        <f t="shared" si="294"/>
        <v>3851.1699999999996</v>
      </c>
      <c r="BD118" s="197"/>
      <c r="BE118" s="913">
        <f>'Energy NPV'!U44</f>
        <v>2000.1999999999998</v>
      </c>
      <c r="BF118" s="197"/>
      <c r="BG118" s="197">
        <f t="shared" si="295"/>
        <v>2000.1999999999998</v>
      </c>
      <c r="BH118" s="197">
        <f t="shared" si="272"/>
        <v>1379.33</v>
      </c>
      <c r="BI118" s="197">
        <f t="shared" si="273"/>
        <v>1850.9699999999998</v>
      </c>
      <c r="BJ118" s="196">
        <f t="shared" si="296"/>
        <v>3060.9444437444954</v>
      </c>
      <c r="BK118" s="197">
        <f t="shared" si="297"/>
        <v>427.17887914818152</v>
      </c>
      <c r="BL118" s="197">
        <f t="shared" si="298"/>
        <v>1811.6427658217976</v>
      </c>
      <c r="BM118" s="197">
        <f t="shared" si="299"/>
        <v>1249.3016779226978</v>
      </c>
      <c r="BN118" s="199">
        <f t="shared" si="300"/>
        <v>1676.4805570708793</v>
      </c>
      <c r="BO118" s="196">
        <f t="shared" si="326"/>
        <v>13441.749294897476</v>
      </c>
      <c r="BP118" s="197">
        <f t="shared" si="301"/>
        <v>2694.6960425909228</v>
      </c>
      <c r="BQ118" s="197">
        <f t="shared" si="301"/>
        <v>76680.470936130412</v>
      </c>
      <c r="BR118" s="197">
        <f t="shared" si="301"/>
        <v>-63238.721641232944</v>
      </c>
      <c r="BS118" s="199">
        <f t="shared" si="301"/>
        <v>-60544.025598642023</v>
      </c>
      <c r="BV118" s="204">
        <f t="shared" si="327"/>
        <v>6</v>
      </c>
      <c r="BW118" s="757">
        <f>'Energy NPV'!$D44</f>
        <v>12.54</v>
      </c>
      <c r="BX118" s="197">
        <f>'Energy margins'!$L$12</f>
        <v>269.5</v>
      </c>
      <c r="BY118" s="197">
        <f t="shared" si="328"/>
        <v>3379.5299999999997</v>
      </c>
      <c r="BZ118" s="197">
        <f>'Margins summary'!$S$14</f>
        <v>471.64</v>
      </c>
      <c r="CA118" s="197">
        <f t="shared" si="302"/>
        <v>3851.1699999999996</v>
      </c>
      <c r="CB118" s="197"/>
      <c r="CC118" s="913">
        <f>'Energy NPV'!U44</f>
        <v>2000.1999999999998</v>
      </c>
      <c r="CD118" s="197"/>
      <c r="CE118" s="197">
        <f t="shared" si="303"/>
        <v>2000.1999999999998</v>
      </c>
      <c r="CF118" s="197">
        <f t="shared" si="274"/>
        <v>1379.33</v>
      </c>
      <c r="CG118" s="197">
        <f t="shared" si="275"/>
        <v>1850.9699999999998</v>
      </c>
      <c r="CH118" s="196">
        <f t="shared" si="304"/>
        <v>2300.0513318714793</v>
      </c>
      <c r="CI118" s="197">
        <f t="shared" si="305"/>
        <v>320.99025904899923</v>
      </c>
      <c r="CJ118" s="197">
        <f t="shared" si="306"/>
        <v>1361.3025107069127</v>
      </c>
      <c r="CK118" s="197">
        <f t="shared" si="307"/>
        <v>938.74882116456649</v>
      </c>
      <c r="CL118" s="199">
        <f t="shared" si="308"/>
        <v>1259.7390802135658</v>
      </c>
      <c r="CM118" s="196">
        <f t="shared" si="329"/>
        <v>11172.705728149711</v>
      </c>
      <c r="CN118" s="197">
        <f t="shared" si="309"/>
        <v>2354.7617618875079</v>
      </c>
      <c r="CO118" s="197">
        <f t="shared" si="309"/>
        <v>75161.014500937235</v>
      </c>
      <c r="CP118" s="197">
        <f t="shared" si="309"/>
        <v>-63988.308772787539</v>
      </c>
      <c r="CQ118" s="199">
        <f t="shared" si="309"/>
        <v>-61633.547010900038</v>
      </c>
      <c r="CT118" s="204">
        <f t="shared" si="330"/>
        <v>6</v>
      </c>
      <c r="CU118" s="757">
        <f>'Energy NPV'!$D44</f>
        <v>12.54</v>
      </c>
      <c r="CV118" s="197">
        <f>'Energy margins'!$L$12</f>
        <v>269.5</v>
      </c>
      <c r="CW118" s="197">
        <f t="shared" si="331"/>
        <v>3379.5299999999997</v>
      </c>
      <c r="CX118" s="197">
        <f>'Margins summary'!$S$14</f>
        <v>471.64</v>
      </c>
      <c r="CY118" s="197">
        <f t="shared" si="310"/>
        <v>3851.1699999999996</v>
      </c>
      <c r="CZ118" s="197"/>
      <c r="DA118" s="913">
        <f>'Energy NPV'!U44</f>
        <v>2000.1999999999998</v>
      </c>
      <c r="DB118" s="197"/>
      <c r="DC118" s="197">
        <f t="shared" si="311"/>
        <v>2000.1999999999998</v>
      </c>
      <c r="DD118" s="197">
        <f t="shared" si="276"/>
        <v>1379.33</v>
      </c>
      <c r="DE118" s="197">
        <f t="shared" si="277"/>
        <v>1850.9699999999998</v>
      </c>
      <c r="DF118" s="196">
        <f t="shared" si="312"/>
        <v>3379.5299999999997</v>
      </c>
      <c r="DG118" s="197">
        <f t="shared" si="313"/>
        <v>471.64</v>
      </c>
      <c r="DH118" s="197">
        <f t="shared" si="314"/>
        <v>2000.1999999999998</v>
      </c>
      <c r="DI118" s="197">
        <f t="shared" si="315"/>
        <v>1379.33</v>
      </c>
      <c r="DJ118" s="199">
        <f t="shared" si="316"/>
        <v>1850.9699999999998</v>
      </c>
      <c r="DK118" s="196">
        <f t="shared" si="332"/>
        <v>14349.5275</v>
      </c>
      <c r="DL118" s="197">
        <f t="shared" si="317"/>
        <v>2829.8399999999997</v>
      </c>
      <c r="DM118" s="197">
        <f t="shared" si="317"/>
        <v>77282.335999999981</v>
      </c>
      <c r="DN118" s="197">
        <f t="shared" si="317"/>
        <v>-62932.808499999999</v>
      </c>
      <c r="DO118" s="199">
        <f t="shared" si="317"/>
        <v>-60102.968500000003</v>
      </c>
    </row>
    <row r="119" spans="2:119" x14ac:dyDescent="0.3">
      <c r="B119" s="204">
        <f t="shared" si="318"/>
        <v>7</v>
      </c>
      <c r="C119" s="757">
        <f>'Energy NPV'!$D45</f>
        <v>12.54</v>
      </c>
      <c r="D119" s="197">
        <f>'Energy margins'!$L$12</f>
        <v>269.5</v>
      </c>
      <c r="E119" s="197">
        <f t="shared" si="319"/>
        <v>3379.5299999999997</v>
      </c>
      <c r="F119" s="197">
        <f>'Margins summary'!$S$14</f>
        <v>471.64</v>
      </c>
      <c r="G119" s="197">
        <f t="shared" si="278"/>
        <v>3851.1699999999996</v>
      </c>
      <c r="H119" s="197"/>
      <c r="I119" s="913">
        <f>'Energy NPV'!U45</f>
        <v>2000.1999999999998</v>
      </c>
      <c r="J119" s="197"/>
      <c r="K119" s="197">
        <f t="shared" si="279"/>
        <v>2000.1999999999998</v>
      </c>
      <c r="L119" s="197">
        <f t="shared" si="268"/>
        <v>1379.33</v>
      </c>
      <c r="M119" s="197">
        <f t="shared" si="269"/>
        <v>1850.9699999999998</v>
      </c>
      <c r="N119" s="196">
        <f t="shared" si="280"/>
        <v>2670.891649140799</v>
      </c>
      <c r="O119" s="197">
        <f t="shared" si="281"/>
        <v>372.74394291536589</v>
      </c>
      <c r="P119" s="197">
        <f t="shared" si="282"/>
        <v>1580.7871143654372</v>
      </c>
      <c r="Q119" s="197">
        <f t="shared" si="283"/>
        <v>1090.1045347753618</v>
      </c>
      <c r="R119" s="199">
        <f t="shared" si="284"/>
        <v>1462.8484776907276</v>
      </c>
      <c r="S119" s="196">
        <f t="shared" si="320"/>
        <v>15286.412284793601</v>
      </c>
      <c r="T119" s="197">
        <f t="shared" si="285"/>
        <v>2944.0414271158488</v>
      </c>
      <c r="U119" s="197">
        <f t="shared" si="285"/>
        <v>77710.665927846276</v>
      </c>
      <c r="V119" s="197">
        <f t="shared" si="285"/>
        <v>-62424.253643052703</v>
      </c>
      <c r="W119" s="199">
        <f t="shared" si="285"/>
        <v>-59480.212215936852</v>
      </c>
      <c r="Z119" s="204">
        <f t="shared" si="321"/>
        <v>7</v>
      </c>
      <c r="AA119" s="757">
        <f>'Energy NPV'!$D45</f>
        <v>12.54</v>
      </c>
      <c r="AB119" s="197">
        <f>'Energy margins'!$L$12</f>
        <v>269.5</v>
      </c>
      <c r="AC119" s="197">
        <f t="shared" si="322"/>
        <v>3379.5299999999997</v>
      </c>
      <c r="AD119" s="197">
        <f>'Margins summary'!$S$14</f>
        <v>471.64</v>
      </c>
      <c r="AE119" s="197">
        <f t="shared" si="286"/>
        <v>3851.1699999999996</v>
      </c>
      <c r="AF119" s="197"/>
      <c r="AG119" s="913">
        <f>'Energy NPV'!U45</f>
        <v>2000.1999999999998</v>
      </c>
      <c r="AH119" s="197"/>
      <c r="AI119" s="197">
        <f t="shared" si="287"/>
        <v>2000.1999999999998</v>
      </c>
      <c r="AJ119" s="197">
        <f t="shared" si="270"/>
        <v>1379.33</v>
      </c>
      <c r="AK119" s="197">
        <f t="shared" si="271"/>
        <v>1850.9699999999998</v>
      </c>
      <c r="AL119" s="196">
        <f t="shared" si="288"/>
        <v>2382.4352952320992</v>
      </c>
      <c r="AM119" s="197">
        <f t="shared" si="289"/>
        <v>332.48758929296889</v>
      </c>
      <c r="AN119" s="197">
        <f t="shared" si="290"/>
        <v>1410.0620729874404</v>
      </c>
      <c r="AO119" s="197">
        <f t="shared" si="291"/>
        <v>972.37322224465868</v>
      </c>
      <c r="AP119" s="199">
        <f t="shared" si="292"/>
        <v>1304.8608115376276</v>
      </c>
      <c r="AQ119" s="196">
        <f t="shared" si="323"/>
        <v>14244.232147816718</v>
      </c>
      <c r="AR119" s="197">
        <f t="shared" si="293"/>
        <v>2790.8468451171816</v>
      </c>
      <c r="AS119" s="197">
        <f t="shared" si="293"/>
        <v>77035.069283127305</v>
      </c>
      <c r="AT119" s="197">
        <f t="shared" si="293"/>
        <v>-62790.837135310605</v>
      </c>
      <c r="AU119" s="199">
        <f t="shared" si="293"/>
        <v>-59999.990290193418</v>
      </c>
      <c r="AX119" s="204">
        <f t="shared" si="324"/>
        <v>7</v>
      </c>
      <c r="AY119" s="757">
        <f>'Energy NPV'!$D45</f>
        <v>12.54</v>
      </c>
      <c r="AZ119" s="197">
        <f>'Energy margins'!$L$12</f>
        <v>269.5</v>
      </c>
      <c r="BA119" s="197">
        <f t="shared" si="325"/>
        <v>3379.5299999999997</v>
      </c>
      <c r="BB119" s="197">
        <f>'Margins summary'!$S$14</f>
        <v>471.64</v>
      </c>
      <c r="BC119" s="197">
        <f t="shared" si="294"/>
        <v>3851.1699999999996</v>
      </c>
      <c r="BD119" s="197"/>
      <c r="BE119" s="913">
        <f>'Energy NPV'!U45</f>
        <v>2000.1999999999998</v>
      </c>
      <c r="BF119" s="197"/>
      <c r="BG119" s="197">
        <f t="shared" si="295"/>
        <v>2000.1999999999998</v>
      </c>
      <c r="BH119" s="197">
        <f t="shared" si="272"/>
        <v>1379.33</v>
      </c>
      <c r="BI119" s="197">
        <f t="shared" si="273"/>
        <v>1850.9699999999998</v>
      </c>
      <c r="BJ119" s="196">
        <f t="shared" si="296"/>
        <v>3000.9259252397014</v>
      </c>
      <c r="BK119" s="197">
        <f t="shared" si="297"/>
        <v>418.80282269429557</v>
      </c>
      <c r="BL119" s="197">
        <f t="shared" si="298"/>
        <v>1776.1203586488211</v>
      </c>
      <c r="BM119" s="197">
        <f t="shared" si="299"/>
        <v>1224.8055665908801</v>
      </c>
      <c r="BN119" s="199">
        <f t="shared" si="300"/>
        <v>1643.6083892851757</v>
      </c>
      <c r="BO119" s="196">
        <f t="shared" si="326"/>
        <v>16442.675220137178</v>
      </c>
      <c r="BP119" s="197">
        <f t="shared" si="301"/>
        <v>3113.4988652852185</v>
      </c>
      <c r="BQ119" s="197">
        <f t="shared" si="301"/>
        <v>78456.591294779239</v>
      </c>
      <c r="BR119" s="197">
        <f t="shared" si="301"/>
        <v>-62013.91607464206</v>
      </c>
      <c r="BS119" s="199">
        <f t="shared" si="301"/>
        <v>-58900.417209356849</v>
      </c>
      <c r="BV119" s="204">
        <f t="shared" si="327"/>
        <v>7</v>
      </c>
      <c r="BW119" s="757">
        <f>'Energy NPV'!$D45</f>
        <v>12.54</v>
      </c>
      <c r="BX119" s="197">
        <f>'Energy margins'!$L$12</f>
        <v>269.5</v>
      </c>
      <c r="BY119" s="197">
        <f t="shared" si="328"/>
        <v>3379.5299999999997</v>
      </c>
      <c r="BZ119" s="197">
        <f>'Margins summary'!$S$14</f>
        <v>471.64</v>
      </c>
      <c r="CA119" s="197">
        <f t="shared" si="302"/>
        <v>3851.1699999999996</v>
      </c>
      <c r="CB119" s="197"/>
      <c r="CC119" s="913">
        <f>'Energy NPV'!U45</f>
        <v>2000.1999999999998</v>
      </c>
      <c r="CD119" s="197"/>
      <c r="CE119" s="197">
        <f t="shared" si="303"/>
        <v>2000.1999999999998</v>
      </c>
      <c r="CF119" s="197">
        <f t="shared" si="274"/>
        <v>1379.33</v>
      </c>
      <c r="CG119" s="197">
        <f t="shared" si="275"/>
        <v>1850.9699999999998</v>
      </c>
      <c r="CH119" s="196">
        <f t="shared" si="304"/>
        <v>2129.677159140258</v>
      </c>
      <c r="CI119" s="197">
        <f t="shared" si="305"/>
        <v>297.21320282314741</v>
      </c>
      <c r="CJ119" s="197">
        <f t="shared" si="306"/>
        <v>1260.4652876915857</v>
      </c>
      <c r="CK119" s="197">
        <f t="shared" si="307"/>
        <v>869.21187144867258</v>
      </c>
      <c r="CL119" s="199">
        <f t="shared" si="308"/>
        <v>1166.42507427182</v>
      </c>
      <c r="CM119" s="196">
        <f t="shared" si="329"/>
        <v>13302.382887289968</v>
      </c>
      <c r="CN119" s="197">
        <f t="shared" si="309"/>
        <v>2651.9749647106555</v>
      </c>
      <c r="CO119" s="197">
        <f t="shared" si="309"/>
        <v>76421.479788628814</v>
      </c>
      <c r="CP119" s="197">
        <f t="shared" si="309"/>
        <v>-63119.096901338868</v>
      </c>
      <c r="CQ119" s="199">
        <f t="shared" si="309"/>
        <v>-60467.121936628217</v>
      </c>
      <c r="CT119" s="204">
        <f t="shared" si="330"/>
        <v>7</v>
      </c>
      <c r="CU119" s="757">
        <f>'Energy NPV'!$D45</f>
        <v>12.54</v>
      </c>
      <c r="CV119" s="197">
        <f>'Energy margins'!$L$12</f>
        <v>269.5</v>
      </c>
      <c r="CW119" s="197">
        <f t="shared" si="331"/>
        <v>3379.5299999999997</v>
      </c>
      <c r="CX119" s="197">
        <f>'Margins summary'!$S$14</f>
        <v>471.64</v>
      </c>
      <c r="CY119" s="197">
        <f t="shared" si="310"/>
        <v>3851.1699999999996</v>
      </c>
      <c r="CZ119" s="197"/>
      <c r="DA119" s="913">
        <f>'Energy NPV'!U45</f>
        <v>2000.1999999999998</v>
      </c>
      <c r="DB119" s="197"/>
      <c r="DC119" s="197">
        <f t="shared" si="311"/>
        <v>2000.1999999999998</v>
      </c>
      <c r="DD119" s="197">
        <f t="shared" si="276"/>
        <v>1379.33</v>
      </c>
      <c r="DE119" s="197">
        <f t="shared" si="277"/>
        <v>1850.9699999999998</v>
      </c>
      <c r="DF119" s="196">
        <f t="shared" si="312"/>
        <v>3379.5299999999997</v>
      </c>
      <c r="DG119" s="197">
        <f t="shared" si="313"/>
        <v>471.64</v>
      </c>
      <c r="DH119" s="197">
        <f t="shared" si="314"/>
        <v>2000.1999999999998</v>
      </c>
      <c r="DI119" s="197">
        <f t="shared" si="315"/>
        <v>1379.33</v>
      </c>
      <c r="DJ119" s="199">
        <f t="shared" si="316"/>
        <v>1850.9699999999998</v>
      </c>
      <c r="DK119" s="196">
        <f t="shared" si="332"/>
        <v>17729.057499999999</v>
      </c>
      <c r="DL119" s="197">
        <f t="shared" si="317"/>
        <v>3301.4799999999996</v>
      </c>
      <c r="DM119" s="197">
        <f t="shared" si="317"/>
        <v>79282.535999999978</v>
      </c>
      <c r="DN119" s="197">
        <f t="shared" si="317"/>
        <v>-61553.478499999997</v>
      </c>
      <c r="DO119" s="199">
        <f t="shared" si="317"/>
        <v>-58251.998500000002</v>
      </c>
    </row>
    <row r="120" spans="2:119" x14ac:dyDescent="0.3">
      <c r="B120" s="204">
        <f t="shared" si="318"/>
        <v>8</v>
      </c>
      <c r="C120" s="757">
        <f>'Energy NPV'!$D46</f>
        <v>12.54</v>
      </c>
      <c r="D120" s="197">
        <f>'Energy margins'!$L$12</f>
        <v>269.5</v>
      </c>
      <c r="E120" s="197">
        <f t="shared" si="319"/>
        <v>3379.5299999999997</v>
      </c>
      <c r="F120" s="197">
        <f>'Margins summary'!$S$14</f>
        <v>471.64</v>
      </c>
      <c r="G120" s="197">
        <f t="shared" si="278"/>
        <v>3851.1699999999996</v>
      </c>
      <c r="H120" s="197"/>
      <c r="I120" s="913">
        <f>'Energy NPV'!U46</f>
        <v>2000.1999999999998</v>
      </c>
      <c r="J120" s="197"/>
      <c r="K120" s="197">
        <f t="shared" si="279"/>
        <v>2000.1999999999998</v>
      </c>
      <c r="L120" s="197">
        <f t="shared" si="268"/>
        <v>1379.33</v>
      </c>
      <c r="M120" s="197">
        <f t="shared" si="269"/>
        <v>1850.9699999999998</v>
      </c>
      <c r="N120" s="196">
        <f t="shared" si="280"/>
        <v>2568.1650472507686</v>
      </c>
      <c r="O120" s="197">
        <f t="shared" si="281"/>
        <v>358.40763741862111</v>
      </c>
      <c r="P120" s="197">
        <f t="shared" si="282"/>
        <v>1519.9876099667667</v>
      </c>
      <c r="Q120" s="197">
        <f t="shared" si="283"/>
        <v>1048.1774372840018</v>
      </c>
      <c r="R120" s="199">
        <f t="shared" si="284"/>
        <v>1406.5850747026229</v>
      </c>
      <c r="S120" s="196">
        <f t="shared" si="320"/>
        <v>17854.57733204437</v>
      </c>
      <c r="T120" s="197">
        <f t="shared" si="285"/>
        <v>3302.4490645344699</v>
      </c>
      <c r="U120" s="197">
        <f t="shared" si="285"/>
        <v>79230.653537813036</v>
      </c>
      <c r="V120" s="197">
        <f t="shared" si="285"/>
        <v>-61376.076205768702</v>
      </c>
      <c r="W120" s="199">
        <f t="shared" si="285"/>
        <v>-58073.627141234232</v>
      </c>
      <c r="Z120" s="204">
        <f t="shared" si="321"/>
        <v>8</v>
      </c>
      <c r="AA120" s="757">
        <f>'Energy NPV'!$D46</f>
        <v>12.54</v>
      </c>
      <c r="AB120" s="197">
        <f>'Energy margins'!$L$12</f>
        <v>269.5</v>
      </c>
      <c r="AC120" s="197">
        <f t="shared" si="322"/>
        <v>3379.5299999999997</v>
      </c>
      <c r="AD120" s="197">
        <f>'Margins summary'!$S$14</f>
        <v>471.64</v>
      </c>
      <c r="AE120" s="197">
        <f t="shared" si="286"/>
        <v>3851.1699999999996</v>
      </c>
      <c r="AF120" s="197"/>
      <c r="AG120" s="913">
        <f>'Energy NPV'!U46</f>
        <v>2000.1999999999998</v>
      </c>
      <c r="AH120" s="197"/>
      <c r="AI120" s="197">
        <f t="shared" si="287"/>
        <v>2000.1999999999998</v>
      </c>
      <c r="AJ120" s="197">
        <f t="shared" si="270"/>
        <v>1379.33</v>
      </c>
      <c r="AK120" s="197">
        <f t="shared" si="271"/>
        <v>1850.9699999999998</v>
      </c>
      <c r="AL120" s="196">
        <f t="shared" si="288"/>
        <v>2247.5804672000932</v>
      </c>
      <c r="AM120" s="197">
        <f t="shared" si="289"/>
        <v>313.66753706883856</v>
      </c>
      <c r="AN120" s="197">
        <f t="shared" si="290"/>
        <v>1330.2472386673965</v>
      </c>
      <c r="AO120" s="197">
        <f t="shared" si="291"/>
        <v>917.33322853269669</v>
      </c>
      <c r="AP120" s="199">
        <f t="shared" si="292"/>
        <v>1231.0007656015352</v>
      </c>
      <c r="AQ120" s="196">
        <f t="shared" si="323"/>
        <v>16491.81261501681</v>
      </c>
      <c r="AR120" s="197">
        <f t="shared" si="293"/>
        <v>3104.5143821860202</v>
      </c>
      <c r="AS120" s="197">
        <f t="shared" si="293"/>
        <v>78365.316521794695</v>
      </c>
      <c r="AT120" s="197">
        <f t="shared" si="293"/>
        <v>-61873.503906777907</v>
      </c>
      <c r="AU120" s="199">
        <f t="shared" si="293"/>
        <v>-58768.989524591881</v>
      </c>
      <c r="AX120" s="204">
        <f t="shared" si="324"/>
        <v>8</v>
      </c>
      <c r="AY120" s="757">
        <f>'Energy NPV'!$D46</f>
        <v>12.54</v>
      </c>
      <c r="AZ120" s="197">
        <f>'Energy margins'!$L$12</f>
        <v>269.5</v>
      </c>
      <c r="BA120" s="197">
        <f t="shared" si="325"/>
        <v>3379.5299999999997</v>
      </c>
      <c r="BB120" s="197">
        <f>'Margins summary'!$S$14</f>
        <v>471.64</v>
      </c>
      <c r="BC120" s="197">
        <f t="shared" si="294"/>
        <v>3851.1699999999996</v>
      </c>
      <c r="BD120" s="197"/>
      <c r="BE120" s="913">
        <f>'Energy NPV'!U46</f>
        <v>2000.1999999999998</v>
      </c>
      <c r="BF120" s="197"/>
      <c r="BG120" s="197">
        <f t="shared" si="295"/>
        <v>2000.1999999999998</v>
      </c>
      <c r="BH120" s="197">
        <f t="shared" si="272"/>
        <v>1379.33</v>
      </c>
      <c r="BI120" s="197">
        <f t="shared" si="273"/>
        <v>1850.9699999999998</v>
      </c>
      <c r="BJ120" s="196">
        <f t="shared" si="296"/>
        <v>2942.0842404310802</v>
      </c>
      <c r="BK120" s="197">
        <f t="shared" si="297"/>
        <v>410.59100264146633</v>
      </c>
      <c r="BL120" s="197">
        <f t="shared" si="298"/>
        <v>1741.2944692635504</v>
      </c>
      <c r="BM120" s="197">
        <f t="shared" si="299"/>
        <v>1200.7897711675298</v>
      </c>
      <c r="BN120" s="199">
        <f t="shared" si="300"/>
        <v>1611.3807738089961</v>
      </c>
      <c r="BO120" s="196">
        <f t="shared" si="326"/>
        <v>19384.759460568257</v>
      </c>
      <c r="BP120" s="197">
        <f t="shared" si="301"/>
        <v>3524.0898679266847</v>
      </c>
      <c r="BQ120" s="197">
        <f t="shared" si="301"/>
        <v>80197.885764042789</v>
      </c>
      <c r="BR120" s="197">
        <f t="shared" si="301"/>
        <v>-60813.126303474528</v>
      </c>
      <c r="BS120" s="199">
        <f t="shared" si="301"/>
        <v>-57289.036435547852</v>
      </c>
      <c r="BV120" s="204">
        <f t="shared" si="327"/>
        <v>8</v>
      </c>
      <c r="BW120" s="757">
        <f>'Energy NPV'!$D46</f>
        <v>12.54</v>
      </c>
      <c r="BX120" s="197">
        <f>'Energy margins'!$L$12</f>
        <v>269.5</v>
      </c>
      <c r="BY120" s="197">
        <f t="shared" si="328"/>
        <v>3379.5299999999997</v>
      </c>
      <c r="BZ120" s="197">
        <f>'Margins summary'!$S$14</f>
        <v>471.64</v>
      </c>
      <c r="CA120" s="197">
        <f t="shared" si="302"/>
        <v>3851.1699999999996</v>
      </c>
      <c r="CB120" s="197"/>
      <c r="CC120" s="913">
        <f>'Energy NPV'!U46</f>
        <v>2000.1999999999998</v>
      </c>
      <c r="CD120" s="197"/>
      <c r="CE120" s="197">
        <f t="shared" si="303"/>
        <v>2000.1999999999998</v>
      </c>
      <c r="CF120" s="197">
        <f t="shared" si="274"/>
        <v>1379.33</v>
      </c>
      <c r="CG120" s="197">
        <f t="shared" si="275"/>
        <v>1850.9699999999998</v>
      </c>
      <c r="CH120" s="196">
        <f t="shared" si="304"/>
        <v>1971.923295500239</v>
      </c>
      <c r="CI120" s="197">
        <f t="shared" si="305"/>
        <v>275.1974100214328</v>
      </c>
      <c r="CJ120" s="197">
        <f t="shared" si="306"/>
        <v>1167.09748860332</v>
      </c>
      <c r="CK120" s="197">
        <f t="shared" si="307"/>
        <v>804.82580689691906</v>
      </c>
      <c r="CL120" s="199">
        <f t="shared" si="308"/>
        <v>1080.0232169183516</v>
      </c>
      <c r="CM120" s="196">
        <f t="shared" si="329"/>
        <v>15274.306182790207</v>
      </c>
      <c r="CN120" s="197">
        <f t="shared" si="309"/>
        <v>2927.1723747320884</v>
      </c>
      <c r="CO120" s="197">
        <f t="shared" si="309"/>
        <v>77588.577277232136</v>
      </c>
      <c r="CP120" s="197">
        <f t="shared" si="309"/>
        <v>-62314.271094441945</v>
      </c>
      <c r="CQ120" s="199">
        <f t="shared" si="309"/>
        <v>-59387.098719709866</v>
      </c>
      <c r="CT120" s="204">
        <f t="shared" si="330"/>
        <v>8</v>
      </c>
      <c r="CU120" s="757">
        <f>'Energy NPV'!$D46</f>
        <v>12.54</v>
      </c>
      <c r="CV120" s="197">
        <f>'Energy margins'!$L$12</f>
        <v>269.5</v>
      </c>
      <c r="CW120" s="197">
        <f t="shared" si="331"/>
        <v>3379.5299999999997</v>
      </c>
      <c r="CX120" s="197">
        <f>'Margins summary'!$S$14</f>
        <v>471.64</v>
      </c>
      <c r="CY120" s="197">
        <f t="shared" si="310"/>
        <v>3851.1699999999996</v>
      </c>
      <c r="CZ120" s="197"/>
      <c r="DA120" s="913">
        <f>'Energy NPV'!U46</f>
        <v>2000.1999999999998</v>
      </c>
      <c r="DB120" s="197"/>
      <c r="DC120" s="197">
        <f t="shared" si="311"/>
        <v>2000.1999999999998</v>
      </c>
      <c r="DD120" s="197">
        <f t="shared" si="276"/>
        <v>1379.33</v>
      </c>
      <c r="DE120" s="197">
        <f t="shared" si="277"/>
        <v>1850.9699999999998</v>
      </c>
      <c r="DF120" s="196">
        <f t="shared" si="312"/>
        <v>3379.5299999999997</v>
      </c>
      <c r="DG120" s="197">
        <f t="shared" si="313"/>
        <v>471.64</v>
      </c>
      <c r="DH120" s="197">
        <f t="shared" si="314"/>
        <v>2000.1999999999998</v>
      </c>
      <c r="DI120" s="197">
        <f t="shared" si="315"/>
        <v>1379.33</v>
      </c>
      <c r="DJ120" s="199">
        <f t="shared" si="316"/>
        <v>1850.9699999999998</v>
      </c>
      <c r="DK120" s="196">
        <f t="shared" si="332"/>
        <v>21108.587499999998</v>
      </c>
      <c r="DL120" s="197">
        <f t="shared" si="317"/>
        <v>3773.1199999999994</v>
      </c>
      <c r="DM120" s="197">
        <f t="shared" si="317"/>
        <v>81282.735999999975</v>
      </c>
      <c r="DN120" s="197">
        <f t="shared" si="317"/>
        <v>-60174.148499999996</v>
      </c>
      <c r="DO120" s="199">
        <f t="shared" si="317"/>
        <v>-56401.0285</v>
      </c>
    </row>
    <row r="121" spans="2:119" x14ac:dyDescent="0.3">
      <c r="B121" s="204">
        <f t="shared" si="318"/>
        <v>9</v>
      </c>
      <c r="C121" s="757">
        <f>'Energy NPV'!$D47</f>
        <v>12.54</v>
      </c>
      <c r="D121" s="197">
        <f>'Energy margins'!$L$12</f>
        <v>269.5</v>
      </c>
      <c r="E121" s="197">
        <f t="shared" si="319"/>
        <v>3379.5299999999997</v>
      </c>
      <c r="F121" s="197">
        <f>'Margins summary'!$S$14</f>
        <v>471.64</v>
      </c>
      <c r="G121" s="197">
        <f t="shared" si="278"/>
        <v>3851.1699999999996</v>
      </c>
      <c r="H121" s="197"/>
      <c r="I121" s="913">
        <f>'Energy NPV'!U47</f>
        <v>2000.1999999999998</v>
      </c>
      <c r="J121" s="197"/>
      <c r="K121" s="197">
        <f t="shared" si="279"/>
        <v>2000.1999999999998</v>
      </c>
      <c r="L121" s="197">
        <f t="shared" si="268"/>
        <v>1379.33</v>
      </c>
      <c r="M121" s="197">
        <f t="shared" si="269"/>
        <v>1850.9699999999998</v>
      </c>
      <c r="N121" s="196">
        <f t="shared" si="280"/>
        <v>2469.3894685103542</v>
      </c>
      <c r="O121" s="197">
        <f t="shared" si="281"/>
        <v>344.6227282871356</v>
      </c>
      <c r="P121" s="197">
        <f t="shared" si="282"/>
        <v>1461.5265480449677</v>
      </c>
      <c r="Q121" s="197">
        <f t="shared" si="283"/>
        <v>1007.8629204653862</v>
      </c>
      <c r="R121" s="199">
        <f t="shared" si="284"/>
        <v>1352.4856487525217</v>
      </c>
      <c r="S121" s="196">
        <f t="shared" si="320"/>
        <v>20323.966800554725</v>
      </c>
      <c r="T121" s="197">
        <f t="shared" si="285"/>
        <v>3647.0717928216054</v>
      </c>
      <c r="U121" s="197">
        <f t="shared" si="285"/>
        <v>80692.18008585801</v>
      </c>
      <c r="V121" s="197">
        <f t="shared" si="285"/>
        <v>-60368.213285303318</v>
      </c>
      <c r="W121" s="199">
        <f t="shared" si="285"/>
        <v>-56721.141492481707</v>
      </c>
      <c r="Z121" s="204">
        <f t="shared" si="321"/>
        <v>9</v>
      </c>
      <c r="AA121" s="757">
        <f>'Energy NPV'!$D47</f>
        <v>12.54</v>
      </c>
      <c r="AB121" s="197">
        <f>'Energy margins'!$L$12</f>
        <v>269.5</v>
      </c>
      <c r="AC121" s="197">
        <f t="shared" si="322"/>
        <v>3379.5299999999997</v>
      </c>
      <c r="AD121" s="197">
        <f>'Margins summary'!$S$14</f>
        <v>471.64</v>
      </c>
      <c r="AE121" s="197">
        <f t="shared" si="286"/>
        <v>3851.1699999999996</v>
      </c>
      <c r="AF121" s="197"/>
      <c r="AG121" s="913">
        <f>'Energy NPV'!U47</f>
        <v>2000.1999999999998</v>
      </c>
      <c r="AH121" s="197"/>
      <c r="AI121" s="197">
        <f t="shared" si="287"/>
        <v>2000.1999999999998</v>
      </c>
      <c r="AJ121" s="197">
        <f t="shared" si="270"/>
        <v>1379.33</v>
      </c>
      <c r="AK121" s="197">
        <f t="shared" si="271"/>
        <v>1850.9699999999998</v>
      </c>
      <c r="AL121" s="196">
        <f t="shared" si="288"/>
        <v>2120.3589313208427</v>
      </c>
      <c r="AM121" s="197">
        <f t="shared" si="289"/>
        <v>295.91277081965904</v>
      </c>
      <c r="AN121" s="197">
        <f t="shared" si="290"/>
        <v>1254.9502251579213</v>
      </c>
      <c r="AO121" s="197">
        <f t="shared" si="291"/>
        <v>865.40870616292148</v>
      </c>
      <c r="AP121" s="199">
        <f t="shared" si="292"/>
        <v>1161.3214769825804</v>
      </c>
      <c r="AQ121" s="196">
        <f t="shared" si="323"/>
        <v>18612.171546337653</v>
      </c>
      <c r="AR121" s="197">
        <f t="shared" si="293"/>
        <v>3400.4271530056794</v>
      </c>
      <c r="AS121" s="197">
        <f t="shared" si="293"/>
        <v>79620.26674695262</v>
      </c>
      <c r="AT121" s="197">
        <f t="shared" si="293"/>
        <v>-61008.095200614989</v>
      </c>
      <c r="AU121" s="199">
        <f t="shared" si="293"/>
        <v>-57607.668047609302</v>
      </c>
      <c r="AX121" s="204">
        <f t="shared" si="324"/>
        <v>9</v>
      </c>
      <c r="AY121" s="757">
        <f>'Energy NPV'!$D47</f>
        <v>12.54</v>
      </c>
      <c r="AZ121" s="197">
        <f>'Energy margins'!$L$12</f>
        <v>269.5</v>
      </c>
      <c r="BA121" s="197">
        <f t="shared" si="325"/>
        <v>3379.5299999999997</v>
      </c>
      <c r="BB121" s="197">
        <f>'Margins summary'!$S$14</f>
        <v>471.64</v>
      </c>
      <c r="BC121" s="197">
        <f t="shared" si="294"/>
        <v>3851.1699999999996</v>
      </c>
      <c r="BD121" s="197"/>
      <c r="BE121" s="913">
        <f>'Energy NPV'!U47</f>
        <v>2000.1999999999998</v>
      </c>
      <c r="BF121" s="197"/>
      <c r="BG121" s="197">
        <f t="shared" si="295"/>
        <v>2000.1999999999998</v>
      </c>
      <c r="BH121" s="197">
        <f t="shared" si="272"/>
        <v>1379.33</v>
      </c>
      <c r="BI121" s="197">
        <f t="shared" si="273"/>
        <v>1850.9699999999998</v>
      </c>
      <c r="BJ121" s="196">
        <f t="shared" si="296"/>
        <v>2884.3963141481177</v>
      </c>
      <c r="BK121" s="197">
        <f t="shared" si="297"/>
        <v>402.54019866810421</v>
      </c>
      <c r="BL121" s="197">
        <f t="shared" si="298"/>
        <v>1707.1514404544612</v>
      </c>
      <c r="BM121" s="197">
        <f t="shared" si="299"/>
        <v>1177.2448736936565</v>
      </c>
      <c r="BN121" s="199">
        <f t="shared" si="300"/>
        <v>1579.7850723617607</v>
      </c>
      <c r="BO121" s="196">
        <f t="shared" si="326"/>
        <v>22269.155774716375</v>
      </c>
      <c r="BP121" s="197">
        <f t="shared" si="301"/>
        <v>3926.6300665947888</v>
      </c>
      <c r="BQ121" s="197">
        <f t="shared" si="301"/>
        <v>81905.037204497246</v>
      </c>
      <c r="BR121" s="197">
        <f t="shared" si="301"/>
        <v>-59635.881429780871</v>
      </c>
      <c r="BS121" s="199">
        <f t="shared" si="301"/>
        <v>-55709.251363186093</v>
      </c>
      <c r="BV121" s="204">
        <f t="shared" si="327"/>
        <v>9</v>
      </c>
      <c r="BW121" s="757">
        <f>'Energy NPV'!$D47</f>
        <v>12.54</v>
      </c>
      <c r="BX121" s="197">
        <f>'Energy margins'!$L$12</f>
        <v>269.5</v>
      </c>
      <c r="BY121" s="197">
        <f t="shared" si="328"/>
        <v>3379.5299999999997</v>
      </c>
      <c r="BZ121" s="197">
        <f>'Margins summary'!$S$14</f>
        <v>471.64</v>
      </c>
      <c r="CA121" s="197">
        <f t="shared" si="302"/>
        <v>3851.1699999999996</v>
      </c>
      <c r="CB121" s="197"/>
      <c r="CC121" s="913">
        <f>'Energy NPV'!U47</f>
        <v>2000.1999999999998</v>
      </c>
      <c r="CD121" s="197"/>
      <c r="CE121" s="197">
        <f t="shared" si="303"/>
        <v>2000.1999999999998</v>
      </c>
      <c r="CF121" s="197">
        <f t="shared" si="274"/>
        <v>1379.33</v>
      </c>
      <c r="CG121" s="197">
        <f t="shared" si="275"/>
        <v>1850.9699999999998</v>
      </c>
      <c r="CH121" s="196">
        <f t="shared" si="304"/>
        <v>1825.8549032409621</v>
      </c>
      <c r="CI121" s="197">
        <f t="shared" si="305"/>
        <v>254.81241668651185</v>
      </c>
      <c r="CJ121" s="197">
        <f t="shared" si="306"/>
        <v>1080.6458227808519</v>
      </c>
      <c r="CK121" s="197">
        <f t="shared" si="307"/>
        <v>745.20908046011016</v>
      </c>
      <c r="CL121" s="199">
        <f t="shared" si="308"/>
        <v>1000.021497146622</v>
      </c>
      <c r="CM121" s="196">
        <f t="shared" si="329"/>
        <v>17100.16108603117</v>
      </c>
      <c r="CN121" s="197">
        <f t="shared" si="309"/>
        <v>3181.9847914186003</v>
      </c>
      <c r="CO121" s="197">
        <f t="shared" si="309"/>
        <v>78669.223100012983</v>
      </c>
      <c r="CP121" s="197">
        <f t="shared" si="309"/>
        <v>-61569.062013981835</v>
      </c>
      <c r="CQ121" s="199">
        <f t="shared" si="309"/>
        <v>-58387.077222563246</v>
      </c>
      <c r="CT121" s="204">
        <f t="shared" si="330"/>
        <v>9</v>
      </c>
      <c r="CU121" s="757">
        <f>'Energy NPV'!$D47</f>
        <v>12.54</v>
      </c>
      <c r="CV121" s="197">
        <f>'Energy margins'!$L$12</f>
        <v>269.5</v>
      </c>
      <c r="CW121" s="197">
        <f t="shared" si="331"/>
        <v>3379.5299999999997</v>
      </c>
      <c r="CX121" s="197">
        <f>'Margins summary'!$S$14</f>
        <v>471.64</v>
      </c>
      <c r="CY121" s="197">
        <f t="shared" si="310"/>
        <v>3851.1699999999996</v>
      </c>
      <c r="CZ121" s="197"/>
      <c r="DA121" s="913">
        <f>'Energy NPV'!U47</f>
        <v>2000.1999999999998</v>
      </c>
      <c r="DB121" s="197"/>
      <c r="DC121" s="197">
        <f t="shared" si="311"/>
        <v>2000.1999999999998</v>
      </c>
      <c r="DD121" s="197">
        <f t="shared" si="276"/>
        <v>1379.33</v>
      </c>
      <c r="DE121" s="197">
        <f t="shared" si="277"/>
        <v>1850.9699999999998</v>
      </c>
      <c r="DF121" s="196">
        <f t="shared" si="312"/>
        <v>3379.5299999999997</v>
      </c>
      <c r="DG121" s="197">
        <f t="shared" si="313"/>
        <v>471.64</v>
      </c>
      <c r="DH121" s="197">
        <f t="shared" si="314"/>
        <v>2000.1999999999998</v>
      </c>
      <c r="DI121" s="197">
        <f t="shared" si="315"/>
        <v>1379.33</v>
      </c>
      <c r="DJ121" s="199">
        <f t="shared" si="316"/>
        <v>1850.9699999999998</v>
      </c>
      <c r="DK121" s="196">
        <f t="shared" si="332"/>
        <v>24488.117499999997</v>
      </c>
      <c r="DL121" s="197">
        <f t="shared" si="317"/>
        <v>4244.7599999999993</v>
      </c>
      <c r="DM121" s="197">
        <f t="shared" si="317"/>
        <v>83282.935999999972</v>
      </c>
      <c r="DN121" s="197">
        <f t="shared" si="317"/>
        <v>-58794.818499999994</v>
      </c>
      <c r="DO121" s="199">
        <f t="shared" si="317"/>
        <v>-54550.058499999999</v>
      </c>
    </row>
    <row r="122" spans="2:119" x14ac:dyDescent="0.3">
      <c r="B122" s="204">
        <f t="shared" si="318"/>
        <v>10</v>
      </c>
      <c r="C122" s="757">
        <f>'Energy NPV'!$D48</f>
        <v>12.54</v>
      </c>
      <c r="D122" s="197">
        <f>'Energy margins'!$L$12</f>
        <v>269.5</v>
      </c>
      <c r="E122" s="197">
        <f t="shared" si="319"/>
        <v>3379.5299999999997</v>
      </c>
      <c r="F122" s="197">
        <f>'Margins summary'!$S$14</f>
        <v>471.64</v>
      </c>
      <c r="G122" s="197">
        <f t="shared" si="278"/>
        <v>3851.1699999999996</v>
      </c>
      <c r="H122" s="197"/>
      <c r="I122" s="913">
        <f>'Energy NPV'!U48</f>
        <v>2000.1999999999998</v>
      </c>
      <c r="J122" s="197"/>
      <c r="K122" s="197">
        <f t="shared" si="279"/>
        <v>2000.1999999999998</v>
      </c>
      <c r="L122" s="197">
        <f t="shared" si="268"/>
        <v>1379.33</v>
      </c>
      <c r="M122" s="197">
        <f t="shared" si="269"/>
        <v>1850.9699999999998</v>
      </c>
      <c r="N122" s="196">
        <f t="shared" si="280"/>
        <v>2374.4129504907251</v>
      </c>
      <c r="O122" s="197">
        <f t="shared" si="281"/>
        <v>331.36800796839958</v>
      </c>
      <c r="P122" s="197">
        <f t="shared" si="282"/>
        <v>1405.3139885047767</v>
      </c>
      <c r="Q122" s="197">
        <f t="shared" si="283"/>
        <v>969.09896198594822</v>
      </c>
      <c r="R122" s="199">
        <f t="shared" si="284"/>
        <v>1300.4669699543476</v>
      </c>
      <c r="S122" s="196">
        <f t="shared" si="320"/>
        <v>22698.37975104545</v>
      </c>
      <c r="T122" s="197">
        <f t="shared" si="285"/>
        <v>3978.4398007900049</v>
      </c>
      <c r="U122" s="197">
        <f t="shared" si="285"/>
        <v>82097.494074362781</v>
      </c>
      <c r="V122" s="197">
        <f t="shared" si="285"/>
        <v>-59399.114323317372</v>
      </c>
      <c r="W122" s="199">
        <f t="shared" si="285"/>
        <v>-55420.674522527363</v>
      </c>
      <c r="Z122" s="204">
        <f t="shared" si="321"/>
        <v>10</v>
      </c>
      <c r="AA122" s="757">
        <f>'Energy NPV'!$D48</f>
        <v>12.54</v>
      </c>
      <c r="AB122" s="197">
        <f>'Energy margins'!$L$12</f>
        <v>269.5</v>
      </c>
      <c r="AC122" s="197">
        <f t="shared" si="322"/>
        <v>3379.5299999999997</v>
      </c>
      <c r="AD122" s="197">
        <f>'Margins summary'!$S$14</f>
        <v>471.64</v>
      </c>
      <c r="AE122" s="197">
        <f t="shared" si="286"/>
        <v>3851.1699999999996</v>
      </c>
      <c r="AF122" s="197"/>
      <c r="AG122" s="913">
        <f>'Energy NPV'!U48</f>
        <v>2000.1999999999998</v>
      </c>
      <c r="AH122" s="197"/>
      <c r="AI122" s="197">
        <f t="shared" si="287"/>
        <v>2000.1999999999998</v>
      </c>
      <c r="AJ122" s="197">
        <f t="shared" si="270"/>
        <v>1379.33</v>
      </c>
      <c r="AK122" s="197">
        <f t="shared" si="271"/>
        <v>1850.9699999999998</v>
      </c>
      <c r="AL122" s="196">
        <f t="shared" si="288"/>
        <v>2000.3386144536253</v>
      </c>
      <c r="AM122" s="197">
        <f t="shared" si="289"/>
        <v>279.16299133930096</v>
      </c>
      <c r="AN122" s="197">
        <f t="shared" si="290"/>
        <v>1183.9153067527559</v>
      </c>
      <c r="AO122" s="197">
        <f t="shared" si="291"/>
        <v>816.42330770086937</v>
      </c>
      <c r="AP122" s="199">
        <f t="shared" si="292"/>
        <v>1095.5862990401702</v>
      </c>
      <c r="AQ122" s="196">
        <f t="shared" si="323"/>
        <v>20612.51016079128</v>
      </c>
      <c r="AR122" s="197">
        <f t="shared" si="293"/>
        <v>3679.5901443449802</v>
      </c>
      <c r="AS122" s="197">
        <f t="shared" si="293"/>
        <v>80804.182053705372</v>
      </c>
      <c r="AT122" s="197">
        <f t="shared" si="293"/>
        <v>-60191.671892914121</v>
      </c>
      <c r="AU122" s="199">
        <f t="shared" si="293"/>
        <v>-56512.08174856913</v>
      </c>
      <c r="AX122" s="204">
        <f t="shared" si="324"/>
        <v>10</v>
      </c>
      <c r="AY122" s="757">
        <f>'Energy NPV'!$D48</f>
        <v>12.54</v>
      </c>
      <c r="AZ122" s="197">
        <f>'Energy margins'!$L$12</f>
        <v>269.5</v>
      </c>
      <c r="BA122" s="197">
        <f t="shared" si="325"/>
        <v>3379.5299999999997</v>
      </c>
      <c r="BB122" s="197">
        <f>'Margins summary'!$S$14</f>
        <v>471.64</v>
      </c>
      <c r="BC122" s="197">
        <f t="shared" si="294"/>
        <v>3851.1699999999996</v>
      </c>
      <c r="BD122" s="197"/>
      <c r="BE122" s="913">
        <f>'Energy NPV'!U48</f>
        <v>2000.1999999999998</v>
      </c>
      <c r="BF122" s="197"/>
      <c r="BG122" s="197">
        <f t="shared" si="295"/>
        <v>2000.1999999999998</v>
      </c>
      <c r="BH122" s="197">
        <f t="shared" si="272"/>
        <v>1379.33</v>
      </c>
      <c r="BI122" s="197">
        <f t="shared" si="273"/>
        <v>1850.9699999999998</v>
      </c>
      <c r="BJ122" s="196">
        <f t="shared" si="296"/>
        <v>2827.8395236746251</v>
      </c>
      <c r="BK122" s="197">
        <f t="shared" si="297"/>
        <v>394.64725359618063</v>
      </c>
      <c r="BL122" s="197">
        <f t="shared" si="298"/>
        <v>1673.6778827984913</v>
      </c>
      <c r="BM122" s="197">
        <f t="shared" si="299"/>
        <v>1154.1616408761338</v>
      </c>
      <c r="BN122" s="199">
        <f t="shared" si="300"/>
        <v>1548.8088944723145</v>
      </c>
      <c r="BO122" s="196">
        <f t="shared" si="326"/>
        <v>25096.995298391001</v>
      </c>
      <c r="BP122" s="197">
        <f t="shared" si="301"/>
        <v>4321.2773201909695</v>
      </c>
      <c r="BQ122" s="197">
        <f t="shared" si="301"/>
        <v>83578.715087295743</v>
      </c>
      <c r="BR122" s="197">
        <f t="shared" si="301"/>
        <v>-58481.719788904738</v>
      </c>
      <c r="BS122" s="199">
        <f t="shared" si="301"/>
        <v>-54160.44246871378</v>
      </c>
      <c r="BV122" s="204">
        <f t="shared" si="327"/>
        <v>10</v>
      </c>
      <c r="BW122" s="757">
        <f>'Energy NPV'!$D48</f>
        <v>12.54</v>
      </c>
      <c r="BX122" s="197">
        <f>'Energy margins'!$L$12</f>
        <v>269.5</v>
      </c>
      <c r="BY122" s="197">
        <f t="shared" si="328"/>
        <v>3379.5299999999997</v>
      </c>
      <c r="BZ122" s="197">
        <f>'Margins summary'!$S$14</f>
        <v>471.64</v>
      </c>
      <c r="CA122" s="197">
        <f t="shared" si="302"/>
        <v>3851.1699999999996</v>
      </c>
      <c r="CB122" s="197"/>
      <c r="CC122" s="913">
        <f>'Energy NPV'!U48</f>
        <v>2000.1999999999998</v>
      </c>
      <c r="CD122" s="197"/>
      <c r="CE122" s="197">
        <f t="shared" si="303"/>
        <v>2000.1999999999998</v>
      </c>
      <c r="CF122" s="197">
        <f t="shared" si="274"/>
        <v>1379.33</v>
      </c>
      <c r="CG122" s="197">
        <f t="shared" si="275"/>
        <v>1850.9699999999998</v>
      </c>
      <c r="CH122" s="196">
        <f t="shared" si="304"/>
        <v>1690.6063918897796</v>
      </c>
      <c r="CI122" s="197">
        <f t="shared" si="305"/>
        <v>235.93742285788133</v>
      </c>
      <c r="CJ122" s="197">
        <f t="shared" si="306"/>
        <v>1000.5979840563442</v>
      </c>
      <c r="CK122" s="197">
        <f t="shared" si="307"/>
        <v>690.00840783343529</v>
      </c>
      <c r="CL122" s="199">
        <f t="shared" si="308"/>
        <v>925.94583069131659</v>
      </c>
      <c r="CM122" s="196">
        <f t="shared" si="329"/>
        <v>18790.767477920948</v>
      </c>
      <c r="CN122" s="197">
        <f t="shared" si="309"/>
        <v>3417.9222142764816</v>
      </c>
      <c r="CO122" s="197">
        <f t="shared" si="309"/>
        <v>79669.821084069321</v>
      </c>
      <c r="CP122" s="197">
        <f t="shared" si="309"/>
        <v>-60879.053606148402</v>
      </c>
      <c r="CQ122" s="199">
        <f t="shared" si="309"/>
        <v>-57461.131391871932</v>
      </c>
      <c r="CT122" s="204">
        <f t="shared" si="330"/>
        <v>10</v>
      </c>
      <c r="CU122" s="757">
        <f>'Energy NPV'!$D48</f>
        <v>12.54</v>
      </c>
      <c r="CV122" s="197">
        <f>'Energy margins'!$L$12</f>
        <v>269.5</v>
      </c>
      <c r="CW122" s="197">
        <f t="shared" si="331"/>
        <v>3379.5299999999997</v>
      </c>
      <c r="CX122" s="197">
        <f>'Margins summary'!$S$14</f>
        <v>471.64</v>
      </c>
      <c r="CY122" s="197">
        <f t="shared" si="310"/>
        <v>3851.1699999999996</v>
      </c>
      <c r="CZ122" s="197"/>
      <c r="DA122" s="913">
        <f>'Energy NPV'!U48</f>
        <v>2000.1999999999998</v>
      </c>
      <c r="DB122" s="197"/>
      <c r="DC122" s="197">
        <f t="shared" si="311"/>
        <v>2000.1999999999998</v>
      </c>
      <c r="DD122" s="197">
        <f t="shared" si="276"/>
        <v>1379.33</v>
      </c>
      <c r="DE122" s="197">
        <f t="shared" si="277"/>
        <v>1850.9699999999998</v>
      </c>
      <c r="DF122" s="196">
        <f t="shared" si="312"/>
        <v>3379.5299999999997</v>
      </c>
      <c r="DG122" s="197">
        <f t="shared" si="313"/>
        <v>471.64</v>
      </c>
      <c r="DH122" s="197">
        <f t="shared" si="314"/>
        <v>2000.1999999999998</v>
      </c>
      <c r="DI122" s="197">
        <f t="shared" si="315"/>
        <v>1379.33</v>
      </c>
      <c r="DJ122" s="199">
        <f t="shared" si="316"/>
        <v>1850.9699999999998</v>
      </c>
      <c r="DK122" s="196">
        <f t="shared" si="332"/>
        <v>27867.647499999995</v>
      </c>
      <c r="DL122" s="197">
        <f t="shared" si="317"/>
        <v>4716.3999999999996</v>
      </c>
      <c r="DM122" s="197">
        <f t="shared" si="317"/>
        <v>85283.135999999969</v>
      </c>
      <c r="DN122" s="197">
        <f t="shared" si="317"/>
        <v>-57415.488499999992</v>
      </c>
      <c r="DO122" s="199">
        <f t="shared" si="317"/>
        <v>-52699.088499999998</v>
      </c>
    </row>
    <row r="123" spans="2:119" x14ac:dyDescent="0.3">
      <c r="B123" s="204">
        <f t="shared" si="318"/>
        <v>11</v>
      </c>
      <c r="C123" s="757">
        <f>'Energy NPV'!$D49</f>
        <v>12.54</v>
      </c>
      <c r="D123" s="197">
        <f>'Energy margins'!$L$12</f>
        <v>269.5</v>
      </c>
      <c r="E123" s="197">
        <f t="shared" si="319"/>
        <v>3379.5299999999997</v>
      </c>
      <c r="F123" s="197">
        <f>'Margins summary'!$S$14</f>
        <v>471.64</v>
      </c>
      <c r="G123" s="197">
        <f t="shared" si="278"/>
        <v>3851.1699999999996</v>
      </c>
      <c r="H123" s="197"/>
      <c r="I123" s="913">
        <f>'Energy NPV'!U49</f>
        <v>2000.1999999999998</v>
      </c>
      <c r="J123" s="197"/>
      <c r="K123" s="197">
        <f t="shared" si="279"/>
        <v>2000.1999999999998</v>
      </c>
      <c r="L123" s="197">
        <f t="shared" si="268"/>
        <v>1379.33</v>
      </c>
      <c r="M123" s="197">
        <f t="shared" si="269"/>
        <v>1850.9699999999998</v>
      </c>
      <c r="N123" s="196">
        <f t="shared" si="280"/>
        <v>2283.0893754718509</v>
      </c>
      <c r="O123" s="197">
        <f t="shared" si="281"/>
        <v>318.62308458499962</v>
      </c>
      <c r="P123" s="197">
        <f t="shared" si="282"/>
        <v>1351.2634504853622</v>
      </c>
      <c r="Q123" s="197">
        <f t="shared" si="283"/>
        <v>931.82592498648864</v>
      </c>
      <c r="R123" s="199">
        <f t="shared" si="284"/>
        <v>1250.4490095714882</v>
      </c>
      <c r="S123" s="196">
        <f t="shared" si="320"/>
        <v>24981.469126517302</v>
      </c>
      <c r="T123" s="197">
        <f t="shared" si="285"/>
        <v>4297.062885375005</v>
      </c>
      <c r="U123" s="197">
        <f t="shared" si="285"/>
        <v>83448.757524848144</v>
      </c>
      <c r="V123" s="197">
        <f t="shared" si="285"/>
        <v>-58467.288398330886</v>
      </c>
      <c r="W123" s="199">
        <f t="shared" si="285"/>
        <v>-54170.225512955876</v>
      </c>
      <c r="Z123" s="204">
        <f t="shared" si="321"/>
        <v>11</v>
      </c>
      <c r="AA123" s="757">
        <f>'Energy NPV'!$D49</f>
        <v>12.54</v>
      </c>
      <c r="AB123" s="197">
        <f>'Energy margins'!$L$12</f>
        <v>269.5</v>
      </c>
      <c r="AC123" s="197">
        <f t="shared" si="322"/>
        <v>3379.5299999999997</v>
      </c>
      <c r="AD123" s="197">
        <f>'Margins summary'!$S$14</f>
        <v>471.64</v>
      </c>
      <c r="AE123" s="197">
        <f t="shared" si="286"/>
        <v>3851.1699999999996</v>
      </c>
      <c r="AF123" s="197"/>
      <c r="AG123" s="913">
        <f>'Energy NPV'!U49</f>
        <v>2000.1999999999998</v>
      </c>
      <c r="AH123" s="197"/>
      <c r="AI123" s="197">
        <f t="shared" si="287"/>
        <v>2000.1999999999998</v>
      </c>
      <c r="AJ123" s="197">
        <f t="shared" si="270"/>
        <v>1379.33</v>
      </c>
      <c r="AK123" s="197">
        <f t="shared" si="271"/>
        <v>1850.9699999999998</v>
      </c>
      <c r="AL123" s="196">
        <f t="shared" si="288"/>
        <v>1887.1119004279483</v>
      </c>
      <c r="AM123" s="197">
        <f t="shared" si="289"/>
        <v>263.36131258424621</v>
      </c>
      <c r="AN123" s="197">
        <f t="shared" si="290"/>
        <v>1116.9012327856187</v>
      </c>
      <c r="AO123" s="197">
        <f t="shared" si="291"/>
        <v>770.21066764232955</v>
      </c>
      <c r="AP123" s="199">
        <f t="shared" si="292"/>
        <v>1033.5719802265755</v>
      </c>
      <c r="AQ123" s="196">
        <f t="shared" si="323"/>
        <v>22499.62206121923</v>
      </c>
      <c r="AR123" s="197">
        <f t="shared" si="293"/>
        <v>3942.9514569292264</v>
      </c>
      <c r="AS123" s="197">
        <f t="shared" si="293"/>
        <v>81921.08328649099</v>
      </c>
      <c r="AT123" s="197">
        <f t="shared" si="293"/>
        <v>-59421.461225271793</v>
      </c>
      <c r="AU123" s="199">
        <f t="shared" si="293"/>
        <v>-55478.509768342556</v>
      </c>
      <c r="AX123" s="204">
        <f t="shared" si="324"/>
        <v>11</v>
      </c>
      <c r="AY123" s="757">
        <f>'Energy NPV'!$D49</f>
        <v>12.54</v>
      </c>
      <c r="AZ123" s="197">
        <f>'Energy margins'!$L$12</f>
        <v>269.5</v>
      </c>
      <c r="BA123" s="197">
        <f t="shared" si="325"/>
        <v>3379.5299999999997</v>
      </c>
      <c r="BB123" s="197">
        <f>'Margins summary'!$S$14</f>
        <v>471.64</v>
      </c>
      <c r="BC123" s="197">
        <f t="shared" si="294"/>
        <v>3851.1699999999996</v>
      </c>
      <c r="BD123" s="197"/>
      <c r="BE123" s="913">
        <f>'Energy NPV'!U49</f>
        <v>2000.1999999999998</v>
      </c>
      <c r="BF123" s="197"/>
      <c r="BG123" s="197">
        <f t="shared" si="295"/>
        <v>2000.1999999999998</v>
      </c>
      <c r="BH123" s="197">
        <f t="shared" si="272"/>
        <v>1379.33</v>
      </c>
      <c r="BI123" s="197">
        <f t="shared" si="273"/>
        <v>1850.9699999999998</v>
      </c>
      <c r="BJ123" s="196">
        <f t="shared" si="296"/>
        <v>2772.3916898770835</v>
      </c>
      <c r="BK123" s="197">
        <f t="shared" si="297"/>
        <v>386.90907215311825</v>
      </c>
      <c r="BL123" s="197">
        <f t="shared" si="298"/>
        <v>1640.8606694102855</v>
      </c>
      <c r="BM123" s="197">
        <f t="shared" si="299"/>
        <v>1131.5310204667978</v>
      </c>
      <c r="BN123" s="199">
        <f t="shared" si="300"/>
        <v>1518.440092619916</v>
      </c>
      <c r="BO123" s="196">
        <f t="shared" si="326"/>
        <v>27869.386988268085</v>
      </c>
      <c r="BP123" s="197">
        <f t="shared" si="301"/>
        <v>4708.1863923440878</v>
      </c>
      <c r="BQ123" s="197">
        <f t="shared" si="301"/>
        <v>85219.575756706035</v>
      </c>
      <c r="BR123" s="197">
        <f t="shared" si="301"/>
        <v>-57350.18876843794</v>
      </c>
      <c r="BS123" s="199">
        <f t="shared" si="301"/>
        <v>-52642.002376093864</v>
      </c>
      <c r="BV123" s="204">
        <f t="shared" si="327"/>
        <v>11</v>
      </c>
      <c r="BW123" s="757">
        <f>'Energy NPV'!$D49</f>
        <v>12.54</v>
      </c>
      <c r="BX123" s="197">
        <f>'Energy margins'!$L$12</f>
        <v>269.5</v>
      </c>
      <c r="BY123" s="197">
        <f t="shared" si="328"/>
        <v>3379.5299999999997</v>
      </c>
      <c r="BZ123" s="197">
        <f>'Margins summary'!$S$14</f>
        <v>471.64</v>
      </c>
      <c r="CA123" s="197">
        <f t="shared" si="302"/>
        <v>3851.1699999999996</v>
      </c>
      <c r="CB123" s="197"/>
      <c r="CC123" s="913">
        <f>'Energy NPV'!U49</f>
        <v>2000.1999999999998</v>
      </c>
      <c r="CD123" s="197"/>
      <c r="CE123" s="197">
        <f t="shared" si="303"/>
        <v>2000.1999999999998</v>
      </c>
      <c r="CF123" s="197">
        <f t="shared" si="274"/>
        <v>1379.33</v>
      </c>
      <c r="CG123" s="197">
        <f t="shared" si="275"/>
        <v>1850.9699999999998</v>
      </c>
      <c r="CH123" s="196">
        <f t="shared" si="304"/>
        <v>1565.3762887868329</v>
      </c>
      <c r="CI123" s="197">
        <f t="shared" si="305"/>
        <v>218.46057672026046</v>
      </c>
      <c r="CJ123" s="197">
        <f t="shared" si="306"/>
        <v>926.47961486698534</v>
      </c>
      <c r="CK123" s="197">
        <f t="shared" si="307"/>
        <v>638.89667391984744</v>
      </c>
      <c r="CL123" s="199">
        <f t="shared" si="308"/>
        <v>857.35725064010796</v>
      </c>
      <c r="CM123" s="196">
        <f t="shared" si="329"/>
        <v>20356.143766707781</v>
      </c>
      <c r="CN123" s="197">
        <f t="shared" si="309"/>
        <v>3636.3827909967422</v>
      </c>
      <c r="CO123" s="197">
        <f t="shared" si="309"/>
        <v>80596.300698936306</v>
      </c>
      <c r="CP123" s="197">
        <f t="shared" si="309"/>
        <v>-60240.156932228558</v>
      </c>
      <c r="CQ123" s="199">
        <f t="shared" si="309"/>
        <v>-56603.774141231821</v>
      </c>
      <c r="CT123" s="204">
        <f t="shared" si="330"/>
        <v>11</v>
      </c>
      <c r="CU123" s="757">
        <f>'Energy NPV'!$D49</f>
        <v>12.54</v>
      </c>
      <c r="CV123" s="197">
        <f>'Energy margins'!$L$12</f>
        <v>269.5</v>
      </c>
      <c r="CW123" s="197">
        <f t="shared" si="331"/>
        <v>3379.5299999999997</v>
      </c>
      <c r="CX123" s="197">
        <f>'Margins summary'!$S$14</f>
        <v>471.64</v>
      </c>
      <c r="CY123" s="197">
        <f t="shared" si="310"/>
        <v>3851.1699999999996</v>
      </c>
      <c r="CZ123" s="197"/>
      <c r="DA123" s="913">
        <f>'Energy NPV'!U49</f>
        <v>2000.1999999999998</v>
      </c>
      <c r="DB123" s="197"/>
      <c r="DC123" s="197">
        <f t="shared" si="311"/>
        <v>2000.1999999999998</v>
      </c>
      <c r="DD123" s="197">
        <f t="shared" si="276"/>
        <v>1379.33</v>
      </c>
      <c r="DE123" s="197">
        <f t="shared" si="277"/>
        <v>1850.9699999999998</v>
      </c>
      <c r="DF123" s="196">
        <f t="shared" si="312"/>
        <v>3379.5299999999997</v>
      </c>
      <c r="DG123" s="197">
        <f t="shared" si="313"/>
        <v>471.64</v>
      </c>
      <c r="DH123" s="197">
        <f t="shared" si="314"/>
        <v>2000.1999999999998</v>
      </c>
      <c r="DI123" s="197">
        <f t="shared" si="315"/>
        <v>1379.33</v>
      </c>
      <c r="DJ123" s="199">
        <f t="shared" si="316"/>
        <v>1850.9699999999998</v>
      </c>
      <c r="DK123" s="196">
        <f t="shared" si="332"/>
        <v>31247.177499999994</v>
      </c>
      <c r="DL123" s="197">
        <f t="shared" si="317"/>
        <v>5188.04</v>
      </c>
      <c r="DM123" s="197">
        <f t="shared" si="317"/>
        <v>87283.335999999967</v>
      </c>
      <c r="DN123" s="197">
        <f t="shared" si="317"/>
        <v>-56036.15849999999</v>
      </c>
      <c r="DO123" s="199">
        <f t="shared" si="317"/>
        <v>-50848.118499999997</v>
      </c>
    </row>
    <row r="124" spans="2:119" x14ac:dyDescent="0.3">
      <c r="B124" s="204">
        <f t="shared" si="318"/>
        <v>12</v>
      </c>
      <c r="C124" s="757">
        <f>'Energy NPV'!$D50</f>
        <v>12.54</v>
      </c>
      <c r="D124" s="197">
        <f>'Energy margins'!$L$12</f>
        <v>269.5</v>
      </c>
      <c r="E124" s="197">
        <f t="shared" si="319"/>
        <v>3379.5299999999997</v>
      </c>
      <c r="F124" s="197">
        <f>'Margins summary'!$S$14</f>
        <v>471.64</v>
      </c>
      <c r="G124" s="197">
        <f t="shared" si="278"/>
        <v>3851.1699999999996</v>
      </c>
      <c r="H124" s="197"/>
      <c r="I124" s="913">
        <f>'Energy NPV'!U50</f>
        <v>2000.1999999999998</v>
      </c>
      <c r="J124" s="197"/>
      <c r="K124" s="197">
        <f t="shared" si="279"/>
        <v>2000.1999999999998</v>
      </c>
      <c r="L124" s="197">
        <f t="shared" si="268"/>
        <v>1379.33</v>
      </c>
      <c r="M124" s="197">
        <f t="shared" si="269"/>
        <v>1850.9699999999998</v>
      </c>
      <c r="N124" s="196">
        <f t="shared" si="280"/>
        <v>2195.2782456460104</v>
      </c>
      <c r="O124" s="197">
        <f t="shared" si="281"/>
        <v>306.36835056249964</v>
      </c>
      <c r="P124" s="197">
        <f t="shared" si="282"/>
        <v>1299.2917793128483</v>
      </c>
      <c r="Q124" s="197">
        <f t="shared" si="283"/>
        <v>895.9864663331623</v>
      </c>
      <c r="R124" s="199">
        <f t="shared" si="284"/>
        <v>1202.3548168956618</v>
      </c>
      <c r="S124" s="196">
        <f t="shared" si="320"/>
        <v>27176.747372163314</v>
      </c>
      <c r="T124" s="197">
        <f t="shared" si="285"/>
        <v>4603.4312359375044</v>
      </c>
      <c r="U124" s="197">
        <f t="shared" si="285"/>
        <v>84748.049304160988</v>
      </c>
      <c r="V124" s="197">
        <f t="shared" si="285"/>
        <v>-57571.301931997725</v>
      </c>
      <c r="W124" s="199">
        <f t="shared" si="285"/>
        <v>-52967.870696060214</v>
      </c>
      <c r="Z124" s="204">
        <f t="shared" si="321"/>
        <v>12</v>
      </c>
      <c r="AA124" s="757">
        <f>'Energy NPV'!$D50</f>
        <v>12.54</v>
      </c>
      <c r="AB124" s="197">
        <f>'Energy margins'!$L$12</f>
        <v>269.5</v>
      </c>
      <c r="AC124" s="197">
        <f t="shared" si="322"/>
        <v>3379.5299999999997</v>
      </c>
      <c r="AD124" s="197">
        <f>'Margins summary'!$S$14</f>
        <v>471.64</v>
      </c>
      <c r="AE124" s="197">
        <f t="shared" si="286"/>
        <v>3851.1699999999996</v>
      </c>
      <c r="AF124" s="197"/>
      <c r="AG124" s="913">
        <f>'Energy NPV'!U50</f>
        <v>2000.1999999999998</v>
      </c>
      <c r="AH124" s="197"/>
      <c r="AI124" s="197">
        <f t="shared" si="287"/>
        <v>2000.1999999999998</v>
      </c>
      <c r="AJ124" s="197">
        <f t="shared" si="270"/>
        <v>1379.33</v>
      </c>
      <c r="AK124" s="197">
        <f t="shared" si="271"/>
        <v>1850.9699999999998</v>
      </c>
      <c r="AL124" s="196">
        <f t="shared" si="288"/>
        <v>1780.2942456867434</v>
      </c>
      <c r="AM124" s="197">
        <f t="shared" si="289"/>
        <v>248.45406847570391</v>
      </c>
      <c r="AN124" s="197">
        <f t="shared" si="290"/>
        <v>1053.6804082883193</v>
      </c>
      <c r="AO124" s="197">
        <f t="shared" si="291"/>
        <v>726.61383739842393</v>
      </c>
      <c r="AP124" s="199">
        <f t="shared" si="292"/>
        <v>975.06790587412775</v>
      </c>
      <c r="AQ124" s="196">
        <f t="shared" si="323"/>
        <v>24279.916306905972</v>
      </c>
      <c r="AR124" s="197">
        <f t="shared" si="293"/>
        <v>4191.4055254049299</v>
      </c>
      <c r="AS124" s="197">
        <f t="shared" si="293"/>
        <v>82974.763694779307</v>
      </c>
      <c r="AT124" s="197">
        <f t="shared" si="293"/>
        <v>-58694.847387873371</v>
      </c>
      <c r="AU124" s="199">
        <f t="shared" si="293"/>
        <v>-54503.441862468426</v>
      </c>
      <c r="AX124" s="204">
        <f t="shared" si="324"/>
        <v>12</v>
      </c>
      <c r="AY124" s="757">
        <f>'Energy NPV'!$D50</f>
        <v>12.54</v>
      </c>
      <c r="AZ124" s="197">
        <f>'Energy margins'!$L$12</f>
        <v>269.5</v>
      </c>
      <c r="BA124" s="197">
        <f t="shared" si="325"/>
        <v>3379.5299999999997</v>
      </c>
      <c r="BB124" s="197">
        <f>'Margins summary'!$S$14</f>
        <v>471.64</v>
      </c>
      <c r="BC124" s="197">
        <f t="shared" si="294"/>
        <v>3851.1699999999996</v>
      </c>
      <c r="BD124" s="197"/>
      <c r="BE124" s="913">
        <f>'Energy NPV'!U50</f>
        <v>2000.1999999999998</v>
      </c>
      <c r="BF124" s="197"/>
      <c r="BG124" s="197">
        <f t="shared" si="295"/>
        <v>2000.1999999999998</v>
      </c>
      <c r="BH124" s="197">
        <f t="shared" si="272"/>
        <v>1379.33</v>
      </c>
      <c r="BI124" s="197">
        <f t="shared" si="273"/>
        <v>1850.9699999999998</v>
      </c>
      <c r="BJ124" s="196">
        <f t="shared" si="296"/>
        <v>2718.0310685069448</v>
      </c>
      <c r="BK124" s="197">
        <f t="shared" si="297"/>
        <v>379.3226197579591</v>
      </c>
      <c r="BL124" s="197">
        <f t="shared" si="298"/>
        <v>1608.6869307943978</v>
      </c>
      <c r="BM124" s="197">
        <f t="shared" si="299"/>
        <v>1109.3441377125471</v>
      </c>
      <c r="BN124" s="199">
        <f t="shared" si="300"/>
        <v>1488.6667574705061</v>
      </c>
      <c r="BO124" s="196">
        <f t="shared" si="326"/>
        <v>30587.41805677503</v>
      </c>
      <c r="BP124" s="197">
        <f t="shared" si="301"/>
        <v>5087.5090121020467</v>
      </c>
      <c r="BQ124" s="197">
        <f t="shared" si="301"/>
        <v>86828.262687500435</v>
      </c>
      <c r="BR124" s="197">
        <f t="shared" si="301"/>
        <v>-56240.844630725391</v>
      </c>
      <c r="BS124" s="199">
        <f t="shared" si="301"/>
        <v>-51153.335618623358</v>
      </c>
      <c r="BV124" s="204">
        <f t="shared" si="327"/>
        <v>12</v>
      </c>
      <c r="BW124" s="757">
        <f>'Energy NPV'!$D50</f>
        <v>12.54</v>
      </c>
      <c r="BX124" s="197">
        <f>'Energy margins'!$L$12</f>
        <v>269.5</v>
      </c>
      <c r="BY124" s="197">
        <f t="shared" si="328"/>
        <v>3379.5299999999997</v>
      </c>
      <c r="BZ124" s="197">
        <f>'Margins summary'!$S$14</f>
        <v>471.64</v>
      </c>
      <c r="CA124" s="197">
        <f t="shared" si="302"/>
        <v>3851.1699999999996</v>
      </c>
      <c r="CB124" s="197"/>
      <c r="CC124" s="913">
        <f>'Energy NPV'!U50</f>
        <v>2000.1999999999998</v>
      </c>
      <c r="CD124" s="197"/>
      <c r="CE124" s="197">
        <f t="shared" si="303"/>
        <v>2000.1999999999998</v>
      </c>
      <c r="CF124" s="197">
        <f t="shared" si="274"/>
        <v>1379.33</v>
      </c>
      <c r="CG124" s="197">
        <f t="shared" si="275"/>
        <v>1850.9699999999998</v>
      </c>
      <c r="CH124" s="196">
        <f t="shared" si="304"/>
        <v>1449.4224896174378</v>
      </c>
      <c r="CI124" s="197">
        <f t="shared" si="305"/>
        <v>202.27831177801897</v>
      </c>
      <c r="CJ124" s="197">
        <f t="shared" si="306"/>
        <v>857.85149524720873</v>
      </c>
      <c r="CK124" s="197">
        <f t="shared" si="307"/>
        <v>591.57099437022919</v>
      </c>
      <c r="CL124" s="199">
        <f t="shared" si="308"/>
        <v>793.84930614824805</v>
      </c>
      <c r="CM124" s="196">
        <f t="shared" si="329"/>
        <v>21805.566256325219</v>
      </c>
      <c r="CN124" s="197">
        <f t="shared" si="309"/>
        <v>3838.6611027747613</v>
      </c>
      <c r="CO124" s="197">
        <f t="shared" si="309"/>
        <v>81454.152194183509</v>
      </c>
      <c r="CP124" s="197">
        <f t="shared" si="309"/>
        <v>-59648.585937858326</v>
      </c>
      <c r="CQ124" s="199">
        <f t="shared" si="309"/>
        <v>-55809.92483508357</v>
      </c>
      <c r="CT124" s="204">
        <f t="shared" si="330"/>
        <v>12</v>
      </c>
      <c r="CU124" s="757">
        <f>'Energy NPV'!$D50</f>
        <v>12.54</v>
      </c>
      <c r="CV124" s="197">
        <f>'Energy margins'!$L$12</f>
        <v>269.5</v>
      </c>
      <c r="CW124" s="197">
        <f t="shared" si="331"/>
        <v>3379.5299999999997</v>
      </c>
      <c r="CX124" s="197">
        <f>'Margins summary'!$S$14</f>
        <v>471.64</v>
      </c>
      <c r="CY124" s="197">
        <f t="shared" si="310"/>
        <v>3851.1699999999996</v>
      </c>
      <c r="CZ124" s="197"/>
      <c r="DA124" s="913">
        <f>'Energy NPV'!U50</f>
        <v>2000.1999999999998</v>
      </c>
      <c r="DB124" s="197"/>
      <c r="DC124" s="197">
        <f t="shared" si="311"/>
        <v>2000.1999999999998</v>
      </c>
      <c r="DD124" s="197">
        <f t="shared" si="276"/>
        <v>1379.33</v>
      </c>
      <c r="DE124" s="197">
        <f t="shared" si="277"/>
        <v>1850.9699999999998</v>
      </c>
      <c r="DF124" s="196">
        <f t="shared" si="312"/>
        <v>3379.5299999999997</v>
      </c>
      <c r="DG124" s="197">
        <f t="shared" si="313"/>
        <v>471.64</v>
      </c>
      <c r="DH124" s="197">
        <f t="shared" si="314"/>
        <v>2000.1999999999998</v>
      </c>
      <c r="DI124" s="197">
        <f t="shared" si="315"/>
        <v>1379.33</v>
      </c>
      <c r="DJ124" s="199">
        <f t="shared" si="316"/>
        <v>1850.9699999999998</v>
      </c>
      <c r="DK124" s="196">
        <f t="shared" si="332"/>
        <v>34626.707499999997</v>
      </c>
      <c r="DL124" s="197">
        <f t="shared" si="317"/>
        <v>5659.68</v>
      </c>
      <c r="DM124" s="197">
        <f t="shared" si="317"/>
        <v>89283.535999999964</v>
      </c>
      <c r="DN124" s="197">
        <f t="shared" si="317"/>
        <v>-54656.828499999989</v>
      </c>
      <c r="DO124" s="199">
        <f t="shared" si="317"/>
        <v>-48997.148499999996</v>
      </c>
    </row>
    <row r="125" spans="2:119" x14ac:dyDescent="0.3">
      <c r="B125" s="204">
        <f t="shared" si="318"/>
        <v>13</v>
      </c>
      <c r="C125" s="757">
        <f>'Energy NPV'!$D51</f>
        <v>12.54</v>
      </c>
      <c r="D125" s="197">
        <f>'Energy margins'!$L$12</f>
        <v>269.5</v>
      </c>
      <c r="E125" s="197">
        <f t="shared" si="319"/>
        <v>3379.5299999999997</v>
      </c>
      <c r="F125" s="197">
        <f>'Margins summary'!$S$14</f>
        <v>471.64</v>
      </c>
      <c r="G125" s="197">
        <f t="shared" si="278"/>
        <v>3851.1699999999996</v>
      </c>
      <c r="H125" s="197"/>
      <c r="I125" s="913">
        <f>'Energy NPV'!U51</f>
        <v>2000.1999999999998</v>
      </c>
      <c r="J125" s="197"/>
      <c r="K125" s="197">
        <f t="shared" si="279"/>
        <v>2000.1999999999998</v>
      </c>
      <c r="L125" s="197">
        <f t="shared" si="268"/>
        <v>1379.33</v>
      </c>
      <c r="M125" s="197">
        <f t="shared" si="269"/>
        <v>1850.9699999999998</v>
      </c>
      <c r="N125" s="196">
        <f t="shared" si="280"/>
        <v>2110.8444669673172</v>
      </c>
      <c r="O125" s="197">
        <f t="shared" si="281"/>
        <v>294.58495246394193</v>
      </c>
      <c r="P125" s="197">
        <f t="shared" si="282"/>
        <v>1249.3190185700462</v>
      </c>
      <c r="Q125" s="197">
        <f t="shared" si="283"/>
        <v>861.52544839727125</v>
      </c>
      <c r="R125" s="199">
        <f t="shared" si="284"/>
        <v>1156.1104008612131</v>
      </c>
      <c r="S125" s="196">
        <f t="shared" si="320"/>
        <v>29287.591839130633</v>
      </c>
      <c r="T125" s="197">
        <f t="shared" si="285"/>
        <v>4898.016188401446</v>
      </c>
      <c r="U125" s="197">
        <f t="shared" si="285"/>
        <v>85997.368322731039</v>
      </c>
      <c r="V125" s="197">
        <f t="shared" si="285"/>
        <v>-56709.77648360045</v>
      </c>
      <c r="W125" s="199">
        <f t="shared" si="285"/>
        <v>-51811.760295198997</v>
      </c>
      <c r="Z125" s="204">
        <f t="shared" si="321"/>
        <v>13</v>
      </c>
      <c r="AA125" s="757">
        <f>'Energy NPV'!$D51</f>
        <v>12.54</v>
      </c>
      <c r="AB125" s="197">
        <f>'Energy margins'!$L$12</f>
        <v>269.5</v>
      </c>
      <c r="AC125" s="197">
        <f t="shared" si="322"/>
        <v>3379.5299999999997</v>
      </c>
      <c r="AD125" s="197">
        <f>'Margins summary'!$S$14</f>
        <v>471.64</v>
      </c>
      <c r="AE125" s="197">
        <f t="shared" si="286"/>
        <v>3851.1699999999996</v>
      </c>
      <c r="AF125" s="197"/>
      <c r="AG125" s="913">
        <f>'Energy NPV'!U51</f>
        <v>2000.1999999999998</v>
      </c>
      <c r="AH125" s="197"/>
      <c r="AI125" s="197">
        <f t="shared" si="287"/>
        <v>2000.1999999999998</v>
      </c>
      <c r="AJ125" s="197">
        <f t="shared" si="270"/>
        <v>1379.33</v>
      </c>
      <c r="AK125" s="197">
        <f t="shared" si="271"/>
        <v>1850.9699999999998</v>
      </c>
      <c r="AL125" s="196">
        <f t="shared" si="288"/>
        <v>1679.5228732893804</v>
      </c>
      <c r="AM125" s="197">
        <f t="shared" si="289"/>
        <v>234.3906306374565</v>
      </c>
      <c r="AN125" s="197">
        <f t="shared" si="290"/>
        <v>994.03812102671634</v>
      </c>
      <c r="AO125" s="197">
        <f t="shared" si="291"/>
        <v>685.48475226266407</v>
      </c>
      <c r="AP125" s="199">
        <f t="shared" si="292"/>
        <v>919.87538290012048</v>
      </c>
      <c r="AQ125" s="196">
        <f t="shared" si="323"/>
        <v>25959.439180195353</v>
      </c>
      <c r="AR125" s="197">
        <f t="shared" si="293"/>
        <v>4425.7961560423864</v>
      </c>
      <c r="AS125" s="197">
        <f t="shared" si="293"/>
        <v>83968.801815806029</v>
      </c>
      <c r="AT125" s="197">
        <f t="shared" si="293"/>
        <v>-58009.362635610705</v>
      </c>
      <c r="AU125" s="199">
        <f t="shared" si="293"/>
        <v>-53583.566479568304</v>
      </c>
      <c r="AX125" s="204">
        <f t="shared" si="324"/>
        <v>13</v>
      </c>
      <c r="AY125" s="757">
        <f>'Energy NPV'!$D51</f>
        <v>12.54</v>
      </c>
      <c r="AZ125" s="197">
        <f>'Energy margins'!$L$12</f>
        <v>269.5</v>
      </c>
      <c r="BA125" s="197">
        <f t="shared" si="325"/>
        <v>3379.5299999999997</v>
      </c>
      <c r="BB125" s="197">
        <f>'Margins summary'!$S$14</f>
        <v>471.64</v>
      </c>
      <c r="BC125" s="197">
        <f t="shared" si="294"/>
        <v>3851.1699999999996</v>
      </c>
      <c r="BD125" s="197"/>
      <c r="BE125" s="913">
        <f>'Energy NPV'!U51</f>
        <v>2000.1999999999998</v>
      </c>
      <c r="BF125" s="197"/>
      <c r="BG125" s="197">
        <f t="shared" si="295"/>
        <v>2000.1999999999998</v>
      </c>
      <c r="BH125" s="197">
        <f t="shared" si="272"/>
        <v>1379.33</v>
      </c>
      <c r="BI125" s="197">
        <f t="shared" si="273"/>
        <v>1850.9699999999998</v>
      </c>
      <c r="BJ125" s="196">
        <f t="shared" si="296"/>
        <v>2664.7363416734752</v>
      </c>
      <c r="BK125" s="197">
        <f t="shared" si="297"/>
        <v>371.88492133133241</v>
      </c>
      <c r="BL125" s="197">
        <f t="shared" si="298"/>
        <v>1577.144049798429</v>
      </c>
      <c r="BM125" s="197">
        <f t="shared" si="299"/>
        <v>1087.5922918750462</v>
      </c>
      <c r="BN125" s="199">
        <f t="shared" si="300"/>
        <v>1459.4772132063783</v>
      </c>
      <c r="BO125" s="196">
        <f t="shared" si="326"/>
        <v>33252.154398448503</v>
      </c>
      <c r="BP125" s="197">
        <f t="shared" si="301"/>
        <v>5459.3939334333791</v>
      </c>
      <c r="BQ125" s="197">
        <f t="shared" si="301"/>
        <v>88405.406737298865</v>
      </c>
      <c r="BR125" s="197">
        <f t="shared" si="301"/>
        <v>-55153.252338850347</v>
      </c>
      <c r="BS125" s="199">
        <f t="shared" si="301"/>
        <v>-49693.858405416977</v>
      </c>
      <c r="BV125" s="204">
        <f t="shared" si="327"/>
        <v>13</v>
      </c>
      <c r="BW125" s="757">
        <f>'Energy NPV'!$D51</f>
        <v>12.54</v>
      </c>
      <c r="BX125" s="197">
        <f>'Energy margins'!$L$12</f>
        <v>269.5</v>
      </c>
      <c r="BY125" s="197">
        <f t="shared" si="328"/>
        <v>3379.5299999999997</v>
      </c>
      <c r="BZ125" s="197">
        <f>'Margins summary'!$S$14</f>
        <v>471.64</v>
      </c>
      <c r="CA125" s="197">
        <f t="shared" si="302"/>
        <v>3851.1699999999996</v>
      </c>
      <c r="CB125" s="197"/>
      <c r="CC125" s="913">
        <f>'Energy NPV'!U51</f>
        <v>2000.1999999999998</v>
      </c>
      <c r="CD125" s="197"/>
      <c r="CE125" s="197">
        <f t="shared" si="303"/>
        <v>2000.1999999999998</v>
      </c>
      <c r="CF125" s="197">
        <f t="shared" si="274"/>
        <v>1379.33</v>
      </c>
      <c r="CG125" s="197">
        <f t="shared" si="275"/>
        <v>1850.9699999999998</v>
      </c>
      <c r="CH125" s="196">
        <f t="shared" si="304"/>
        <v>1342.0578607568868</v>
      </c>
      <c r="CI125" s="197">
        <f t="shared" si="305"/>
        <v>187.29473312779533</v>
      </c>
      <c r="CJ125" s="197">
        <f t="shared" si="306"/>
        <v>794.30694004371162</v>
      </c>
      <c r="CK125" s="197">
        <f t="shared" si="307"/>
        <v>547.75092071317511</v>
      </c>
      <c r="CL125" s="199">
        <f t="shared" si="308"/>
        <v>735.04565384097043</v>
      </c>
      <c r="CM125" s="196">
        <f t="shared" si="329"/>
        <v>23147.624117082105</v>
      </c>
      <c r="CN125" s="197">
        <f t="shared" si="309"/>
        <v>4025.9558359025568</v>
      </c>
      <c r="CO125" s="197">
        <f t="shared" si="309"/>
        <v>82248.459134227218</v>
      </c>
      <c r="CP125" s="197">
        <f t="shared" si="309"/>
        <v>-59100.835017145153</v>
      </c>
      <c r="CQ125" s="199">
        <f t="shared" si="309"/>
        <v>-55074.879181242599</v>
      </c>
      <c r="CT125" s="204">
        <f t="shared" si="330"/>
        <v>13</v>
      </c>
      <c r="CU125" s="757">
        <f>'Energy NPV'!$D51</f>
        <v>12.54</v>
      </c>
      <c r="CV125" s="197">
        <f>'Energy margins'!$L$12</f>
        <v>269.5</v>
      </c>
      <c r="CW125" s="197">
        <f t="shared" si="331"/>
        <v>3379.5299999999997</v>
      </c>
      <c r="CX125" s="197">
        <f>'Margins summary'!$S$14</f>
        <v>471.64</v>
      </c>
      <c r="CY125" s="197">
        <f t="shared" si="310"/>
        <v>3851.1699999999996</v>
      </c>
      <c r="CZ125" s="197"/>
      <c r="DA125" s="913">
        <f>'Energy NPV'!U51</f>
        <v>2000.1999999999998</v>
      </c>
      <c r="DB125" s="197"/>
      <c r="DC125" s="197">
        <f t="shared" si="311"/>
        <v>2000.1999999999998</v>
      </c>
      <c r="DD125" s="197">
        <f t="shared" si="276"/>
        <v>1379.33</v>
      </c>
      <c r="DE125" s="197">
        <f t="shared" si="277"/>
        <v>1850.9699999999998</v>
      </c>
      <c r="DF125" s="196">
        <f t="shared" si="312"/>
        <v>3379.5299999999997</v>
      </c>
      <c r="DG125" s="197">
        <f t="shared" si="313"/>
        <v>471.64</v>
      </c>
      <c r="DH125" s="197">
        <f t="shared" si="314"/>
        <v>2000.1999999999998</v>
      </c>
      <c r="DI125" s="197">
        <f t="shared" si="315"/>
        <v>1379.33</v>
      </c>
      <c r="DJ125" s="199">
        <f t="shared" si="316"/>
        <v>1850.9699999999998</v>
      </c>
      <c r="DK125" s="196">
        <f t="shared" si="332"/>
        <v>38006.237499999996</v>
      </c>
      <c r="DL125" s="197">
        <f t="shared" si="317"/>
        <v>6131.3200000000006</v>
      </c>
      <c r="DM125" s="197">
        <f t="shared" si="317"/>
        <v>91283.735999999961</v>
      </c>
      <c r="DN125" s="197">
        <f t="shared" si="317"/>
        <v>-53277.498499999987</v>
      </c>
      <c r="DO125" s="199">
        <f t="shared" si="317"/>
        <v>-47146.178499999995</v>
      </c>
    </row>
    <row r="126" spans="2:119" x14ac:dyDescent="0.3">
      <c r="B126" s="204">
        <f t="shared" si="318"/>
        <v>14</v>
      </c>
      <c r="C126" s="757">
        <f>'Energy NPV'!$D52</f>
        <v>12.54</v>
      </c>
      <c r="D126" s="197">
        <f>'Energy margins'!$L$12</f>
        <v>269.5</v>
      </c>
      <c r="E126" s="197">
        <f t="shared" si="319"/>
        <v>3379.5299999999997</v>
      </c>
      <c r="F126" s="197">
        <f>'Margins summary'!$S$14</f>
        <v>471.64</v>
      </c>
      <c r="G126" s="197">
        <f t="shared" si="278"/>
        <v>3851.1699999999996</v>
      </c>
      <c r="H126" s="197"/>
      <c r="I126" s="913">
        <f>'Energy NPV'!U52</f>
        <v>2000.1999999999998</v>
      </c>
      <c r="J126" s="197"/>
      <c r="K126" s="197">
        <f t="shared" si="279"/>
        <v>2000.1999999999998</v>
      </c>
      <c r="L126" s="197">
        <f t="shared" si="268"/>
        <v>1379.33</v>
      </c>
      <c r="M126" s="197">
        <f t="shared" si="269"/>
        <v>1850.9699999999998</v>
      </c>
      <c r="N126" s="196">
        <f t="shared" si="280"/>
        <v>2029.6581413147283</v>
      </c>
      <c r="O126" s="197">
        <f t="shared" si="281"/>
        <v>283.25476198455954</v>
      </c>
      <c r="P126" s="197">
        <f t="shared" si="282"/>
        <v>1201.2682870865829</v>
      </c>
      <c r="Q126" s="197">
        <f t="shared" si="283"/>
        <v>828.3898542281454</v>
      </c>
      <c r="R126" s="199">
        <f t="shared" si="284"/>
        <v>1111.6446162127049</v>
      </c>
      <c r="S126" s="196">
        <f t="shared" si="320"/>
        <v>31317.249980445362</v>
      </c>
      <c r="T126" s="197">
        <f t="shared" si="285"/>
        <v>5181.270950386006</v>
      </c>
      <c r="U126" s="197">
        <f t="shared" si="285"/>
        <v>87198.636609817622</v>
      </c>
      <c r="V126" s="197">
        <f t="shared" si="285"/>
        <v>-55881.386629372304</v>
      </c>
      <c r="W126" s="199">
        <f t="shared" si="285"/>
        <v>-50700.115678986294</v>
      </c>
      <c r="Z126" s="204">
        <f t="shared" si="321"/>
        <v>14</v>
      </c>
      <c r="AA126" s="757">
        <f>'Energy NPV'!$D52</f>
        <v>12.54</v>
      </c>
      <c r="AB126" s="197">
        <f>'Energy margins'!$L$12</f>
        <v>269.5</v>
      </c>
      <c r="AC126" s="197">
        <f t="shared" si="322"/>
        <v>3379.5299999999997</v>
      </c>
      <c r="AD126" s="197">
        <f>'Margins summary'!$S$14</f>
        <v>471.64</v>
      </c>
      <c r="AE126" s="197">
        <f t="shared" si="286"/>
        <v>3851.1699999999996</v>
      </c>
      <c r="AF126" s="197"/>
      <c r="AG126" s="913">
        <f>'Energy NPV'!U52</f>
        <v>2000.1999999999998</v>
      </c>
      <c r="AH126" s="197"/>
      <c r="AI126" s="197">
        <f t="shared" si="287"/>
        <v>2000.1999999999998</v>
      </c>
      <c r="AJ126" s="197">
        <f t="shared" si="270"/>
        <v>1379.33</v>
      </c>
      <c r="AK126" s="197">
        <f t="shared" si="271"/>
        <v>1850.9699999999998</v>
      </c>
      <c r="AL126" s="196">
        <f t="shared" si="288"/>
        <v>1584.4555408390379</v>
      </c>
      <c r="AM126" s="197">
        <f t="shared" si="289"/>
        <v>221.12323645043065</v>
      </c>
      <c r="AN126" s="197">
        <f t="shared" si="290"/>
        <v>937.7718122893549</v>
      </c>
      <c r="AO126" s="197">
        <f t="shared" si="291"/>
        <v>646.683728549683</v>
      </c>
      <c r="AP126" s="199">
        <f t="shared" si="292"/>
        <v>867.80696500011356</v>
      </c>
      <c r="AQ126" s="196">
        <f t="shared" si="323"/>
        <v>27543.89472103439</v>
      </c>
      <c r="AR126" s="197">
        <f t="shared" si="293"/>
        <v>4646.9193924928168</v>
      </c>
      <c r="AS126" s="197">
        <f t="shared" si="293"/>
        <v>84906.573628095386</v>
      </c>
      <c r="AT126" s="197">
        <f t="shared" si="293"/>
        <v>-57362.678907061025</v>
      </c>
      <c r="AU126" s="199">
        <f t="shared" si="293"/>
        <v>-52715.759514568192</v>
      </c>
      <c r="AX126" s="204">
        <f t="shared" si="324"/>
        <v>14</v>
      </c>
      <c r="AY126" s="757">
        <f>'Energy NPV'!$D52</f>
        <v>12.54</v>
      </c>
      <c r="AZ126" s="197">
        <f>'Energy margins'!$L$12</f>
        <v>269.5</v>
      </c>
      <c r="BA126" s="197">
        <f t="shared" si="325"/>
        <v>3379.5299999999997</v>
      </c>
      <c r="BB126" s="197">
        <f>'Margins summary'!$S$14</f>
        <v>471.64</v>
      </c>
      <c r="BC126" s="197">
        <f t="shared" si="294"/>
        <v>3851.1699999999996</v>
      </c>
      <c r="BD126" s="197"/>
      <c r="BE126" s="913">
        <f>'Energy NPV'!U52</f>
        <v>2000.1999999999998</v>
      </c>
      <c r="BF126" s="197"/>
      <c r="BG126" s="197">
        <f t="shared" si="295"/>
        <v>2000.1999999999998</v>
      </c>
      <c r="BH126" s="197">
        <f t="shared" si="272"/>
        <v>1379.33</v>
      </c>
      <c r="BI126" s="197">
        <f t="shared" si="273"/>
        <v>1850.9699999999998</v>
      </c>
      <c r="BJ126" s="196">
        <f t="shared" si="296"/>
        <v>2612.4866094837994</v>
      </c>
      <c r="BK126" s="197">
        <f t="shared" si="297"/>
        <v>364.59306012875732</v>
      </c>
      <c r="BL126" s="197">
        <f t="shared" si="298"/>
        <v>1546.2196566651266</v>
      </c>
      <c r="BM126" s="197">
        <f t="shared" si="299"/>
        <v>1066.2669528186727</v>
      </c>
      <c r="BN126" s="199">
        <f t="shared" si="300"/>
        <v>1430.8600129474298</v>
      </c>
      <c r="BO126" s="196">
        <f t="shared" si="326"/>
        <v>35864.641007932303</v>
      </c>
      <c r="BP126" s="197">
        <f t="shared" si="301"/>
        <v>5823.9869935621364</v>
      </c>
      <c r="BQ126" s="197">
        <f t="shared" si="301"/>
        <v>89951.62639396399</v>
      </c>
      <c r="BR126" s="197">
        <f t="shared" si="301"/>
        <v>-54086.985386031673</v>
      </c>
      <c r="BS126" s="199">
        <f t="shared" si="301"/>
        <v>-48262.998392469548</v>
      </c>
      <c r="BV126" s="204">
        <f t="shared" si="327"/>
        <v>14</v>
      </c>
      <c r="BW126" s="757">
        <f>'Energy NPV'!$D52</f>
        <v>12.54</v>
      </c>
      <c r="BX126" s="197">
        <f>'Energy margins'!$L$12</f>
        <v>269.5</v>
      </c>
      <c r="BY126" s="197">
        <f t="shared" si="328"/>
        <v>3379.5299999999997</v>
      </c>
      <c r="BZ126" s="197">
        <f>'Margins summary'!$S$14</f>
        <v>471.64</v>
      </c>
      <c r="CA126" s="197">
        <f t="shared" si="302"/>
        <v>3851.1699999999996</v>
      </c>
      <c r="CB126" s="197"/>
      <c r="CC126" s="913">
        <f>'Energy NPV'!U52</f>
        <v>2000.1999999999998</v>
      </c>
      <c r="CD126" s="197"/>
      <c r="CE126" s="197">
        <f t="shared" si="303"/>
        <v>2000.1999999999998</v>
      </c>
      <c r="CF126" s="197">
        <f t="shared" si="274"/>
        <v>1379.33</v>
      </c>
      <c r="CG126" s="197">
        <f t="shared" si="275"/>
        <v>1850.9699999999998</v>
      </c>
      <c r="CH126" s="196">
        <f t="shared" si="304"/>
        <v>1242.6461673674878</v>
      </c>
      <c r="CI126" s="197">
        <f t="shared" si="305"/>
        <v>173.42104919240307</v>
      </c>
      <c r="CJ126" s="197">
        <f t="shared" si="306"/>
        <v>735.46938892936271</v>
      </c>
      <c r="CK126" s="197">
        <f t="shared" si="307"/>
        <v>507.1767784381251</v>
      </c>
      <c r="CL126" s="199">
        <f t="shared" si="308"/>
        <v>680.59782763052817</v>
      </c>
      <c r="CM126" s="196">
        <f t="shared" si="329"/>
        <v>24390.270284449594</v>
      </c>
      <c r="CN126" s="197">
        <f t="shared" si="309"/>
        <v>4199.37688509496</v>
      </c>
      <c r="CO126" s="197">
        <f t="shared" si="309"/>
        <v>82983.928523156574</v>
      </c>
      <c r="CP126" s="197">
        <f t="shared" si="309"/>
        <v>-58593.65823870703</v>
      </c>
      <c r="CQ126" s="199">
        <f t="shared" si="309"/>
        <v>-54394.281353612074</v>
      </c>
      <c r="CT126" s="204">
        <f t="shared" si="330"/>
        <v>14</v>
      </c>
      <c r="CU126" s="757">
        <f>'Energy NPV'!$D52</f>
        <v>12.54</v>
      </c>
      <c r="CV126" s="197">
        <f>'Energy margins'!$L$12</f>
        <v>269.5</v>
      </c>
      <c r="CW126" s="197">
        <f t="shared" si="331"/>
        <v>3379.5299999999997</v>
      </c>
      <c r="CX126" s="197">
        <f>'Margins summary'!$S$14</f>
        <v>471.64</v>
      </c>
      <c r="CY126" s="197">
        <f t="shared" si="310"/>
        <v>3851.1699999999996</v>
      </c>
      <c r="CZ126" s="197"/>
      <c r="DA126" s="913">
        <f>'Energy NPV'!U52</f>
        <v>2000.1999999999998</v>
      </c>
      <c r="DB126" s="197"/>
      <c r="DC126" s="197">
        <f t="shared" si="311"/>
        <v>2000.1999999999998</v>
      </c>
      <c r="DD126" s="197">
        <f t="shared" si="276"/>
        <v>1379.33</v>
      </c>
      <c r="DE126" s="197">
        <f t="shared" si="277"/>
        <v>1850.9699999999998</v>
      </c>
      <c r="DF126" s="196">
        <f t="shared" si="312"/>
        <v>3379.5299999999997</v>
      </c>
      <c r="DG126" s="197">
        <f t="shared" si="313"/>
        <v>471.64</v>
      </c>
      <c r="DH126" s="197">
        <f t="shared" si="314"/>
        <v>2000.1999999999998</v>
      </c>
      <c r="DI126" s="197">
        <f t="shared" si="315"/>
        <v>1379.33</v>
      </c>
      <c r="DJ126" s="199">
        <f t="shared" si="316"/>
        <v>1850.9699999999998</v>
      </c>
      <c r="DK126" s="196">
        <f t="shared" si="332"/>
        <v>41385.767499999994</v>
      </c>
      <c r="DL126" s="197">
        <f t="shared" si="317"/>
        <v>6602.9600000000009</v>
      </c>
      <c r="DM126" s="197">
        <f t="shared" si="317"/>
        <v>93283.935999999958</v>
      </c>
      <c r="DN126" s="197">
        <f t="shared" si="317"/>
        <v>-51898.168499999985</v>
      </c>
      <c r="DO126" s="199">
        <f t="shared" si="317"/>
        <v>-45295.208499999993</v>
      </c>
    </row>
    <row r="127" spans="2:119" x14ac:dyDescent="0.3">
      <c r="B127" s="204">
        <f t="shared" si="318"/>
        <v>15</v>
      </c>
      <c r="C127" s="757">
        <f>'Energy NPV'!$D53</f>
        <v>12.54</v>
      </c>
      <c r="D127" s="197">
        <f>'Energy margins'!$L$12</f>
        <v>269.5</v>
      </c>
      <c r="E127" s="197">
        <f t="shared" si="319"/>
        <v>3379.5299999999997</v>
      </c>
      <c r="F127" s="197">
        <f>'Margins summary'!$S$14</f>
        <v>471.64</v>
      </c>
      <c r="G127" s="197">
        <f t="shared" si="278"/>
        <v>3851.1699999999996</v>
      </c>
      <c r="H127" s="197"/>
      <c r="I127" s="913">
        <f>'Energy NPV'!U53</f>
        <v>2000.1999999999998</v>
      </c>
      <c r="J127" s="197"/>
      <c r="K127" s="197">
        <f t="shared" si="279"/>
        <v>2000.1999999999998</v>
      </c>
      <c r="L127" s="197">
        <f t="shared" si="268"/>
        <v>1379.33</v>
      </c>
      <c r="M127" s="197">
        <f t="shared" si="269"/>
        <v>1850.9699999999998</v>
      </c>
      <c r="N127" s="196">
        <f t="shared" si="280"/>
        <v>1951.5943666487772</v>
      </c>
      <c r="O127" s="197">
        <f t="shared" si="281"/>
        <v>272.36034806207647</v>
      </c>
      <c r="P127" s="197">
        <f t="shared" si="282"/>
        <v>1155.0656606601758</v>
      </c>
      <c r="Q127" s="197">
        <f t="shared" si="283"/>
        <v>796.52870598860136</v>
      </c>
      <c r="R127" s="199">
        <f t="shared" si="284"/>
        <v>1068.8890540506777</v>
      </c>
      <c r="S127" s="196">
        <f t="shared" si="320"/>
        <v>33268.844347094142</v>
      </c>
      <c r="T127" s="197">
        <f t="shared" si="285"/>
        <v>5453.6312984480828</v>
      </c>
      <c r="U127" s="197">
        <f t="shared" si="285"/>
        <v>88353.702270477792</v>
      </c>
      <c r="V127" s="197">
        <f t="shared" si="285"/>
        <v>-55084.857923383701</v>
      </c>
      <c r="W127" s="199">
        <f t="shared" si="285"/>
        <v>-49631.226624935618</v>
      </c>
      <c r="Z127" s="204">
        <f t="shared" si="321"/>
        <v>15</v>
      </c>
      <c r="AA127" s="757">
        <f>'Energy NPV'!$D53</f>
        <v>12.54</v>
      </c>
      <c r="AB127" s="197">
        <f>'Energy margins'!$L$12</f>
        <v>269.5</v>
      </c>
      <c r="AC127" s="197">
        <f t="shared" si="322"/>
        <v>3379.5299999999997</v>
      </c>
      <c r="AD127" s="197">
        <f>'Margins summary'!$S$14</f>
        <v>471.64</v>
      </c>
      <c r="AE127" s="197">
        <f t="shared" si="286"/>
        <v>3851.1699999999996</v>
      </c>
      <c r="AF127" s="197"/>
      <c r="AG127" s="913">
        <f>'Energy NPV'!U53</f>
        <v>2000.1999999999998</v>
      </c>
      <c r="AH127" s="197"/>
      <c r="AI127" s="197">
        <f t="shared" si="287"/>
        <v>2000.1999999999998</v>
      </c>
      <c r="AJ127" s="197">
        <f t="shared" si="270"/>
        <v>1379.33</v>
      </c>
      <c r="AK127" s="197">
        <f t="shared" si="271"/>
        <v>1850.9699999999998</v>
      </c>
      <c r="AL127" s="196">
        <f t="shared" si="288"/>
        <v>1494.7693781500359</v>
      </c>
      <c r="AM127" s="197">
        <f t="shared" si="289"/>
        <v>208.60682684002893</v>
      </c>
      <c r="AN127" s="197">
        <f t="shared" si="290"/>
        <v>884.69038895222161</v>
      </c>
      <c r="AO127" s="197">
        <f t="shared" si="291"/>
        <v>610.07898919781417</v>
      </c>
      <c r="AP127" s="199">
        <f t="shared" si="292"/>
        <v>818.6858160378431</v>
      </c>
      <c r="AQ127" s="196">
        <f t="shared" si="323"/>
        <v>29038.664099184425</v>
      </c>
      <c r="AR127" s="197">
        <f t="shared" si="293"/>
        <v>4855.5262193328454</v>
      </c>
      <c r="AS127" s="197">
        <f t="shared" si="293"/>
        <v>85791.264017047608</v>
      </c>
      <c r="AT127" s="197">
        <f t="shared" si="293"/>
        <v>-56752.599917863212</v>
      </c>
      <c r="AU127" s="199">
        <f t="shared" si="293"/>
        <v>-51897.073698530352</v>
      </c>
      <c r="AX127" s="204">
        <f t="shared" si="324"/>
        <v>15</v>
      </c>
      <c r="AY127" s="757">
        <f>'Energy NPV'!$D53</f>
        <v>12.54</v>
      </c>
      <c r="AZ127" s="197">
        <f>'Energy margins'!$L$12</f>
        <v>269.5</v>
      </c>
      <c r="BA127" s="197">
        <f t="shared" si="325"/>
        <v>3379.5299999999997</v>
      </c>
      <c r="BB127" s="197">
        <f>'Margins summary'!$S$14</f>
        <v>471.64</v>
      </c>
      <c r="BC127" s="197">
        <f t="shared" si="294"/>
        <v>3851.1699999999996</v>
      </c>
      <c r="BD127" s="197"/>
      <c r="BE127" s="913">
        <f>'Energy NPV'!U53</f>
        <v>2000.1999999999998</v>
      </c>
      <c r="BF127" s="197"/>
      <c r="BG127" s="197">
        <f t="shared" si="295"/>
        <v>2000.1999999999998</v>
      </c>
      <c r="BH127" s="197">
        <f t="shared" si="272"/>
        <v>1379.33</v>
      </c>
      <c r="BI127" s="197">
        <f t="shared" si="273"/>
        <v>1850.9699999999998</v>
      </c>
      <c r="BJ127" s="196">
        <f t="shared" si="296"/>
        <v>2561.2613818468617</v>
      </c>
      <c r="BK127" s="197">
        <f t="shared" si="297"/>
        <v>357.44417659682085</v>
      </c>
      <c r="BL127" s="197">
        <f t="shared" si="298"/>
        <v>1515.9016241814963</v>
      </c>
      <c r="BM127" s="197">
        <f t="shared" si="299"/>
        <v>1045.3597576653654</v>
      </c>
      <c r="BN127" s="199">
        <f t="shared" si="300"/>
        <v>1402.803934262186</v>
      </c>
      <c r="BO127" s="196">
        <f t="shared" si="326"/>
        <v>38425.902389779163</v>
      </c>
      <c r="BP127" s="197">
        <f t="shared" si="301"/>
        <v>6181.4311701589577</v>
      </c>
      <c r="BQ127" s="197">
        <f t="shared" si="301"/>
        <v>91467.528018145487</v>
      </c>
      <c r="BR127" s="197">
        <f t="shared" si="301"/>
        <v>-53041.62562836631</v>
      </c>
      <c r="BS127" s="199">
        <f t="shared" si="301"/>
        <v>-46860.194458207363</v>
      </c>
      <c r="BV127" s="204">
        <f t="shared" si="327"/>
        <v>15</v>
      </c>
      <c r="BW127" s="757">
        <f>'Energy NPV'!$D53</f>
        <v>12.54</v>
      </c>
      <c r="BX127" s="197">
        <f>'Energy margins'!$L$12</f>
        <v>269.5</v>
      </c>
      <c r="BY127" s="197">
        <f t="shared" si="328"/>
        <v>3379.5299999999997</v>
      </c>
      <c r="BZ127" s="197">
        <f>'Margins summary'!$S$14</f>
        <v>471.64</v>
      </c>
      <c r="CA127" s="197">
        <f t="shared" si="302"/>
        <v>3851.1699999999996</v>
      </c>
      <c r="CB127" s="197"/>
      <c r="CC127" s="913">
        <f>'Energy NPV'!U53</f>
        <v>2000.1999999999998</v>
      </c>
      <c r="CD127" s="197"/>
      <c r="CE127" s="197">
        <f t="shared" si="303"/>
        <v>2000.1999999999998</v>
      </c>
      <c r="CF127" s="197">
        <f t="shared" si="274"/>
        <v>1379.33</v>
      </c>
      <c r="CG127" s="197">
        <f t="shared" si="275"/>
        <v>1850.9699999999998</v>
      </c>
      <c r="CH127" s="196">
        <f t="shared" si="304"/>
        <v>1150.598303118044</v>
      </c>
      <c r="CI127" s="197">
        <f t="shared" si="305"/>
        <v>160.57504554852133</v>
      </c>
      <c r="CJ127" s="197">
        <f t="shared" si="306"/>
        <v>680.99017493459496</v>
      </c>
      <c r="CK127" s="197">
        <f t="shared" si="307"/>
        <v>469.60812818344908</v>
      </c>
      <c r="CL127" s="199">
        <f t="shared" si="308"/>
        <v>630.18317373197033</v>
      </c>
      <c r="CM127" s="196">
        <f t="shared" si="329"/>
        <v>25540.868587567638</v>
      </c>
      <c r="CN127" s="197">
        <f t="shared" si="309"/>
        <v>4359.9519306434813</v>
      </c>
      <c r="CO127" s="197">
        <f t="shared" si="309"/>
        <v>83664.918698091162</v>
      </c>
      <c r="CP127" s="197">
        <f t="shared" si="309"/>
        <v>-58124.050110523582</v>
      </c>
      <c r="CQ127" s="199">
        <f t="shared" si="309"/>
        <v>-53764.0981798801</v>
      </c>
      <c r="CT127" s="204">
        <f t="shared" si="330"/>
        <v>15</v>
      </c>
      <c r="CU127" s="757">
        <f>'Energy NPV'!$D53</f>
        <v>12.54</v>
      </c>
      <c r="CV127" s="197">
        <f>'Energy margins'!$L$12</f>
        <v>269.5</v>
      </c>
      <c r="CW127" s="197">
        <f t="shared" si="331"/>
        <v>3379.5299999999997</v>
      </c>
      <c r="CX127" s="197">
        <f>'Margins summary'!$S$14</f>
        <v>471.64</v>
      </c>
      <c r="CY127" s="197">
        <f t="shared" si="310"/>
        <v>3851.1699999999996</v>
      </c>
      <c r="CZ127" s="197"/>
      <c r="DA127" s="913">
        <f>'Energy NPV'!U53</f>
        <v>2000.1999999999998</v>
      </c>
      <c r="DB127" s="197"/>
      <c r="DC127" s="197">
        <f t="shared" si="311"/>
        <v>2000.1999999999998</v>
      </c>
      <c r="DD127" s="197">
        <f t="shared" si="276"/>
        <v>1379.33</v>
      </c>
      <c r="DE127" s="197">
        <f t="shared" si="277"/>
        <v>1850.9699999999998</v>
      </c>
      <c r="DF127" s="196">
        <f t="shared" si="312"/>
        <v>3379.5299999999997</v>
      </c>
      <c r="DG127" s="197">
        <f t="shared" si="313"/>
        <v>471.64</v>
      </c>
      <c r="DH127" s="197">
        <f t="shared" si="314"/>
        <v>2000.1999999999998</v>
      </c>
      <c r="DI127" s="197">
        <f t="shared" si="315"/>
        <v>1379.33</v>
      </c>
      <c r="DJ127" s="199">
        <f t="shared" si="316"/>
        <v>1850.9699999999998</v>
      </c>
      <c r="DK127" s="196">
        <f t="shared" si="332"/>
        <v>44765.297499999993</v>
      </c>
      <c r="DL127" s="197">
        <f t="shared" si="317"/>
        <v>7074.6000000000013</v>
      </c>
      <c r="DM127" s="197">
        <f t="shared" si="317"/>
        <v>95284.135999999955</v>
      </c>
      <c r="DN127" s="197">
        <f t="shared" si="317"/>
        <v>-50518.838499999983</v>
      </c>
      <c r="DO127" s="199">
        <f t="shared" si="317"/>
        <v>-43444.238499999992</v>
      </c>
    </row>
    <row r="128" spans="2:119" x14ac:dyDescent="0.3">
      <c r="B128" s="206">
        <f t="shared" si="318"/>
        <v>16</v>
      </c>
      <c r="C128" s="758">
        <f>'Energy NPV'!$D54</f>
        <v>12.54</v>
      </c>
      <c r="D128" s="207">
        <f>'Energy margins'!$L$12</f>
        <v>269.5</v>
      </c>
      <c r="E128" s="207">
        <f t="shared" si="319"/>
        <v>3379.5299999999997</v>
      </c>
      <c r="F128" s="207">
        <f>'Margins summary'!$S$14</f>
        <v>471.64</v>
      </c>
      <c r="G128" s="207">
        <f t="shared" si="278"/>
        <v>3851.1699999999996</v>
      </c>
      <c r="H128" s="207"/>
      <c r="I128" s="914">
        <f>'Energy NPV'!U54</f>
        <v>2000.1999999999998</v>
      </c>
      <c r="J128" s="207">
        <f>'Energy margins'!$Q$67</f>
        <v>500</v>
      </c>
      <c r="K128" s="207">
        <f t="shared" si="279"/>
        <v>2500.1999999999998</v>
      </c>
      <c r="L128" s="207">
        <f t="shared" si="268"/>
        <v>879.32999999999993</v>
      </c>
      <c r="M128" s="207">
        <f t="shared" si="269"/>
        <v>1350.9699999999998</v>
      </c>
      <c r="N128" s="208">
        <f t="shared" si="280"/>
        <v>1876.5330448545935</v>
      </c>
      <c r="O128" s="207">
        <f t="shared" si="281"/>
        <v>261.88495005968895</v>
      </c>
      <c r="P128" s="207">
        <f t="shared" si="282"/>
        <v>1388.2723096837296</v>
      </c>
      <c r="Q128" s="207">
        <f t="shared" si="283"/>
        <v>488.26073517086388</v>
      </c>
      <c r="R128" s="209">
        <f t="shared" si="284"/>
        <v>750.14568523055277</v>
      </c>
      <c r="S128" s="208">
        <f t="shared" si="320"/>
        <v>35145.377391948736</v>
      </c>
      <c r="T128" s="207">
        <f t="shared" si="285"/>
        <v>5715.5162485077717</v>
      </c>
      <c r="U128" s="207">
        <f t="shared" si="285"/>
        <v>89741.974580161521</v>
      </c>
      <c r="V128" s="207">
        <f t="shared" si="285"/>
        <v>-54596.597188212836</v>
      </c>
      <c r="W128" s="209">
        <f t="shared" si="285"/>
        <v>-48881.080939705062</v>
      </c>
      <c r="Z128" s="206">
        <f t="shared" si="321"/>
        <v>16</v>
      </c>
      <c r="AA128" s="758">
        <f>'Energy NPV'!$D54</f>
        <v>12.54</v>
      </c>
      <c r="AB128" s="207">
        <f>'Energy margins'!$L$12</f>
        <v>269.5</v>
      </c>
      <c r="AC128" s="207">
        <f t="shared" si="322"/>
        <v>3379.5299999999997</v>
      </c>
      <c r="AD128" s="207">
        <f>'Margins summary'!$S$14</f>
        <v>471.64</v>
      </c>
      <c r="AE128" s="207">
        <f t="shared" si="286"/>
        <v>3851.1699999999996</v>
      </c>
      <c r="AF128" s="207"/>
      <c r="AG128" s="913">
        <f>'Energy NPV'!U54</f>
        <v>2000.1999999999998</v>
      </c>
      <c r="AH128" s="207">
        <f>'Energy margins'!$Q$67</f>
        <v>500</v>
      </c>
      <c r="AI128" s="207">
        <f t="shared" si="287"/>
        <v>2500.1999999999998</v>
      </c>
      <c r="AJ128" s="207">
        <f t="shared" si="270"/>
        <v>879.32999999999993</v>
      </c>
      <c r="AK128" s="207">
        <f t="shared" si="271"/>
        <v>1350.9699999999998</v>
      </c>
      <c r="AL128" s="208">
        <f t="shared" si="288"/>
        <v>1410.1597907075807</v>
      </c>
      <c r="AM128" s="207">
        <f t="shared" si="289"/>
        <v>196.79889324531024</v>
      </c>
      <c r="AN128" s="207">
        <f t="shared" si="290"/>
        <v>1043.2461048509979</v>
      </c>
      <c r="AO128" s="207">
        <f t="shared" si="291"/>
        <v>366.91368585658267</v>
      </c>
      <c r="AP128" s="209">
        <f t="shared" si="292"/>
        <v>563.71257910189286</v>
      </c>
      <c r="AQ128" s="208">
        <f>AQ127+AL128</f>
        <v>30448.823889892006</v>
      </c>
      <c r="AR128" s="207">
        <f t="shared" si="293"/>
        <v>5052.3251125781553</v>
      </c>
      <c r="AS128" s="207">
        <f t="shared" si="293"/>
        <v>86834.510121898609</v>
      </c>
      <c r="AT128" s="207">
        <f t="shared" si="293"/>
        <v>-56385.686232006628</v>
      </c>
      <c r="AU128" s="209">
        <f t="shared" si="293"/>
        <v>-51333.36111942846</v>
      </c>
      <c r="AX128" s="206">
        <f t="shared" si="324"/>
        <v>16</v>
      </c>
      <c r="AY128" s="758">
        <f>'Energy NPV'!$D54</f>
        <v>12.54</v>
      </c>
      <c r="AZ128" s="207">
        <f>'Energy margins'!$L$12</f>
        <v>269.5</v>
      </c>
      <c r="BA128" s="207">
        <f t="shared" si="325"/>
        <v>3379.5299999999997</v>
      </c>
      <c r="BB128" s="207">
        <f>'Margins summary'!$S$14</f>
        <v>471.64</v>
      </c>
      <c r="BC128" s="207">
        <f t="shared" si="294"/>
        <v>3851.1699999999996</v>
      </c>
      <c r="BD128" s="207"/>
      <c r="BE128" s="913">
        <f>'Energy NPV'!U54</f>
        <v>2000.1999999999998</v>
      </c>
      <c r="BF128" s="207">
        <f>'Energy margins'!$Q$67</f>
        <v>500</v>
      </c>
      <c r="BG128" s="207">
        <f t="shared" si="295"/>
        <v>2500.1999999999998</v>
      </c>
      <c r="BH128" s="207">
        <f t="shared" si="272"/>
        <v>879.32999999999993</v>
      </c>
      <c r="BI128" s="207">
        <f t="shared" si="273"/>
        <v>1350.9699999999998</v>
      </c>
      <c r="BJ128" s="208">
        <f t="shared" si="296"/>
        <v>2511.0405704381005</v>
      </c>
      <c r="BK128" s="207">
        <f t="shared" si="297"/>
        <v>350.43546725178521</v>
      </c>
      <c r="BL128" s="207">
        <f t="shared" si="298"/>
        <v>1857.6854279172958</v>
      </c>
      <c r="BM128" s="207">
        <f t="shared" si="299"/>
        <v>653.35514252080463</v>
      </c>
      <c r="BN128" s="209">
        <f t="shared" si="300"/>
        <v>1003.7906097725897</v>
      </c>
      <c r="BO128" s="208">
        <f t="shared" si="326"/>
        <v>40936.94296021726</v>
      </c>
      <c r="BP128" s="207">
        <f t="shared" si="301"/>
        <v>6531.8666374107434</v>
      </c>
      <c r="BQ128" s="207">
        <f t="shared" si="301"/>
        <v>93325.213446062786</v>
      </c>
      <c r="BR128" s="207">
        <f t="shared" si="301"/>
        <v>-52388.270485845504</v>
      </c>
      <c r="BS128" s="209">
        <f t="shared" si="301"/>
        <v>-45856.403848434777</v>
      </c>
      <c r="BV128" s="206">
        <f t="shared" si="327"/>
        <v>16</v>
      </c>
      <c r="BW128" s="758">
        <f>'Energy NPV'!$D54</f>
        <v>12.54</v>
      </c>
      <c r="BX128" s="207">
        <f>'Energy margins'!$L$12</f>
        <v>269.5</v>
      </c>
      <c r="BY128" s="207">
        <f t="shared" si="328"/>
        <v>3379.5299999999997</v>
      </c>
      <c r="BZ128" s="207">
        <f>'Margins summary'!$S$14</f>
        <v>471.64</v>
      </c>
      <c r="CA128" s="207">
        <f t="shared" si="302"/>
        <v>3851.1699999999996</v>
      </c>
      <c r="CB128" s="207"/>
      <c r="CC128" s="913">
        <f>'Energy NPV'!U54</f>
        <v>2000.1999999999998</v>
      </c>
      <c r="CD128" s="207">
        <f>'Energy margins'!$Q$67</f>
        <v>500</v>
      </c>
      <c r="CE128" s="207">
        <f t="shared" si="303"/>
        <v>2500.1999999999998</v>
      </c>
      <c r="CF128" s="207">
        <f t="shared" si="274"/>
        <v>879.32999999999993</v>
      </c>
      <c r="CG128" s="207">
        <f t="shared" si="275"/>
        <v>1350.9699999999998</v>
      </c>
      <c r="CH128" s="208">
        <f t="shared" si="304"/>
        <v>1065.368799183374</v>
      </c>
      <c r="CI128" s="207">
        <f t="shared" si="305"/>
        <v>148.68059773011234</v>
      </c>
      <c r="CJ128" s="207">
        <f t="shared" si="306"/>
        <v>788.16731075571806</v>
      </c>
      <c r="CK128" s="207">
        <f t="shared" si="307"/>
        <v>277.20148842765599</v>
      </c>
      <c r="CL128" s="209">
        <f t="shared" si="308"/>
        <v>425.8820861577683</v>
      </c>
      <c r="CM128" s="208">
        <f t="shared" si="329"/>
        <v>26606.23738675101</v>
      </c>
      <c r="CN128" s="207">
        <f t="shared" si="309"/>
        <v>4508.6325283735932</v>
      </c>
      <c r="CO128" s="207">
        <f t="shared" si="309"/>
        <v>84453.086008846876</v>
      </c>
      <c r="CP128" s="207">
        <f t="shared" si="309"/>
        <v>-57846.848622095924</v>
      </c>
      <c r="CQ128" s="209">
        <f t="shared" si="309"/>
        <v>-53338.216093722331</v>
      </c>
      <c r="CT128" s="206">
        <f t="shared" si="330"/>
        <v>16</v>
      </c>
      <c r="CU128" s="758">
        <f>'Energy NPV'!$D54</f>
        <v>12.54</v>
      </c>
      <c r="CV128" s="207">
        <f>'Energy margins'!$L$12</f>
        <v>269.5</v>
      </c>
      <c r="CW128" s="207">
        <f t="shared" si="331"/>
        <v>3379.5299999999997</v>
      </c>
      <c r="CX128" s="207">
        <f>'Margins summary'!$S$14</f>
        <v>471.64</v>
      </c>
      <c r="CY128" s="207">
        <f t="shared" si="310"/>
        <v>3851.1699999999996</v>
      </c>
      <c r="CZ128" s="207"/>
      <c r="DA128" s="913">
        <f>'Energy NPV'!U54</f>
        <v>2000.1999999999998</v>
      </c>
      <c r="DB128" s="207">
        <f>'Energy margins'!$Q$67</f>
        <v>500</v>
      </c>
      <c r="DC128" s="207">
        <f t="shared" si="311"/>
        <v>2500.1999999999998</v>
      </c>
      <c r="DD128" s="207">
        <f t="shared" si="276"/>
        <v>879.32999999999993</v>
      </c>
      <c r="DE128" s="207">
        <f t="shared" si="277"/>
        <v>1350.9699999999998</v>
      </c>
      <c r="DF128" s="208">
        <f>CW128/((1+$F$4)^(CT128-1))</f>
        <v>3379.5299999999997</v>
      </c>
      <c r="DG128" s="207">
        <f>CX128/((1+$F$4)^(CT128-1))</f>
        <v>471.64</v>
      </c>
      <c r="DH128" s="207">
        <f>DC128/((1+$F$4)^(CT128-1))</f>
        <v>2500.1999999999998</v>
      </c>
      <c r="DI128" s="207">
        <f t="shared" si="315"/>
        <v>879.32999999999993</v>
      </c>
      <c r="DJ128" s="209">
        <f>DE128/((1+$F$4)^(CT128-1))</f>
        <v>1350.9699999999998</v>
      </c>
      <c r="DK128" s="208">
        <f t="shared" si="332"/>
        <v>48144.827499999992</v>
      </c>
      <c r="DL128" s="207">
        <f t="shared" si="317"/>
        <v>7546.2400000000016</v>
      </c>
      <c r="DM128" s="207">
        <f t="shared" si="317"/>
        <v>97784.335999999952</v>
      </c>
      <c r="DN128" s="207">
        <f t="shared" si="317"/>
        <v>-49639.508499999982</v>
      </c>
      <c r="DO128" s="209">
        <f t="shared" si="317"/>
        <v>-42093.268499999991</v>
      </c>
    </row>
    <row r="134" spans="2:118" x14ac:dyDescent="0.3">
      <c r="B134" s="212" t="s">
        <v>258</v>
      </c>
      <c r="C134" s="760" t="s">
        <v>412</v>
      </c>
      <c r="D134" s="269" t="s">
        <v>397</v>
      </c>
      <c r="E134" s="908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Z134" s="212" t="s">
        <v>258</v>
      </c>
      <c r="AA134" s="211" t="s">
        <v>420</v>
      </c>
      <c r="AB134" s="269"/>
      <c r="AC134" s="908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X134" s="212" t="s">
        <v>258</v>
      </c>
      <c r="AY134" s="211" t="s">
        <v>419</v>
      </c>
      <c r="AZ134" s="269"/>
      <c r="BA134" s="908"/>
      <c r="BB134" s="102"/>
      <c r="BC134" s="102"/>
      <c r="BD134" s="102"/>
      <c r="BE134" s="102"/>
      <c r="BF134" s="102"/>
      <c r="BG134" s="102"/>
      <c r="BH134" s="102"/>
      <c r="BI134" s="102"/>
      <c r="BJ134" s="102"/>
      <c r="BK134" s="102"/>
      <c r="BL134" s="102"/>
      <c r="BM134" s="102"/>
      <c r="BN134" s="102"/>
      <c r="BO134" s="102"/>
      <c r="BP134" s="102"/>
      <c r="BV134" s="212" t="s">
        <v>258</v>
      </c>
      <c r="BW134" s="211" t="s">
        <v>418</v>
      </c>
      <c r="BX134" s="269"/>
      <c r="BY134" s="908"/>
      <c r="BZ134" s="102"/>
      <c r="CA134" s="102"/>
      <c r="CB134" s="102"/>
      <c r="CC134" s="102"/>
      <c r="CD134" s="102"/>
      <c r="CE134" s="102"/>
      <c r="CF134" s="102"/>
      <c r="CG134" s="102"/>
      <c r="CH134" s="102"/>
      <c r="CI134" s="102"/>
      <c r="CJ134" s="102"/>
      <c r="CK134" s="102"/>
      <c r="CL134" s="102"/>
      <c r="CM134" s="102"/>
      <c r="CN134" s="102"/>
      <c r="CT134" s="212" t="s">
        <v>258</v>
      </c>
      <c r="CU134" s="211" t="s">
        <v>417</v>
      </c>
      <c r="CV134" s="269"/>
      <c r="CW134" s="908"/>
      <c r="CX134" s="102"/>
      <c r="CY134" s="102"/>
      <c r="CZ134" s="102"/>
      <c r="DA134" s="102"/>
      <c r="DB134" s="102"/>
      <c r="DC134" s="102"/>
      <c r="DD134" s="102"/>
      <c r="DE134" s="102"/>
      <c r="DF134" s="102"/>
      <c r="DG134" s="102"/>
      <c r="DH134" s="102"/>
      <c r="DI134" s="102"/>
      <c r="DJ134" s="102"/>
      <c r="DK134" s="102"/>
      <c r="DL134" s="102"/>
    </row>
    <row r="135" spans="2:118" x14ac:dyDescent="0.3">
      <c r="B135" s="203"/>
      <c r="D135" s="158"/>
      <c r="E135" s="755"/>
      <c r="F135" s="755"/>
      <c r="G135" s="755"/>
      <c r="H135" s="148"/>
      <c r="I135" s="148"/>
      <c r="J135" s="755"/>
      <c r="K135" s="148"/>
      <c r="L135" s="148"/>
      <c r="M135" s="889" t="s">
        <v>273</v>
      </c>
      <c r="N135" s="890"/>
      <c r="O135" s="890"/>
      <c r="P135" s="890"/>
      <c r="Q135" s="891"/>
      <c r="R135" s="889" t="s">
        <v>274</v>
      </c>
      <c r="S135" s="890"/>
      <c r="T135" s="890"/>
      <c r="U135" s="890"/>
      <c r="V135" s="891"/>
      <c r="Z135" s="203"/>
      <c r="AB135" s="158"/>
      <c r="AC135" s="755"/>
      <c r="AD135" s="755"/>
      <c r="AE135" s="755"/>
      <c r="AF135" s="148"/>
      <c r="AG135" s="148"/>
      <c r="AH135" s="755"/>
      <c r="AI135" s="148"/>
      <c r="AJ135" s="148"/>
      <c r="AK135" s="889" t="s">
        <v>273</v>
      </c>
      <c r="AL135" s="890"/>
      <c r="AM135" s="890"/>
      <c r="AN135" s="890"/>
      <c r="AO135" s="891"/>
      <c r="AP135" s="889" t="s">
        <v>274</v>
      </c>
      <c r="AQ135" s="890"/>
      <c r="AR135" s="890"/>
      <c r="AS135" s="890"/>
      <c r="AT135" s="891"/>
      <c r="AX135" s="203"/>
      <c r="AZ135" s="158"/>
      <c r="BA135" s="755"/>
      <c r="BB135" s="755"/>
      <c r="BC135" s="755"/>
      <c r="BD135" s="148"/>
      <c r="BE135" s="148"/>
      <c r="BF135" s="755"/>
      <c r="BG135" s="148"/>
      <c r="BH135" s="148"/>
      <c r="BI135" s="889" t="s">
        <v>273</v>
      </c>
      <c r="BJ135" s="890"/>
      <c r="BK135" s="890"/>
      <c r="BL135" s="890"/>
      <c r="BM135" s="891"/>
      <c r="BN135" s="889" t="s">
        <v>274</v>
      </c>
      <c r="BO135" s="890"/>
      <c r="BP135" s="890"/>
      <c r="BQ135" s="890"/>
      <c r="BR135" s="891"/>
      <c r="BV135" s="203"/>
      <c r="BX135" s="158"/>
      <c r="BY135" s="755"/>
      <c r="BZ135" s="755"/>
      <c r="CA135" s="755"/>
      <c r="CB135" s="148"/>
      <c r="CC135" s="148"/>
      <c r="CD135" s="755"/>
      <c r="CE135" s="148"/>
      <c r="CF135" s="148"/>
      <c r="CG135" s="889" t="s">
        <v>273</v>
      </c>
      <c r="CH135" s="890"/>
      <c r="CI135" s="890"/>
      <c r="CJ135" s="890"/>
      <c r="CK135" s="891"/>
      <c r="CL135" s="889" t="s">
        <v>274</v>
      </c>
      <c r="CM135" s="890"/>
      <c r="CN135" s="890"/>
      <c r="CO135" s="890"/>
      <c r="CP135" s="891"/>
      <c r="CT135" s="203"/>
      <c r="CV135" s="158"/>
      <c r="CW135" s="755"/>
      <c r="CX135" s="755"/>
      <c r="CY135" s="755"/>
      <c r="CZ135" s="148"/>
      <c r="DA135" s="148"/>
      <c r="DB135" s="755"/>
      <c r="DC135" s="148"/>
      <c r="DD135" s="148"/>
      <c r="DE135" s="889" t="s">
        <v>273</v>
      </c>
      <c r="DF135" s="890"/>
      <c r="DG135" s="890"/>
      <c r="DH135" s="890"/>
      <c r="DI135" s="891"/>
      <c r="DJ135" s="889" t="s">
        <v>274</v>
      </c>
      <c r="DK135" s="890"/>
      <c r="DL135" s="890"/>
      <c r="DM135" s="890"/>
      <c r="DN135" s="891"/>
    </row>
    <row r="136" spans="2:118" ht="51" x14ac:dyDescent="0.3">
      <c r="B136" s="204" t="s">
        <v>275</v>
      </c>
      <c r="C136" s="205" t="s">
        <v>293</v>
      </c>
      <c r="D136" s="205" t="s">
        <v>294</v>
      </c>
      <c r="E136" s="171" t="s">
        <v>622</v>
      </c>
      <c r="F136" s="171" t="s">
        <v>591</v>
      </c>
      <c r="G136" s="171" t="s">
        <v>623</v>
      </c>
      <c r="H136" s="205" t="str">
        <f>'Arable NPV'!$G$141</f>
        <v>Total Variable Costs</v>
      </c>
      <c r="I136" s="205" t="str">
        <f>'Arable NPV'!$H$141</f>
        <v>Total Fixed Costs</v>
      </c>
      <c r="J136" s="171" t="s">
        <v>279</v>
      </c>
      <c r="K136" s="171" t="s">
        <v>624</v>
      </c>
      <c r="L136" s="171" t="s">
        <v>625</v>
      </c>
      <c r="M136" s="195" t="s">
        <v>280</v>
      </c>
      <c r="N136" s="171" t="s">
        <v>626</v>
      </c>
      <c r="O136" s="171" t="s">
        <v>281</v>
      </c>
      <c r="P136" s="171" t="s">
        <v>627</v>
      </c>
      <c r="Q136" s="198" t="s">
        <v>282</v>
      </c>
      <c r="R136" s="195" t="s">
        <v>283</v>
      </c>
      <c r="S136" s="171" t="s">
        <v>628</v>
      </c>
      <c r="T136" s="171" t="s">
        <v>284</v>
      </c>
      <c r="U136" s="171" t="s">
        <v>629</v>
      </c>
      <c r="V136" s="198" t="s">
        <v>285</v>
      </c>
      <c r="Z136" s="204" t="s">
        <v>275</v>
      </c>
      <c r="AA136" s="205" t="s">
        <v>293</v>
      </c>
      <c r="AB136" s="205" t="s">
        <v>294</v>
      </c>
      <c r="AC136" s="171" t="s">
        <v>622</v>
      </c>
      <c r="AD136" s="171" t="s">
        <v>591</v>
      </c>
      <c r="AE136" s="171" t="s">
        <v>623</v>
      </c>
      <c r="AF136" s="205" t="str">
        <f>'Arable NPV'!$G$141</f>
        <v>Total Variable Costs</v>
      </c>
      <c r="AG136" s="205" t="str">
        <f>'Arable NPV'!$H$141</f>
        <v>Total Fixed Costs</v>
      </c>
      <c r="AH136" s="171" t="s">
        <v>279</v>
      </c>
      <c r="AI136" s="171" t="s">
        <v>624</v>
      </c>
      <c r="AJ136" s="171" t="s">
        <v>625</v>
      </c>
      <c r="AK136" s="195" t="s">
        <v>280</v>
      </c>
      <c r="AL136" s="171" t="s">
        <v>626</v>
      </c>
      <c r="AM136" s="171" t="s">
        <v>281</v>
      </c>
      <c r="AN136" s="171" t="s">
        <v>627</v>
      </c>
      <c r="AO136" s="198" t="s">
        <v>282</v>
      </c>
      <c r="AP136" s="195" t="s">
        <v>283</v>
      </c>
      <c r="AQ136" s="171" t="s">
        <v>628</v>
      </c>
      <c r="AR136" s="171" t="s">
        <v>284</v>
      </c>
      <c r="AS136" s="171" t="s">
        <v>629</v>
      </c>
      <c r="AT136" s="198" t="s">
        <v>285</v>
      </c>
      <c r="AX136" s="204" t="s">
        <v>275</v>
      </c>
      <c r="AY136" s="205" t="s">
        <v>293</v>
      </c>
      <c r="AZ136" s="205" t="s">
        <v>294</v>
      </c>
      <c r="BA136" s="171" t="s">
        <v>622</v>
      </c>
      <c r="BB136" s="171" t="s">
        <v>591</v>
      </c>
      <c r="BC136" s="171" t="s">
        <v>623</v>
      </c>
      <c r="BD136" s="205" t="str">
        <f>'Arable NPV'!$G$141</f>
        <v>Total Variable Costs</v>
      </c>
      <c r="BE136" s="205" t="str">
        <f>'Arable NPV'!$H$141</f>
        <v>Total Fixed Costs</v>
      </c>
      <c r="BF136" s="171" t="s">
        <v>279</v>
      </c>
      <c r="BG136" s="171" t="s">
        <v>624</v>
      </c>
      <c r="BH136" s="171" t="s">
        <v>625</v>
      </c>
      <c r="BI136" s="195" t="s">
        <v>280</v>
      </c>
      <c r="BJ136" s="171" t="s">
        <v>626</v>
      </c>
      <c r="BK136" s="171" t="s">
        <v>281</v>
      </c>
      <c r="BL136" s="171" t="s">
        <v>627</v>
      </c>
      <c r="BM136" s="198" t="s">
        <v>282</v>
      </c>
      <c r="BN136" s="195" t="s">
        <v>283</v>
      </c>
      <c r="BO136" s="171" t="s">
        <v>628</v>
      </c>
      <c r="BP136" s="171" t="s">
        <v>284</v>
      </c>
      <c r="BQ136" s="171" t="s">
        <v>629</v>
      </c>
      <c r="BR136" s="198" t="s">
        <v>285</v>
      </c>
      <c r="BV136" s="204" t="s">
        <v>275</v>
      </c>
      <c r="BW136" s="205" t="s">
        <v>293</v>
      </c>
      <c r="BX136" s="205" t="s">
        <v>294</v>
      </c>
      <c r="BY136" s="171" t="s">
        <v>622</v>
      </c>
      <c r="BZ136" s="171" t="s">
        <v>591</v>
      </c>
      <c r="CA136" s="171" t="s">
        <v>623</v>
      </c>
      <c r="CB136" s="205" t="str">
        <f>'Arable NPV'!$G$141</f>
        <v>Total Variable Costs</v>
      </c>
      <c r="CC136" s="205" t="str">
        <f>'Arable NPV'!$H$141</f>
        <v>Total Fixed Costs</v>
      </c>
      <c r="CD136" s="171" t="s">
        <v>279</v>
      </c>
      <c r="CE136" s="171" t="s">
        <v>624</v>
      </c>
      <c r="CF136" s="171" t="s">
        <v>625</v>
      </c>
      <c r="CG136" s="195" t="s">
        <v>280</v>
      </c>
      <c r="CH136" s="171" t="s">
        <v>626</v>
      </c>
      <c r="CI136" s="171" t="s">
        <v>281</v>
      </c>
      <c r="CJ136" s="171" t="s">
        <v>627</v>
      </c>
      <c r="CK136" s="198" t="s">
        <v>282</v>
      </c>
      <c r="CL136" s="195" t="s">
        <v>283</v>
      </c>
      <c r="CM136" s="171" t="s">
        <v>628</v>
      </c>
      <c r="CN136" s="171" t="s">
        <v>284</v>
      </c>
      <c r="CO136" s="171" t="s">
        <v>629</v>
      </c>
      <c r="CP136" s="198" t="s">
        <v>285</v>
      </c>
      <c r="CT136" s="204" t="s">
        <v>275</v>
      </c>
      <c r="CU136" s="205" t="s">
        <v>293</v>
      </c>
      <c r="CV136" s="205" t="s">
        <v>294</v>
      </c>
      <c r="CW136" s="171" t="s">
        <v>622</v>
      </c>
      <c r="CX136" s="171" t="s">
        <v>591</v>
      </c>
      <c r="CY136" s="171" t="s">
        <v>623</v>
      </c>
      <c r="CZ136" s="205" t="str">
        <f>'Arable NPV'!$G$141</f>
        <v>Total Variable Costs</v>
      </c>
      <c r="DA136" s="205" t="str">
        <f>'Arable NPV'!$H$141</f>
        <v>Total Fixed Costs</v>
      </c>
      <c r="DB136" s="171" t="s">
        <v>279</v>
      </c>
      <c r="DC136" s="171" t="s">
        <v>624</v>
      </c>
      <c r="DD136" s="171" t="s">
        <v>625</v>
      </c>
      <c r="DE136" s="195" t="s">
        <v>280</v>
      </c>
      <c r="DF136" s="171" t="s">
        <v>626</v>
      </c>
      <c r="DG136" s="171" t="s">
        <v>281</v>
      </c>
      <c r="DH136" s="171" t="s">
        <v>627</v>
      </c>
      <c r="DI136" s="198" t="s">
        <v>282</v>
      </c>
      <c r="DJ136" s="195" t="s">
        <v>283</v>
      </c>
      <c r="DK136" s="171" t="s">
        <v>628</v>
      </c>
      <c r="DL136" s="171" t="s">
        <v>284</v>
      </c>
      <c r="DM136" s="171" t="s">
        <v>629</v>
      </c>
      <c r="DN136" s="198" t="s">
        <v>285</v>
      </c>
    </row>
    <row r="137" spans="2:118" x14ac:dyDescent="0.3">
      <c r="B137" s="173"/>
      <c r="C137" s="226" t="s">
        <v>336</v>
      </c>
      <c r="D137" s="226" t="s">
        <v>573</v>
      </c>
      <c r="E137" s="201" t="s">
        <v>571</v>
      </c>
      <c r="F137" s="201" t="s">
        <v>571</v>
      </c>
      <c r="G137" s="201" t="s">
        <v>571</v>
      </c>
      <c r="H137" s="201" t="s">
        <v>571</v>
      </c>
      <c r="I137" s="201" t="s">
        <v>571</v>
      </c>
      <c r="J137" s="201" t="s">
        <v>571</v>
      </c>
      <c r="K137" s="201" t="s">
        <v>571</v>
      </c>
      <c r="L137" s="202" t="s">
        <v>571</v>
      </c>
      <c r="M137" s="201" t="s">
        <v>571</v>
      </c>
      <c r="N137" s="201" t="s">
        <v>571</v>
      </c>
      <c r="O137" s="201" t="s">
        <v>571</v>
      </c>
      <c r="P137" s="201" t="s">
        <v>571</v>
      </c>
      <c r="Q137" s="202" t="s">
        <v>571</v>
      </c>
      <c r="R137" s="201" t="s">
        <v>571</v>
      </c>
      <c r="S137" s="201" t="s">
        <v>571</v>
      </c>
      <c r="T137" s="201" t="s">
        <v>571</v>
      </c>
      <c r="U137" s="201" t="s">
        <v>571</v>
      </c>
      <c r="V137" s="202" t="s">
        <v>571</v>
      </c>
      <c r="Z137" s="173"/>
      <c r="AA137" s="226" t="s">
        <v>336</v>
      </c>
      <c r="AB137" s="226" t="s">
        <v>573</v>
      </c>
      <c r="AC137" s="201" t="s">
        <v>571</v>
      </c>
      <c r="AD137" s="201" t="s">
        <v>571</v>
      </c>
      <c r="AE137" s="201" t="s">
        <v>571</v>
      </c>
      <c r="AF137" s="201" t="s">
        <v>571</v>
      </c>
      <c r="AG137" s="201" t="s">
        <v>571</v>
      </c>
      <c r="AH137" s="201" t="s">
        <v>571</v>
      </c>
      <c r="AI137" s="201" t="s">
        <v>571</v>
      </c>
      <c r="AJ137" s="202" t="s">
        <v>571</v>
      </c>
      <c r="AK137" s="201" t="s">
        <v>571</v>
      </c>
      <c r="AL137" s="201" t="s">
        <v>571</v>
      </c>
      <c r="AM137" s="201" t="s">
        <v>571</v>
      </c>
      <c r="AN137" s="201" t="s">
        <v>571</v>
      </c>
      <c r="AO137" s="202" t="s">
        <v>571</v>
      </c>
      <c r="AP137" s="201" t="s">
        <v>571</v>
      </c>
      <c r="AQ137" s="201" t="s">
        <v>571</v>
      </c>
      <c r="AR137" s="201" t="s">
        <v>571</v>
      </c>
      <c r="AS137" s="201" t="s">
        <v>571</v>
      </c>
      <c r="AT137" s="202" t="s">
        <v>571</v>
      </c>
      <c r="AX137" s="173"/>
      <c r="AY137" s="226" t="s">
        <v>336</v>
      </c>
      <c r="AZ137" s="226" t="s">
        <v>573</v>
      </c>
      <c r="BA137" s="201" t="s">
        <v>571</v>
      </c>
      <c r="BB137" s="201" t="s">
        <v>571</v>
      </c>
      <c r="BC137" s="201" t="s">
        <v>571</v>
      </c>
      <c r="BD137" s="201" t="s">
        <v>571</v>
      </c>
      <c r="BE137" s="201" t="s">
        <v>571</v>
      </c>
      <c r="BF137" s="201" t="s">
        <v>571</v>
      </c>
      <c r="BG137" s="201" t="s">
        <v>571</v>
      </c>
      <c r="BH137" s="202" t="s">
        <v>571</v>
      </c>
      <c r="BI137" s="201" t="s">
        <v>571</v>
      </c>
      <c r="BJ137" s="201" t="s">
        <v>571</v>
      </c>
      <c r="BK137" s="201" t="s">
        <v>571</v>
      </c>
      <c r="BL137" s="201" t="s">
        <v>571</v>
      </c>
      <c r="BM137" s="202" t="s">
        <v>571</v>
      </c>
      <c r="BN137" s="201" t="s">
        <v>571</v>
      </c>
      <c r="BO137" s="201" t="s">
        <v>571</v>
      </c>
      <c r="BP137" s="201" t="s">
        <v>571</v>
      </c>
      <c r="BQ137" s="201" t="s">
        <v>571</v>
      </c>
      <c r="BR137" s="202" t="s">
        <v>571</v>
      </c>
      <c r="BV137" s="173"/>
      <c r="BW137" s="226" t="s">
        <v>336</v>
      </c>
      <c r="BX137" s="226" t="s">
        <v>573</v>
      </c>
      <c r="BY137" s="201" t="s">
        <v>571</v>
      </c>
      <c r="BZ137" s="201" t="s">
        <v>571</v>
      </c>
      <c r="CA137" s="201" t="s">
        <v>571</v>
      </c>
      <c r="CB137" s="201" t="s">
        <v>571</v>
      </c>
      <c r="CC137" s="201" t="s">
        <v>571</v>
      </c>
      <c r="CD137" s="201" t="s">
        <v>571</v>
      </c>
      <c r="CE137" s="201" t="s">
        <v>571</v>
      </c>
      <c r="CF137" s="202" t="s">
        <v>571</v>
      </c>
      <c r="CG137" s="201" t="s">
        <v>571</v>
      </c>
      <c r="CH137" s="201" t="s">
        <v>571</v>
      </c>
      <c r="CI137" s="201" t="s">
        <v>571</v>
      </c>
      <c r="CJ137" s="201" t="s">
        <v>571</v>
      </c>
      <c r="CK137" s="202" t="s">
        <v>571</v>
      </c>
      <c r="CL137" s="201" t="s">
        <v>571</v>
      </c>
      <c r="CM137" s="201" t="s">
        <v>571</v>
      </c>
      <c r="CN137" s="201" t="s">
        <v>571</v>
      </c>
      <c r="CO137" s="201" t="s">
        <v>571</v>
      </c>
      <c r="CP137" s="202" t="s">
        <v>571</v>
      </c>
      <c r="CT137" s="173"/>
      <c r="CU137" s="226" t="s">
        <v>336</v>
      </c>
      <c r="CV137" s="226" t="s">
        <v>573</v>
      </c>
      <c r="CW137" s="201" t="s">
        <v>571</v>
      </c>
      <c r="CX137" s="201" t="s">
        <v>571</v>
      </c>
      <c r="CY137" s="201" t="s">
        <v>571</v>
      </c>
      <c r="CZ137" s="201" t="s">
        <v>571</v>
      </c>
      <c r="DA137" s="201" t="s">
        <v>571</v>
      </c>
      <c r="DB137" s="201" t="s">
        <v>571</v>
      </c>
      <c r="DC137" s="201" t="s">
        <v>571</v>
      </c>
      <c r="DD137" s="202" t="s">
        <v>571</v>
      </c>
      <c r="DE137" s="201" t="s">
        <v>571</v>
      </c>
      <c r="DF137" s="201" t="s">
        <v>571</v>
      </c>
      <c r="DG137" s="201" t="s">
        <v>571</v>
      </c>
      <c r="DH137" s="201" t="s">
        <v>571</v>
      </c>
      <c r="DI137" s="202" t="s">
        <v>571</v>
      </c>
      <c r="DJ137" s="201" t="s">
        <v>571</v>
      </c>
      <c r="DK137" s="201" t="s">
        <v>571</v>
      </c>
      <c r="DL137" s="201" t="s">
        <v>571</v>
      </c>
      <c r="DM137" s="201" t="s">
        <v>571</v>
      </c>
      <c r="DN137" s="202" t="s">
        <v>571</v>
      </c>
    </row>
    <row r="138" spans="2:118" x14ac:dyDescent="0.3">
      <c r="B138" s="894">
        <v>1</v>
      </c>
      <c r="C138" s="906">
        <f>'Arable Inputs'!$H$18</f>
        <v>12</v>
      </c>
      <c r="D138" s="757">
        <f>'Arable Inputs'!$H$25</f>
        <v>724</v>
      </c>
      <c r="E138" s="759">
        <f>C138*D138</f>
        <v>8688</v>
      </c>
      <c r="F138" s="197">
        <f>'Arable NPV'!$D117</f>
        <v>471.64</v>
      </c>
      <c r="G138" s="197">
        <f>E138+F138</f>
        <v>9159.64</v>
      </c>
      <c r="H138" s="197">
        <f>'Arable NPV'!$F117</f>
        <v>2474.37212</v>
      </c>
      <c r="I138" s="197">
        <f>'Arable NPV'!$G117</f>
        <v>3226.3624</v>
      </c>
      <c r="J138" s="197">
        <f>(H138+I138)</f>
        <v>5700.73452</v>
      </c>
      <c r="K138" s="197">
        <f>E138-J138</f>
        <v>2987.26548</v>
      </c>
      <c r="L138" s="197">
        <f>G138-J138</f>
        <v>3458.9054799999994</v>
      </c>
      <c r="M138" s="196">
        <f>E138/(1+$B$4)^(B138-1)</f>
        <v>8688</v>
      </c>
      <c r="N138" s="197">
        <f>F138/(1+$B$4)^(B138-1)</f>
        <v>471.64</v>
      </c>
      <c r="O138" s="197">
        <f>J138/(1+$B$4)^(B138-1)</f>
        <v>5700.73452</v>
      </c>
      <c r="P138" s="197">
        <f>K138/(1+$B$4)^(B138-1)</f>
        <v>2987.26548</v>
      </c>
      <c r="Q138" s="197">
        <f>L138/(1+$B$4)^(B138-1)</f>
        <v>3458.9054799999994</v>
      </c>
      <c r="R138" s="196">
        <f>M138</f>
        <v>8688</v>
      </c>
      <c r="S138" s="197">
        <f>N138</f>
        <v>471.64</v>
      </c>
      <c r="T138" s="197">
        <f>O138</f>
        <v>5700.73452</v>
      </c>
      <c r="U138" s="197">
        <f>P138</f>
        <v>2987.26548</v>
      </c>
      <c r="V138" s="199">
        <f>Q138</f>
        <v>3458.9054799999994</v>
      </c>
      <c r="Z138" s="894">
        <v>1</v>
      </c>
      <c r="AA138" s="906">
        <f>'Arable Inputs'!$H$18</f>
        <v>12</v>
      </c>
      <c r="AB138" s="757">
        <f>'Arable Inputs'!$H$25</f>
        <v>724</v>
      </c>
      <c r="AC138" s="759">
        <f>AA138*AB138</f>
        <v>8688</v>
      </c>
      <c r="AD138" s="197">
        <f>'Arable NPV'!$D117</f>
        <v>471.64</v>
      </c>
      <c r="AE138" s="197">
        <f>AC138+AD138</f>
        <v>9159.64</v>
      </c>
      <c r="AF138" s="197">
        <f>'Arable NPV'!$F117</f>
        <v>2474.37212</v>
      </c>
      <c r="AG138" s="197">
        <f>'Arable NPV'!$G117</f>
        <v>3226.3624</v>
      </c>
      <c r="AH138" s="197">
        <f>(AF138+AG138)</f>
        <v>5700.73452</v>
      </c>
      <c r="AI138" s="197">
        <f>AC138-AH138</f>
        <v>2987.26548</v>
      </c>
      <c r="AJ138" s="197">
        <f>AE138-AH138</f>
        <v>3458.9054799999994</v>
      </c>
      <c r="AK138" s="1014">
        <f>AC138/(1+$C$4)^(Z138-1)</f>
        <v>8688</v>
      </c>
      <c r="AL138" s="213">
        <f>AD138/(1+$C$4)^(Z138-1)</f>
        <v>471.64</v>
      </c>
      <c r="AM138" s="213">
        <f>AH138/(1+$C$4)^(Z138-1)</f>
        <v>5700.73452</v>
      </c>
      <c r="AN138" s="213">
        <f>AI138/(1+$C$4)^(Z138-1)</f>
        <v>2987.26548</v>
      </c>
      <c r="AO138" s="924">
        <f>AJ138/(1+$C$4)^(Z138-1)</f>
        <v>3458.9054799999994</v>
      </c>
      <c r="AP138" s="196">
        <f>AK138</f>
        <v>8688</v>
      </c>
      <c r="AQ138" s="197">
        <f>AL138</f>
        <v>471.64</v>
      </c>
      <c r="AR138" s="197">
        <f>AM138</f>
        <v>5700.73452</v>
      </c>
      <c r="AS138" s="197">
        <f>AN138</f>
        <v>2987.26548</v>
      </c>
      <c r="AT138" s="199">
        <f>AO138</f>
        <v>3458.9054799999994</v>
      </c>
      <c r="AX138" s="894">
        <v>1</v>
      </c>
      <c r="AY138" s="906">
        <f>'Arable Inputs'!$H$18</f>
        <v>12</v>
      </c>
      <c r="AZ138" s="757">
        <f>'Arable Inputs'!$H$25</f>
        <v>724</v>
      </c>
      <c r="BA138" s="759">
        <f>AY138*AZ138</f>
        <v>8688</v>
      </c>
      <c r="BB138" s="197">
        <f>'Arable NPV'!$D117</f>
        <v>471.64</v>
      </c>
      <c r="BC138" s="197">
        <f>BA138+BB138</f>
        <v>9159.64</v>
      </c>
      <c r="BD138" s="197">
        <f>'Arable NPV'!$F117</f>
        <v>2474.37212</v>
      </c>
      <c r="BE138" s="197">
        <f>'Arable NPV'!$G117</f>
        <v>3226.3624</v>
      </c>
      <c r="BF138" s="197">
        <f>(BD138+BE138)</f>
        <v>5700.73452</v>
      </c>
      <c r="BG138" s="197">
        <f>BA138-BF138</f>
        <v>2987.26548</v>
      </c>
      <c r="BH138" s="197">
        <f>BC138-BF138</f>
        <v>3458.9054799999994</v>
      </c>
      <c r="BI138" s="1014">
        <f>BA138/(1+$D$4)^(AX138-1)</f>
        <v>8688</v>
      </c>
      <c r="BJ138" s="213">
        <f>BB138/(1+$D$4)^(AX138-1)</f>
        <v>471.64</v>
      </c>
      <c r="BK138" s="213">
        <f>BF138/(1+$D$4)^(AX138-1)</f>
        <v>5700.73452</v>
      </c>
      <c r="BL138" s="213">
        <f>BG138/(1+$D$4)^(AX138-1)</f>
        <v>2987.26548</v>
      </c>
      <c r="BM138" s="924">
        <f>BH138/(1+$D$4)^(AX138-1)</f>
        <v>3458.9054799999994</v>
      </c>
      <c r="BN138" s="196">
        <f>BI138</f>
        <v>8688</v>
      </c>
      <c r="BO138" s="197">
        <f>BJ138</f>
        <v>471.64</v>
      </c>
      <c r="BP138" s="197">
        <f>BK138</f>
        <v>5700.73452</v>
      </c>
      <c r="BQ138" s="197">
        <f>BL138</f>
        <v>2987.26548</v>
      </c>
      <c r="BR138" s="199">
        <f>BM138</f>
        <v>3458.9054799999994</v>
      </c>
      <c r="BV138" s="894">
        <v>1</v>
      </c>
      <c r="BW138" s="906">
        <f>'Arable Inputs'!$H$18</f>
        <v>12</v>
      </c>
      <c r="BX138" s="757">
        <f>'Arable Inputs'!$H$25</f>
        <v>724</v>
      </c>
      <c r="BY138" s="759">
        <f>BW138*BX138</f>
        <v>8688</v>
      </c>
      <c r="BZ138" s="197">
        <f>'Arable NPV'!$D117</f>
        <v>471.64</v>
      </c>
      <c r="CA138" s="197">
        <f>BY138+BZ138</f>
        <v>9159.64</v>
      </c>
      <c r="CB138" s="197">
        <f>'Arable NPV'!$F117</f>
        <v>2474.37212</v>
      </c>
      <c r="CC138" s="197">
        <f>'Arable NPV'!$G117</f>
        <v>3226.3624</v>
      </c>
      <c r="CD138" s="197">
        <f>(CB138+CC138)</f>
        <v>5700.73452</v>
      </c>
      <c r="CE138" s="197">
        <f>BY138-CD138</f>
        <v>2987.26548</v>
      </c>
      <c r="CF138" s="197">
        <f>CA138-CD138</f>
        <v>3458.9054799999994</v>
      </c>
      <c r="CG138" s="196">
        <f>BY138/(1+$E$4)^(BV138-1)</f>
        <v>8688</v>
      </c>
      <c r="CH138" s="197">
        <f>BZ138/(1+$E$4)^(BV138-1)</f>
        <v>471.64</v>
      </c>
      <c r="CI138" s="197">
        <f>CD138/(1+$E$4)^(BV138-1)</f>
        <v>5700.73452</v>
      </c>
      <c r="CJ138" s="197">
        <f>CE138/(1+$E$4)^(BV138-1)</f>
        <v>2987.26548</v>
      </c>
      <c r="CK138" s="197">
        <f>CF138/(1+$E$4)^(BV138-1)</f>
        <v>3458.9054799999994</v>
      </c>
      <c r="CL138" s="196">
        <f>CG138</f>
        <v>8688</v>
      </c>
      <c r="CM138" s="197">
        <f>CH138</f>
        <v>471.64</v>
      </c>
      <c r="CN138" s="197">
        <f>CI138</f>
        <v>5700.73452</v>
      </c>
      <c r="CO138" s="197">
        <f>CJ138</f>
        <v>2987.26548</v>
      </c>
      <c r="CP138" s="199">
        <f>CK138</f>
        <v>3458.9054799999994</v>
      </c>
      <c r="CT138" s="894">
        <v>1</v>
      </c>
      <c r="CU138" s="906">
        <f>'Arable Inputs'!$H$18</f>
        <v>12</v>
      </c>
      <c r="CV138" s="757">
        <f>'Arable Inputs'!$H$25</f>
        <v>724</v>
      </c>
      <c r="CW138" s="759">
        <f>CU138*CV138</f>
        <v>8688</v>
      </c>
      <c r="CX138" s="197">
        <f>'Arable NPV'!$D117</f>
        <v>471.64</v>
      </c>
      <c r="CY138" s="197">
        <f>CW138+CX138</f>
        <v>9159.64</v>
      </c>
      <c r="CZ138" s="197">
        <f>'Arable NPV'!$F117</f>
        <v>2474.37212</v>
      </c>
      <c r="DA138" s="197">
        <f>'Arable NPV'!$G117</f>
        <v>3226.3624</v>
      </c>
      <c r="DB138" s="197">
        <f>(CZ138+DA138)</f>
        <v>5700.73452</v>
      </c>
      <c r="DC138" s="197">
        <f>CW138-DB138</f>
        <v>2987.26548</v>
      </c>
      <c r="DD138" s="197">
        <f>CY138-DB138</f>
        <v>3458.9054799999994</v>
      </c>
      <c r="DE138" s="1014">
        <f>CW138/(1+$F$4)^(CT138-1)</f>
        <v>8688</v>
      </c>
      <c r="DF138" s="213">
        <f>CX138/(1+$F$4)^(CT138-1)</f>
        <v>471.64</v>
      </c>
      <c r="DG138" s="213">
        <f>DB138/(1+$F$4)^(CT138-1)</f>
        <v>5700.73452</v>
      </c>
      <c r="DH138" s="213">
        <f>DC138/(1+$F$4)^(CT138-1)</f>
        <v>2987.26548</v>
      </c>
      <c r="DI138" s="924">
        <f>DD138/(1+$F$4)^(CT138-1)</f>
        <v>3458.9054799999994</v>
      </c>
      <c r="DJ138" s="196">
        <f>DE138</f>
        <v>8688</v>
      </c>
      <c r="DK138" s="197">
        <f>DF138</f>
        <v>471.64</v>
      </c>
      <c r="DL138" s="197">
        <f>DG138</f>
        <v>5700.73452</v>
      </c>
      <c r="DM138" s="197">
        <f>DH138</f>
        <v>2987.26548</v>
      </c>
      <c r="DN138" s="199">
        <f>DI138</f>
        <v>3458.9054799999994</v>
      </c>
    </row>
    <row r="139" spans="2:118" x14ac:dyDescent="0.3">
      <c r="B139" s="895">
        <v>2</v>
      </c>
      <c r="C139" s="906">
        <f>'Arable Inputs'!$H$18</f>
        <v>12</v>
      </c>
      <c r="D139" s="757">
        <f>'Arable Inputs'!$H$25</f>
        <v>724</v>
      </c>
      <c r="E139" s="759">
        <f t="shared" ref="E139:E153" si="333">C139*D139</f>
        <v>8688</v>
      </c>
      <c r="F139" s="197">
        <f>'Arable NPV'!$D118</f>
        <v>471.64</v>
      </c>
      <c r="G139" s="197">
        <f>E139+F139</f>
        <v>9159.64</v>
      </c>
      <c r="H139" s="197">
        <f>'Arable NPV'!$F118</f>
        <v>2474.37212</v>
      </c>
      <c r="I139" s="197">
        <f>'Arable NPV'!$G118</f>
        <v>3226.3624</v>
      </c>
      <c r="J139" s="197">
        <f t="shared" ref="J139:J153" si="334">(H139+I139)</f>
        <v>5700.73452</v>
      </c>
      <c r="K139" s="197">
        <f t="shared" ref="K139:K153" si="335">E139-J139</f>
        <v>2987.26548</v>
      </c>
      <c r="L139" s="197">
        <f t="shared" ref="L139:L153" si="336">G139-J139</f>
        <v>3458.9054799999994</v>
      </c>
      <c r="M139" s="196">
        <f t="shared" ref="M139:M153" si="337">E139/(1+$B$4)^(B139-1)</f>
        <v>8353.8461538461543</v>
      </c>
      <c r="N139" s="197">
        <f t="shared" ref="N139:N153" si="338">F139/(1+$B$4)^(B139-1)</f>
        <v>453.49999999999994</v>
      </c>
      <c r="O139" s="197">
        <f t="shared" ref="O139:O153" si="339">J139/(1+$B$4)^(B139-1)</f>
        <v>5481.4754999999996</v>
      </c>
      <c r="P139" s="197">
        <f t="shared" ref="P139:P153" si="340">K139/(1+$B$4)^(B139-1)</f>
        <v>2872.3706538461538</v>
      </c>
      <c r="Q139" s="197">
        <f t="shared" ref="Q139:Q152" si="341">L139/(1+$B$4)^(B139-1)</f>
        <v>3325.8706538461533</v>
      </c>
      <c r="R139" s="196">
        <f t="shared" ref="R139:V153" si="342">R138+M139</f>
        <v>17041.846153846156</v>
      </c>
      <c r="S139" s="197">
        <f t="shared" si="342"/>
        <v>925.13999999999987</v>
      </c>
      <c r="T139" s="197">
        <f t="shared" si="342"/>
        <v>11182.210019999999</v>
      </c>
      <c r="U139" s="197">
        <f t="shared" si="342"/>
        <v>5859.6361338461538</v>
      </c>
      <c r="V139" s="199">
        <f t="shared" si="342"/>
        <v>6784.7761338461532</v>
      </c>
      <c r="Z139" s="895">
        <v>2</v>
      </c>
      <c r="AA139" s="906">
        <f>'Arable Inputs'!$H$18</f>
        <v>12</v>
      </c>
      <c r="AB139" s="757">
        <f>'Arable Inputs'!$H$25</f>
        <v>724</v>
      </c>
      <c r="AC139" s="759">
        <f t="shared" ref="AC139:AC153" si="343">AA139*AB139</f>
        <v>8688</v>
      </c>
      <c r="AD139" s="197">
        <f>'Arable NPV'!$D118</f>
        <v>471.64</v>
      </c>
      <c r="AE139" s="197">
        <f>AC139+AD139</f>
        <v>9159.64</v>
      </c>
      <c r="AF139" s="197">
        <f>'Arable NPV'!$F118</f>
        <v>2474.37212</v>
      </c>
      <c r="AG139" s="197">
        <f>'Arable NPV'!$G118</f>
        <v>3226.3624</v>
      </c>
      <c r="AH139" s="197">
        <f t="shared" ref="AH139:AH153" si="344">(AF139+AG139)</f>
        <v>5700.73452</v>
      </c>
      <c r="AI139" s="197">
        <f t="shared" ref="AI139:AI153" si="345">AC139-AH139</f>
        <v>2987.26548</v>
      </c>
      <c r="AJ139" s="197">
        <f t="shared" ref="AJ139:AJ153" si="346">AE139-AH139</f>
        <v>3458.9054799999994</v>
      </c>
      <c r="AK139" s="196">
        <f t="shared" ref="AK139:AK153" si="347">AC139/(1+$C$4)^(Z139-1)</f>
        <v>8196.2264150943392</v>
      </c>
      <c r="AL139" s="197">
        <f t="shared" ref="AL139:AL153" si="348">AD139/(1+$C$4)^(Z139-1)</f>
        <v>444.94339622641508</v>
      </c>
      <c r="AM139" s="197">
        <f t="shared" ref="AM139:AM153" si="349">AH139/(1+$C$4)^(Z139-1)</f>
        <v>5378.0514339622641</v>
      </c>
      <c r="AN139" s="197">
        <f t="shared" ref="AN139:AN153" si="350">AI139/(1+$C$4)^(Z139-1)</f>
        <v>2818.1749811320756</v>
      </c>
      <c r="AO139" s="199">
        <f t="shared" ref="AO139:AO153" si="351">AJ139/(1+$C$4)^(Z139-1)</f>
        <v>3263.1183773584899</v>
      </c>
      <c r="AP139" s="196">
        <f t="shared" ref="AP139:AP153" si="352">AP138+AK139</f>
        <v>16884.226415094337</v>
      </c>
      <c r="AQ139" s="197">
        <f t="shared" ref="AQ139:AQ153" si="353">AQ138+AL139</f>
        <v>916.58339622641506</v>
      </c>
      <c r="AR139" s="197">
        <f t="shared" ref="AR139:AR153" si="354">AR138+AM139</f>
        <v>11078.785953962264</v>
      </c>
      <c r="AS139" s="197">
        <f t="shared" ref="AS139:AS153" si="355">AS138+AN139</f>
        <v>5805.4404611320751</v>
      </c>
      <c r="AT139" s="199">
        <f t="shared" ref="AT139:AT153" si="356">AT138+AO139</f>
        <v>6722.0238573584893</v>
      </c>
      <c r="AX139" s="895">
        <v>2</v>
      </c>
      <c r="AY139" s="906">
        <f>'Arable Inputs'!$H$18</f>
        <v>12</v>
      </c>
      <c r="AZ139" s="757">
        <f>'Arable Inputs'!$H$25</f>
        <v>724</v>
      </c>
      <c r="BA139" s="759">
        <f t="shared" ref="BA139:BA153" si="357">AY139*AZ139</f>
        <v>8688</v>
      </c>
      <c r="BB139" s="197">
        <f>'Arable NPV'!$D118</f>
        <v>471.64</v>
      </c>
      <c r="BC139" s="197">
        <f>BA139+BB139</f>
        <v>9159.64</v>
      </c>
      <c r="BD139" s="197">
        <f>'Arable NPV'!$F118</f>
        <v>2474.37212</v>
      </c>
      <c r="BE139" s="197">
        <f>'Arable NPV'!$G118</f>
        <v>3226.3624</v>
      </c>
      <c r="BF139" s="197">
        <f t="shared" ref="BF139:BF153" si="358">(BD139+BE139)</f>
        <v>5700.73452</v>
      </c>
      <c r="BG139" s="197">
        <f t="shared" ref="BG139:BG153" si="359">BA139-BF139</f>
        <v>2987.26548</v>
      </c>
      <c r="BH139" s="197">
        <f t="shared" ref="BH139:BH153" si="360">BC139-BF139</f>
        <v>3458.9054799999994</v>
      </c>
      <c r="BI139" s="196">
        <f t="shared" ref="BI139:BI153" si="361">BA139/(1+$D$4)^(AX139-1)</f>
        <v>8517.6470588235297</v>
      </c>
      <c r="BJ139" s="197">
        <f t="shared" ref="BJ139:BJ153" si="362">BB139/(1+$D$4)^(AX139-1)</f>
        <v>462.39215686274508</v>
      </c>
      <c r="BK139" s="197">
        <f t="shared" ref="BK139:BK153" si="363">BF139/(1+$D$4)^(AX139-1)</f>
        <v>5588.9554117647058</v>
      </c>
      <c r="BL139" s="197">
        <f t="shared" ref="BL139:BL153" si="364">BG139/(1+$D$4)^(AX139-1)</f>
        <v>2928.6916470588235</v>
      </c>
      <c r="BM139" s="199">
        <f t="shared" ref="BM139:BM152" si="365">BH139/(1+$D$4)^(AX139-1)</f>
        <v>3391.0838039215682</v>
      </c>
      <c r="BN139" s="196">
        <f t="shared" ref="BN139:BN153" si="366">BN138+BI139</f>
        <v>17205.647058823532</v>
      </c>
      <c r="BO139" s="197">
        <f t="shared" ref="BO139:BO153" si="367">BO138+BJ139</f>
        <v>934.03215686274507</v>
      </c>
      <c r="BP139" s="197">
        <f t="shared" ref="BP139:BP153" si="368">BP138+BK139</f>
        <v>11289.689931764706</v>
      </c>
      <c r="BQ139" s="197">
        <f t="shared" ref="BQ139:BQ153" si="369">BQ138+BL139</f>
        <v>5915.957127058824</v>
      </c>
      <c r="BR139" s="199">
        <f t="shared" ref="BR139:BR153" si="370">BR138+BM139</f>
        <v>6849.9892839215681</v>
      </c>
      <c r="BV139" s="895">
        <v>2</v>
      </c>
      <c r="BW139" s="906">
        <f>'Arable Inputs'!$H$18</f>
        <v>12</v>
      </c>
      <c r="BX139" s="757">
        <f>'Arable Inputs'!$H$25</f>
        <v>724</v>
      </c>
      <c r="BY139" s="759">
        <f t="shared" ref="BY139:BY153" si="371">BW139*BX139</f>
        <v>8688</v>
      </c>
      <c r="BZ139" s="197">
        <f>'Arable NPV'!$D118</f>
        <v>471.64</v>
      </c>
      <c r="CA139" s="197">
        <f>BY139+BZ139</f>
        <v>9159.64</v>
      </c>
      <c r="CB139" s="197">
        <f>'Arable NPV'!$F118</f>
        <v>2474.37212</v>
      </c>
      <c r="CC139" s="197">
        <f>'Arable NPV'!$G118</f>
        <v>3226.3624</v>
      </c>
      <c r="CD139" s="197">
        <f t="shared" ref="CD139:CD153" si="372">(CB139+CC139)</f>
        <v>5700.73452</v>
      </c>
      <c r="CE139" s="197">
        <f t="shared" ref="CE139:CE153" si="373">BY139-CD139</f>
        <v>2987.26548</v>
      </c>
      <c r="CF139" s="197">
        <f t="shared" ref="CF139:CF153" si="374">CA139-CD139</f>
        <v>3458.9054799999994</v>
      </c>
      <c r="CG139" s="196">
        <f t="shared" ref="CG139:CG153" si="375">BY139/(1+$E$4)^(BV139-1)</f>
        <v>8044.4444444444443</v>
      </c>
      <c r="CH139" s="197">
        <f t="shared" ref="CH139:CH153" si="376">BZ139/(1+$E$4)^(BV139-1)</f>
        <v>436.70370370370364</v>
      </c>
      <c r="CI139" s="197">
        <f t="shared" ref="CI139:CI153" si="377">CD139/(1+$E$4)^(BV139-1)</f>
        <v>5278.4578888888882</v>
      </c>
      <c r="CJ139" s="197">
        <f t="shared" ref="CJ139:CJ153" si="378">CE139/(1+$E$4)^(BV139-1)</f>
        <v>2765.9865555555552</v>
      </c>
      <c r="CK139" s="197">
        <f t="shared" ref="CK139:CK153" si="379">CF139/(1+$E$4)^(BV139-1)</f>
        <v>3202.6902592592587</v>
      </c>
      <c r="CL139" s="196">
        <f t="shared" ref="CL139:CL153" si="380">CL138+CG139</f>
        <v>16732.444444444445</v>
      </c>
      <c r="CM139" s="197">
        <f t="shared" ref="CM139:CM153" si="381">CM138+CH139</f>
        <v>908.34370370370357</v>
      </c>
      <c r="CN139" s="197">
        <f t="shared" ref="CN139:CN153" si="382">CN138+CI139</f>
        <v>10979.192408888888</v>
      </c>
      <c r="CO139" s="197">
        <f t="shared" ref="CO139:CO153" si="383">CO138+CJ139</f>
        <v>5753.2520355555553</v>
      </c>
      <c r="CP139" s="199">
        <f t="shared" ref="CP139:CP153" si="384">CP138+CK139</f>
        <v>6661.5957392592582</v>
      </c>
      <c r="CT139" s="895">
        <v>2</v>
      </c>
      <c r="CU139" s="906">
        <f>'Arable Inputs'!$H$18</f>
        <v>12</v>
      </c>
      <c r="CV139" s="757">
        <f>'Arable Inputs'!$H$25</f>
        <v>724</v>
      </c>
      <c r="CW139" s="759">
        <f t="shared" ref="CW139:CW153" si="385">CU139*CV139</f>
        <v>8688</v>
      </c>
      <c r="CX139" s="197">
        <f>'Arable NPV'!$D118</f>
        <v>471.64</v>
      </c>
      <c r="CY139" s="197">
        <f>CW139+CX139</f>
        <v>9159.64</v>
      </c>
      <c r="CZ139" s="197">
        <f>'Arable NPV'!$F118</f>
        <v>2474.37212</v>
      </c>
      <c r="DA139" s="197">
        <f>'Arable NPV'!$G118</f>
        <v>3226.3624</v>
      </c>
      <c r="DB139" s="197">
        <f t="shared" ref="DB139:DB153" si="386">(CZ139+DA139)</f>
        <v>5700.73452</v>
      </c>
      <c r="DC139" s="197">
        <f t="shared" ref="DC139:DC153" si="387">CW139-DB139</f>
        <v>2987.26548</v>
      </c>
      <c r="DD139" s="197">
        <f t="shared" ref="DD139:DD153" si="388">CY139-DB139</f>
        <v>3458.9054799999994</v>
      </c>
      <c r="DE139" s="196">
        <f t="shared" ref="DE139:DE153" si="389">CW139/(1+$F$4)^(CT139-1)</f>
        <v>8688</v>
      </c>
      <c r="DF139" s="197">
        <f t="shared" ref="DF139:DF153" si="390">CX139/(1+$F$4)^(CT139-1)</f>
        <v>471.64</v>
      </c>
      <c r="DG139" s="197">
        <f t="shared" ref="DG139:DG153" si="391">DB139/(1+$F$4)^(CT139-1)</f>
        <v>5700.73452</v>
      </c>
      <c r="DH139" s="197">
        <f t="shared" ref="DH139:DH153" si="392">DC139/(1+$F$4)^(CT139-1)</f>
        <v>2987.26548</v>
      </c>
      <c r="DI139" s="199">
        <f t="shared" ref="DI139:DI152" si="393">DD139/(1+$F$4)^(CT139-1)</f>
        <v>3458.9054799999994</v>
      </c>
      <c r="DJ139" s="196">
        <f t="shared" ref="DJ139:DJ153" si="394">DJ138+DE139</f>
        <v>17376</v>
      </c>
      <c r="DK139" s="197">
        <f t="shared" ref="DK139:DK153" si="395">DK138+DF139</f>
        <v>943.28</v>
      </c>
      <c r="DL139" s="197">
        <f t="shared" ref="DL139:DL153" si="396">DL138+DG139</f>
        <v>11401.46904</v>
      </c>
      <c r="DM139" s="197">
        <f t="shared" ref="DM139:DM153" si="397">DM138+DH139</f>
        <v>5974.5309600000001</v>
      </c>
      <c r="DN139" s="199">
        <f t="shared" ref="DN139:DN153" si="398">DN138+DI139</f>
        <v>6917.8109599999989</v>
      </c>
    </row>
    <row r="140" spans="2:118" x14ac:dyDescent="0.3">
      <c r="B140" s="895">
        <v>3</v>
      </c>
      <c r="C140" s="906">
        <f>'Arable Inputs'!$H$18</f>
        <v>12</v>
      </c>
      <c r="D140" s="757">
        <f>'Arable Inputs'!$H$25</f>
        <v>724</v>
      </c>
      <c r="E140" s="759">
        <f t="shared" si="333"/>
        <v>8688</v>
      </c>
      <c r="F140" s="197">
        <f>'Arable NPV'!$D119</f>
        <v>471.64</v>
      </c>
      <c r="G140" s="197">
        <f t="shared" ref="G140:G152" si="399">E140+F140</f>
        <v>9159.64</v>
      </c>
      <c r="H140" s="197">
        <f>'Arable NPV'!$F119</f>
        <v>2474.37212</v>
      </c>
      <c r="I140" s="197">
        <f>'Arable NPV'!$G119</f>
        <v>3226.3624</v>
      </c>
      <c r="J140" s="197">
        <f t="shared" si="334"/>
        <v>5700.73452</v>
      </c>
      <c r="K140" s="197">
        <f t="shared" si="335"/>
        <v>2987.26548</v>
      </c>
      <c r="L140" s="197">
        <f t="shared" si="336"/>
        <v>3458.9054799999994</v>
      </c>
      <c r="M140" s="196">
        <f t="shared" si="337"/>
        <v>8032.5443786982241</v>
      </c>
      <c r="N140" s="197">
        <f t="shared" si="338"/>
        <v>436.05769230769226</v>
      </c>
      <c r="O140" s="197">
        <f t="shared" si="339"/>
        <v>5270.6495192307684</v>
      </c>
      <c r="P140" s="197">
        <f t="shared" si="340"/>
        <v>2761.8948594674553</v>
      </c>
      <c r="Q140" s="197">
        <f t="shared" si="341"/>
        <v>3197.9525517751472</v>
      </c>
      <c r="R140" s="196">
        <f t="shared" si="342"/>
        <v>25074.390532544381</v>
      </c>
      <c r="S140" s="197">
        <f t="shared" si="342"/>
        <v>1361.1976923076923</v>
      </c>
      <c r="T140" s="197">
        <f t="shared" si="342"/>
        <v>16452.859539230769</v>
      </c>
      <c r="U140" s="197">
        <f t="shared" si="342"/>
        <v>8621.5309933136086</v>
      </c>
      <c r="V140" s="199">
        <f t="shared" si="342"/>
        <v>9982.7286856212995</v>
      </c>
      <c r="Z140" s="895">
        <v>3</v>
      </c>
      <c r="AA140" s="906">
        <f>'Arable Inputs'!$H$18</f>
        <v>12</v>
      </c>
      <c r="AB140" s="757">
        <f>'Arable Inputs'!$H$25</f>
        <v>724</v>
      </c>
      <c r="AC140" s="759">
        <f t="shared" si="343"/>
        <v>8688</v>
      </c>
      <c r="AD140" s="197">
        <f>'Arable NPV'!$D119</f>
        <v>471.64</v>
      </c>
      <c r="AE140" s="197">
        <f t="shared" ref="AE140:AE152" si="400">AC140+AD140</f>
        <v>9159.64</v>
      </c>
      <c r="AF140" s="197">
        <f>'Arable NPV'!$F119</f>
        <v>2474.37212</v>
      </c>
      <c r="AG140" s="197">
        <f>'Arable NPV'!$G119</f>
        <v>3226.3624</v>
      </c>
      <c r="AH140" s="197">
        <f t="shared" si="344"/>
        <v>5700.73452</v>
      </c>
      <c r="AI140" s="197">
        <f t="shared" si="345"/>
        <v>2987.26548</v>
      </c>
      <c r="AJ140" s="197">
        <f t="shared" si="346"/>
        <v>3458.9054799999994</v>
      </c>
      <c r="AK140" s="196">
        <f t="shared" si="347"/>
        <v>7732.2890708437153</v>
      </c>
      <c r="AL140" s="197">
        <f t="shared" si="348"/>
        <v>419.75792096831606</v>
      </c>
      <c r="AM140" s="197">
        <f t="shared" si="349"/>
        <v>5073.6334282662865</v>
      </c>
      <c r="AN140" s="197">
        <f t="shared" si="350"/>
        <v>2658.6556425774293</v>
      </c>
      <c r="AO140" s="199">
        <f t="shared" si="351"/>
        <v>3078.4135635457451</v>
      </c>
      <c r="AP140" s="196">
        <f t="shared" si="352"/>
        <v>24616.515485938053</v>
      </c>
      <c r="AQ140" s="197">
        <f t="shared" si="353"/>
        <v>1336.3413171947311</v>
      </c>
      <c r="AR140" s="197">
        <f t="shared" si="354"/>
        <v>16152.419382228551</v>
      </c>
      <c r="AS140" s="197">
        <f t="shared" si="355"/>
        <v>8464.096103709504</v>
      </c>
      <c r="AT140" s="199">
        <f t="shared" si="356"/>
        <v>9800.4374209042344</v>
      </c>
      <c r="AX140" s="895">
        <v>3</v>
      </c>
      <c r="AY140" s="906">
        <f>'Arable Inputs'!$H$18</f>
        <v>12</v>
      </c>
      <c r="AZ140" s="757">
        <f>'Arable Inputs'!$H$25</f>
        <v>724</v>
      </c>
      <c r="BA140" s="759">
        <f t="shared" si="357"/>
        <v>8688</v>
      </c>
      <c r="BB140" s="197">
        <f>'Arable NPV'!$D119</f>
        <v>471.64</v>
      </c>
      <c r="BC140" s="197">
        <f t="shared" ref="BC140:BC152" si="401">BA140+BB140</f>
        <v>9159.64</v>
      </c>
      <c r="BD140" s="197">
        <f>'Arable NPV'!$F119</f>
        <v>2474.37212</v>
      </c>
      <c r="BE140" s="197">
        <f>'Arable NPV'!$G119</f>
        <v>3226.3624</v>
      </c>
      <c r="BF140" s="197">
        <f t="shared" si="358"/>
        <v>5700.73452</v>
      </c>
      <c r="BG140" s="197">
        <f t="shared" si="359"/>
        <v>2987.26548</v>
      </c>
      <c r="BH140" s="197">
        <f t="shared" si="360"/>
        <v>3458.9054799999994</v>
      </c>
      <c r="BI140" s="196">
        <f t="shared" si="361"/>
        <v>8350.6343713956176</v>
      </c>
      <c r="BJ140" s="197">
        <f t="shared" si="362"/>
        <v>453.32564398308341</v>
      </c>
      <c r="BK140" s="197">
        <f t="shared" si="363"/>
        <v>5479.368050749712</v>
      </c>
      <c r="BL140" s="197">
        <f t="shared" si="364"/>
        <v>2871.2663206459056</v>
      </c>
      <c r="BM140" s="199">
        <f t="shared" si="365"/>
        <v>3324.5919646289885</v>
      </c>
      <c r="BN140" s="196">
        <f t="shared" si="366"/>
        <v>25556.281430219147</v>
      </c>
      <c r="BO140" s="197">
        <f t="shared" si="367"/>
        <v>1387.3578008458285</v>
      </c>
      <c r="BP140" s="197">
        <f t="shared" si="368"/>
        <v>16769.057982514416</v>
      </c>
      <c r="BQ140" s="197">
        <f t="shared" si="369"/>
        <v>8787.2234477047296</v>
      </c>
      <c r="BR140" s="199">
        <f t="shared" si="370"/>
        <v>10174.581248550556</v>
      </c>
      <c r="BV140" s="895">
        <v>3</v>
      </c>
      <c r="BW140" s="906">
        <f>'Arable Inputs'!$H$18</f>
        <v>12</v>
      </c>
      <c r="BX140" s="757">
        <f>'Arable Inputs'!$H$25</f>
        <v>724</v>
      </c>
      <c r="BY140" s="759">
        <f t="shared" si="371"/>
        <v>8688</v>
      </c>
      <c r="BZ140" s="197">
        <f>'Arable NPV'!$D119</f>
        <v>471.64</v>
      </c>
      <c r="CA140" s="197">
        <f t="shared" ref="CA140:CA152" si="402">BY140+BZ140</f>
        <v>9159.64</v>
      </c>
      <c r="CB140" s="197">
        <f>'Arable NPV'!$F119</f>
        <v>2474.37212</v>
      </c>
      <c r="CC140" s="197">
        <f>'Arable NPV'!$G119</f>
        <v>3226.3624</v>
      </c>
      <c r="CD140" s="197">
        <f t="shared" si="372"/>
        <v>5700.73452</v>
      </c>
      <c r="CE140" s="197">
        <f t="shared" si="373"/>
        <v>2987.26548</v>
      </c>
      <c r="CF140" s="197">
        <f t="shared" si="374"/>
        <v>3458.9054799999994</v>
      </c>
      <c r="CG140" s="196">
        <f t="shared" si="375"/>
        <v>7448.5596707818922</v>
      </c>
      <c r="CH140" s="197">
        <f t="shared" si="376"/>
        <v>404.35528120713303</v>
      </c>
      <c r="CI140" s="197">
        <f t="shared" si="377"/>
        <v>4887.4610082304525</v>
      </c>
      <c r="CJ140" s="197">
        <f t="shared" si="378"/>
        <v>2561.0986625514402</v>
      </c>
      <c r="CK140" s="197">
        <f t="shared" si="379"/>
        <v>2965.4539437585727</v>
      </c>
      <c r="CL140" s="196">
        <f t="shared" si="380"/>
        <v>24181.004115226337</v>
      </c>
      <c r="CM140" s="197">
        <f t="shared" si="381"/>
        <v>1312.6989849108365</v>
      </c>
      <c r="CN140" s="197">
        <f t="shared" si="382"/>
        <v>15866.653417119342</v>
      </c>
      <c r="CO140" s="197">
        <f t="shared" si="383"/>
        <v>8314.350698106995</v>
      </c>
      <c r="CP140" s="199">
        <f t="shared" si="384"/>
        <v>9627.0496830178308</v>
      </c>
      <c r="CT140" s="895">
        <v>3</v>
      </c>
      <c r="CU140" s="906">
        <f>'Arable Inputs'!$H$18</f>
        <v>12</v>
      </c>
      <c r="CV140" s="757">
        <f>'Arable Inputs'!$H$25</f>
        <v>724</v>
      </c>
      <c r="CW140" s="759">
        <f t="shared" si="385"/>
        <v>8688</v>
      </c>
      <c r="CX140" s="197">
        <f>'Arable NPV'!$D119</f>
        <v>471.64</v>
      </c>
      <c r="CY140" s="197">
        <f t="shared" ref="CY140:CY152" si="403">CW140+CX140</f>
        <v>9159.64</v>
      </c>
      <c r="CZ140" s="197">
        <f>'Arable NPV'!$F119</f>
        <v>2474.37212</v>
      </c>
      <c r="DA140" s="197">
        <f>'Arable NPV'!$G119</f>
        <v>3226.3624</v>
      </c>
      <c r="DB140" s="197">
        <f t="shared" si="386"/>
        <v>5700.73452</v>
      </c>
      <c r="DC140" s="197">
        <f t="shared" si="387"/>
        <v>2987.26548</v>
      </c>
      <c r="DD140" s="197">
        <f t="shared" si="388"/>
        <v>3458.9054799999994</v>
      </c>
      <c r="DE140" s="196">
        <f t="shared" si="389"/>
        <v>8688</v>
      </c>
      <c r="DF140" s="197">
        <f t="shared" si="390"/>
        <v>471.64</v>
      </c>
      <c r="DG140" s="197">
        <f t="shared" si="391"/>
        <v>5700.73452</v>
      </c>
      <c r="DH140" s="197">
        <f t="shared" si="392"/>
        <v>2987.26548</v>
      </c>
      <c r="DI140" s="199">
        <f t="shared" si="393"/>
        <v>3458.9054799999994</v>
      </c>
      <c r="DJ140" s="196">
        <f t="shared" si="394"/>
        <v>26064</v>
      </c>
      <c r="DK140" s="197">
        <f t="shared" si="395"/>
        <v>1414.92</v>
      </c>
      <c r="DL140" s="197">
        <f t="shared" si="396"/>
        <v>17102.203560000002</v>
      </c>
      <c r="DM140" s="197">
        <f t="shared" si="397"/>
        <v>8961.7964400000001</v>
      </c>
      <c r="DN140" s="199">
        <f t="shared" si="398"/>
        <v>10376.716439999998</v>
      </c>
    </row>
    <row r="141" spans="2:118" x14ac:dyDescent="0.3">
      <c r="B141" s="895">
        <v>4</v>
      </c>
      <c r="C141" s="906">
        <f>'Arable Inputs'!$H$18</f>
        <v>12</v>
      </c>
      <c r="D141" s="757">
        <f>'Arable Inputs'!$H$25</f>
        <v>724</v>
      </c>
      <c r="E141" s="759">
        <f t="shared" si="333"/>
        <v>8688</v>
      </c>
      <c r="F141" s="197">
        <f>'Arable NPV'!$D120</f>
        <v>471.64</v>
      </c>
      <c r="G141" s="197">
        <f t="shared" si="399"/>
        <v>9159.64</v>
      </c>
      <c r="H141" s="197">
        <f>'Arable NPV'!$F120</f>
        <v>2474.37212</v>
      </c>
      <c r="I141" s="197">
        <f>'Arable NPV'!$G120</f>
        <v>3226.3624</v>
      </c>
      <c r="J141" s="197">
        <f t="shared" si="334"/>
        <v>5700.73452</v>
      </c>
      <c r="K141" s="197">
        <f t="shared" si="335"/>
        <v>2987.26548</v>
      </c>
      <c r="L141" s="197">
        <f t="shared" si="336"/>
        <v>3458.9054799999994</v>
      </c>
      <c r="M141" s="196">
        <f t="shared" si="337"/>
        <v>7723.600364132908</v>
      </c>
      <c r="N141" s="197">
        <f t="shared" si="338"/>
        <v>419.28624260355025</v>
      </c>
      <c r="O141" s="197">
        <f t="shared" si="339"/>
        <v>5067.9322300295853</v>
      </c>
      <c r="P141" s="197">
        <f t="shared" si="340"/>
        <v>2655.6681341033227</v>
      </c>
      <c r="Q141" s="197">
        <f t="shared" si="341"/>
        <v>3074.9543767068722</v>
      </c>
      <c r="R141" s="196">
        <f t="shared" si="342"/>
        <v>32797.990896677293</v>
      </c>
      <c r="S141" s="197">
        <f t="shared" si="342"/>
        <v>1780.4839349112426</v>
      </c>
      <c r="T141" s="197">
        <f t="shared" si="342"/>
        <v>21520.791769260355</v>
      </c>
      <c r="U141" s="197">
        <f t="shared" si="342"/>
        <v>11277.19912741693</v>
      </c>
      <c r="V141" s="199">
        <f t="shared" si="342"/>
        <v>13057.683062328171</v>
      </c>
      <c r="Z141" s="895">
        <v>4</v>
      </c>
      <c r="AA141" s="906">
        <f>'Arable Inputs'!$H$18</f>
        <v>12</v>
      </c>
      <c r="AB141" s="757">
        <f>'Arable Inputs'!$H$25</f>
        <v>724</v>
      </c>
      <c r="AC141" s="759">
        <f t="shared" si="343"/>
        <v>8688</v>
      </c>
      <c r="AD141" s="197">
        <f>'Arable NPV'!$D120</f>
        <v>471.64</v>
      </c>
      <c r="AE141" s="197">
        <f t="shared" si="400"/>
        <v>9159.64</v>
      </c>
      <c r="AF141" s="197">
        <f>'Arable NPV'!$F120</f>
        <v>2474.37212</v>
      </c>
      <c r="AG141" s="197">
        <f>'Arable NPV'!$G120</f>
        <v>3226.3624</v>
      </c>
      <c r="AH141" s="197">
        <f t="shared" si="344"/>
        <v>5700.73452</v>
      </c>
      <c r="AI141" s="197">
        <f t="shared" si="345"/>
        <v>2987.26548</v>
      </c>
      <c r="AJ141" s="197">
        <f t="shared" si="346"/>
        <v>3458.9054799999994</v>
      </c>
      <c r="AK141" s="196">
        <f t="shared" si="347"/>
        <v>7294.6123309846362</v>
      </c>
      <c r="AL141" s="197">
        <f t="shared" si="348"/>
        <v>395.99803864935473</v>
      </c>
      <c r="AM141" s="197">
        <f t="shared" si="349"/>
        <v>4786.446630439892</v>
      </c>
      <c r="AN141" s="197">
        <f t="shared" si="350"/>
        <v>2508.1657005447446</v>
      </c>
      <c r="AO141" s="199">
        <f t="shared" si="351"/>
        <v>2904.1637391940985</v>
      </c>
      <c r="AP141" s="196">
        <f t="shared" si="352"/>
        <v>31911.12781692269</v>
      </c>
      <c r="AQ141" s="197">
        <f t="shared" si="353"/>
        <v>1732.3393558440857</v>
      </c>
      <c r="AR141" s="197">
        <f t="shared" si="354"/>
        <v>20938.866012668441</v>
      </c>
      <c r="AS141" s="197">
        <f t="shared" si="355"/>
        <v>10972.261804254249</v>
      </c>
      <c r="AT141" s="199">
        <f t="shared" si="356"/>
        <v>12704.601160098333</v>
      </c>
      <c r="AX141" s="895">
        <v>4</v>
      </c>
      <c r="AY141" s="906">
        <f>'Arable Inputs'!$H$18</f>
        <v>12</v>
      </c>
      <c r="AZ141" s="757">
        <f>'Arable Inputs'!$H$25</f>
        <v>724</v>
      </c>
      <c r="BA141" s="759">
        <f t="shared" si="357"/>
        <v>8688</v>
      </c>
      <c r="BB141" s="197">
        <f>'Arable NPV'!$D120</f>
        <v>471.64</v>
      </c>
      <c r="BC141" s="197">
        <f t="shared" si="401"/>
        <v>9159.64</v>
      </c>
      <c r="BD141" s="197">
        <f>'Arable NPV'!$F120</f>
        <v>2474.37212</v>
      </c>
      <c r="BE141" s="197">
        <f>'Arable NPV'!$G120</f>
        <v>3226.3624</v>
      </c>
      <c r="BF141" s="197">
        <f t="shared" si="358"/>
        <v>5700.73452</v>
      </c>
      <c r="BG141" s="197">
        <f t="shared" si="359"/>
        <v>2987.26548</v>
      </c>
      <c r="BH141" s="197">
        <f t="shared" si="360"/>
        <v>3458.9054799999994</v>
      </c>
      <c r="BI141" s="196">
        <f t="shared" si="361"/>
        <v>8186.896442544723</v>
      </c>
      <c r="BJ141" s="197">
        <f t="shared" si="362"/>
        <v>444.4369058657681</v>
      </c>
      <c r="BK141" s="197">
        <f t="shared" si="363"/>
        <v>5371.9294615193257</v>
      </c>
      <c r="BL141" s="197">
        <f t="shared" si="364"/>
        <v>2814.9669810253977</v>
      </c>
      <c r="BM141" s="199">
        <f t="shared" si="365"/>
        <v>3259.4038868911653</v>
      </c>
      <c r="BN141" s="196">
        <f t="shared" si="366"/>
        <v>33743.177872763874</v>
      </c>
      <c r="BO141" s="197">
        <f t="shared" si="367"/>
        <v>1831.7947067115965</v>
      </c>
      <c r="BP141" s="197">
        <f t="shared" si="368"/>
        <v>22140.987444033741</v>
      </c>
      <c r="BQ141" s="197">
        <f t="shared" si="369"/>
        <v>11602.190428730128</v>
      </c>
      <c r="BR141" s="199">
        <f t="shared" si="370"/>
        <v>13433.985135441721</v>
      </c>
      <c r="BV141" s="895">
        <v>4</v>
      </c>
      <c r="BW141" s="906">
        <f>'Arable Inputs'!$H$18</f>
        <v>12</v>
      </c>
      <c r="BX141" s="757">
        <f>'Arable Inputs'!$H$25</f>
        <v>724</v>
      </c>
      <c r="BY141" s="759">
        <f t="shared" si="371"/>
        <v>8688</v>
      </c>
      <c r="BZ141" s="197">
        <f>'Arable NPV'!$D120</f>
        <v>471.64</v>
      </c>
      <c r="CA141" s="197">
        <f t="shared" si="402"/>
        <v>9159.64</v>
      </c>
      <c r="CB141" s="197">
        <f>'Arable NPV'!$F120</f>
        <v>2474.37212</v>
      </c>
      <c r="CC141" s="197">
        <f>'Arable NPV'!$G120</f>
        <v>3226.3624</v>
      </c>
      <c r="CD141" s="197">
        <f t="shared" si="372"/>
        <v>5700.73452</v>
      </c>
      <c r="CE141" s="197">
        <f t="shared" si="373"/>
        <v>2987.26548</v>
      </c>
      <c r="CF141" s="197">
        <f t="shared" si="374"/>
        <v>3458.9054799999994</v>
      </c>
      <c r="CG141" s="196">
        <f t="shared" si="375"/>
        <v>6896.8145099832336</v>
      </c>
      <c r="CH141" s="197">
        <f t="shared" si="376"/>
        <v>374.40303815475278</v>
      </c>
      <c r="CI141" s="197">
        <f t="shared" si="377"/>
        <v>4525.4268594726409</v>
      </c>
      <c r="CJ141" s="197">
        <f t="shared" si="378"/>
        <v>2371.3876505105927</v>
      </c>
      <c r="CK141" s="197">
        <f t="shared" si="379"/>
        <v>2745.790688665345</v>
      </c>
      <c r="CL141" s="196">
        <f t="shared" si="380"/>
        <v>31077.818625209569</v>
      </c>
      <c r="CM141" s="197">
        <f t="shared" si="381"/>
        <v>1687.1020230655893</v>
      </c>
      <c r="CN141" s="197">
        <f t="shared" si="382"/>
        <v>20392.080276591983</v>
      </c>
      <c r="CO141" s="197">
        <f t="shared" si="383"/>
        <v>10685.738348617588</v>
      </c>
      <c r="CP141" s="199">
        <f t="shared" si="384"/>
        <v>12372.840371683176</v>
      </c>
      <c r="CT141" s="895">
        <v>4</v>
      </c>
      <c r="CU141" s="906">
        <f>'Arable Inputs'!$H$18</f>
        <v>12</v>
      </c>
      <c r="CV141" s="757">
        <f>'Arable Inputs'!$H$25</f>
        <v>724</v>
      </c>
      <c r="CW141" s="759">
        <f t="shared" si="385"/>
        <v>8688</v>
      </c>
      <c r="CX141" s="197">
        <f>'Arable NPV'!$D120</f>
        <v>471.64</v>
      </c>
      <c r="CY141" s="197">
        <f t="shared" si="403"/>
        <v>9159.64</v>
      </c>
      <c r="CZ141" s="197">
        <f>'Arable NPV'!$F120</f>
        <v>2474.37212</v>
      </c>
      <c r="DA141" s="197">
        <f>'Arable NPV'!$G120</f>
        <v>3226.3624</v>
      </c>
      <c r="DB141" s="197">
        <f t="shared" si="386"/>
        <v>5700.73452</v>
      </c>
      <c r="DC141" s="197">
        <f t="shared" si="387"/>
        <v>2987.26548</v>
      </c>
      <c r="DD141" s="197">
        <f t="shared" si="388"/>
        <v>3458.9054799999994</v>
      </c>
      <c r="DE141" s="196">
        <f t="shared" si="389"/>
        <v>8688</v>
      </c>
      <c r="DF141" s="197">
        <f t="shared" si="390"/>
        <v>471.64</v>
      </c>
      <c r="DG141" s="197">
        <f t="shared" si="391"/>
        <v>5700.73452</v>
      </c>
      <c r="DH141" s="197">
        <f t="shared" si="392"/>
        <v>2987.26548</v>
      </c>
      <c r="DI141" s="199">
        <f t="shared" si="393"/>
        <v>3458.9054799999994</v>
      </c>
      <c r="DJ141" s="196">
        <f t="shared" si="394"/>
        <v>34752</v>
      </c>
      <c r="DK141" s="197">
        <f t="shared" si="395"/>
        <v>1886.56</v>
      </c>
      <c r="DL141" s="197">
        <f t="shared" si="396"/>
        <v>22802.93808</v>
      </c>
      <c r="DM141" s="197">
        <f t="shared" si="397"/>
        <v>11949.06192</v>
      </c>
      <c r="DN141" s="199">
        <f t="shared" si="398"/>
        <v>13835.621919999998</v>
      </c>
    </row>
    <row r="142" spans="2:118" x14ac:dyDescent="0.3">
      <c r="B142" s="895">
        <v>5</v>
      </c>
      <c r="C142" s="906">
        <f>'Arable Inputs'!$H$18</f>
        <v>12</v>
      </c>
      <c r="D142" s="757">
        <f>'Arable Inputs'!$H$25</f>
        <v>724</v>
      </c>
      <c r="E142" s="759">
        <f t="shared" si="333"/>
        <v>8688</v>
      </c>
      <c r="F142" s="197">
        <f>'Arable NPV'!$D121</f>
        <v>471.64</v>
      </c>
      <c r="G142" s="197">
        <f t="shared" si="399"/>
        <v>9159.64</v>
      </c>
      <c r="H142" s="197">
        <f>'Arable NPV'!$F121</f>
        <v>2474.37212</v>
      </c>
      <c r="I142" s="197">
        <f>'Arable NPV'!$G121</f>
        <v>3226.3624</v>
      </c>
      <c r="J142" s="197">
        <f t="shared" si="334"/>
        <v>5700.73452</v>
      </c>
      <c r="K142" s="197">
        <f t="shared" si="335"/>
        <v>2987.26548</v>
      </c>
      <c r="L142" s="197">
        <f t="shared" si="336"/>
        <v>3458.9054799999994</v>
      </c>
      <c r="M142" s="196">
        <f t="shared" si="337"/>
        <v>7426.5388116662571</v>
      </c>
      <c r="N142" s="197">
        <f t="shared" si="338"/>
        <v>403.15984865725983</v>
      </c>
      <c r="O142" s="197">
        <f t="shared" si="339"/>
        <v>4873.0117596438313</v>
      </c>
      <c r="P142" s="197">
        <f t="shared" si="340"/>
        <v>2553.5270520224253</v>
      </c>
      <c r="Q142" s="197">
        <f t="shared" si="341"/>
        <v>2956.6869006796846</v>
      </c>
      <c r="R142" s="196">
        <f t="shared" si="342"/>
        <v>40224.529708343551</v>
      </c>
      <c r="S142" s="197">
        <f t="shared" si="342"/>
        <v>2183.6437835685024</v>
      </c>
      <c r="T142" s="197">
        <f t="shared" si="342"/>
        <v>26393.803528904187</v>
      </c>
      <c r="U142" s="197">
        <f t="shared" si="342"/>
        <v>13830.726179439356</v>
      </c>
      <c r="V142" s="199">
        <f t="shared" si="342"/>
        <v>16014.369963007855</v>
      </c>
      <c r="Z142" s="895">
        <v>5</v>
      </c>
      <c r="AA142" s="906">
        <f>'Arable Inputs'!$H$18</f>
        <v>12</v>
      </c>
      <c r="AB142" s="757">
        <f>'Arable Inputs'!$H$25</f>
        <v>724</v>
      </c>
      <c r="AC142" s="759">
        <f t="shared" si="343"/>
        <v>8688</v>
      </c>
      <c r="AD142" s="197">
        <f>'Arable NPV'!$D121</f>
        <v>471.64</v>
      </c>
      <c r="AE142" s="197">
        <f t="shared" si="400"/>
        <v>9159.64</v>
      </c>
      <c r="AF142" s="197">
        <f>'Arable NPV'!$F121</f>
        <v>2474.37212</v>
      </c>
      <c r="AG142" s="197">
        <f>'Arable NPV'!$G121</f>
        <v>3226.3624</v>
      </c>
      <c r="AH142" s="197">
        <f t="shared" si="344"/>
        <v>5700.73452</v>
      </c>
      <c r="AI142" s="197">
        <f t="shared" si="345"/>
        <v>2987.26548</v>
      </c>
      <c r="AJ142" s="197">
        <f t="shared" si="346"/>
        <v>3458.9054799999994</v>
      </c>
      <c r="AK142" s="196">
        <f t="shared" si="347"/>
        <v>6881.7097462119209</v>
      </c>
      <c r="AL142" s="197">
        <f t="shared" si="348"/>
        <v>373.58305532957991</v>
      </c>
      <c r="AM142" s="197">
        <f t="shared" si="349"/>
        <v>4515.515689094238</v>
      </c>
      <c r="AN142" s="197">
        <f t="shared" si="350"/>
        <v>2366.1940571176833</v>
      </c>
      <c r="AO142" s="199">
        <f t="shared" si="351"/>
        <v>2739.7771124472629</v>
      </c>
      <c r="AP142" s="196">
        <f t="shared" si="352"/>
        <v>38792.837563134613</v>
      </c>
      <c r="AQ142" s="197">
        <f t="shared" si="353"/>
        <v>2105.9224111736658</v>
      </c>
      <c r="AR142" s="197">
        <f t="shared" si="354"/>
        <v>25454.381701762679</v>
      </c>
      <c r="AS142" s="197">
        <f t="shared" si="355"/>
        <v>13338.455861371933</v>
      </c>
      <c r="AT142" s="199">
        <f t="shared" si="356"/>
        <v>15444.378272545597</v>
      </c>
      <c r="AX142" s="895">
        <v>5</v>
      </c>
      <c r="AY142" s="906">
        <f>'Arable Inputs'!$H$18</f>
        <v>12</v>
      </c>
      <c r="AZ142" s="757">
        <f>'Arable Inputs'!$H$25</f>
        <v>724</v>
      </c>
      <c r="BA142" s="759">
        <f t="shared" si="357"/>
        <v>8688</v>
      </c>
      <c r="BB142" s="197">
        <f>'Arable NPV'!$D121</f>
        <v>471.64</v>
      </c>
      <c r="BC142" s="197">
        <f t="shared" si="401"/>
        <v>9159.64</v>
      </c>
      <c r="BD142" s="197">
        <f>'Arable NPV'!$F121</f>
        <v>2474.37212</v>
      </c>
      <c r="BE142" s="197">
        <f>'Arable NPV'!$G121</f>
        <v>3226.3624</v>
      </c>
      <c r="BF142" s="197">
        <f t="shared" si="358"/>
        <v>5700.73452</v>
      </c>
      <c r="BG142" s="197">
        <f t="shared" si="359"/>
        <v>2987.26548</v>
      </c>
      <c r="BH142" s="197">
        <f t="shared" si="360"/>
        <v>3458.9054799999994</v>
      </c>
      <c r="BI142" s="196">
        <f t="shared" si="361"/>
        <v>8026.3690613183553</v>
      </c>
      <c r="BJ142" s="197">
        <f t="shared" si="362"/>
        <v>435.72245673114514</v>
      </c>
      <c r="BK142" s="197">
        <f t="shared" si="363"/>
        <v>5266.5975112934557</v>
      </c>
      <c r="BL142" s="197">
        <f t="shared" si="364"/>
        <v>2759.7715500248996</v>
      </c>
      <c r="BM142" s="199">
        <f t="shared" si="365"/>
        <v>3195.4940067560442</v>
      </c>
      <c r="BN142" s="196">
        <f t="shared" si="366"/>
        <v>41769.546934082231</v>
      </c>
      <c r="BO142" s="197">
        <f t="shared" si="367"/>
        <v>2267.5171634427415</v>
      </c>
      <c r="BP142" s="197">
        <f t="shared" si="368"/>
        <v>27407.584955327198</v>
      </c>
      <c r="BQ142" s="197">
        <f t="shared" si="369"/>
        <v>14361.961978755027</v>
      </c>
      <c r="BR142" s="199">
        <f t="shared" si="370"/>
        <v>16629.479142197764</v>
      </c>
      <c r="BV142" s="895">
        <v>5</v>
      </c>
      <c r="BW142" s="906">
        <f>'Arable Inputs'!$H$18</f>
        <v>12</v>
      </c>
      <c r="BX142" s="757">
        <f>'Arable Inputs'!$H$25</f>
        <v>724</v>
      </c>
      <c r="BY142" s="759">
        <f t="shared" si="371"/>
        <v>8688</v>
      </c>
      <c r="BZ142" s="197">
        <f>'Arable NPV'!$D121</f>
        <v>471.64</v>
      </c>
      <c r="CA142" s="197">
        <f t="shared" si="402"/>
        <v>9159.64</v>
      </c>
      <c r="CB142" s="197">
        <f>'Arable NPV'!$F121</f>
        <v>2474.37212</v>
      </c>
      <c r="CC142" s="197">
        <f>'Arable NPV'!$G121</f>
        <v>3226.3624</v>
      </c>
      <c r="CD142" s="197">
        <f t="shared" si="372"/>
        <v>5700.73452</v>
      </c>
      <c r="CE142" s="197">
        <f t="shared" si="373"/>
        <v>2987.26548</v>
      </c>
      <c r="CF142" s="197">
        <f t="shared" si="374"/>
        <v>3458.9054799999994</v>
      </c>
      <c r="CG142" s="196">
        <f t="shared" si="375"/>
        <v>6385.9393610955858</v>
      </c>
      <c r="CH142" s="197">
        <f t="shared" si="376"/>
        <v>346.6694797729192</v>
      </c>
      <c r="CI142" s="197">
        <f t="shared" si="377"/>
        <v>4190.2100550672594</v>
      </c>
      <c r="CJ142" s="197">
        <f t="shared" si="378"/>
        <v>2195.7293060283264</v>
      </c>
      <c r="CK142" s="197">
        <f t="shared" si="379"/>
        <v>2542.3987858012451</v>
      </c>
      <c r="CL142" s="196">
        <f t="shared" si="380"/>
        <v>37463.757986305158</v>
      </c>
      <c r="CM142" s="197">
        <f t="shared" si="381"/>
        <v>2033.7715028385085</v>
      </c>
      <c r="CN142" s="197">
        <f t="shared" si="382"/>
        <v>24582.290331659242</v>
      </c>
      <c r="CO142" s="197">
        <f t="shared" si="383"/>
        <v>12881.467654645914</v>
      </c>
      <c r="CP142" s="199">
        <f t="shared" si="384"/>
        <v>14915.239157484422</v>
      </c>
      <c r="CT142" s="895">
        <v>5</v>
      </c>
      <c r="CU142" s="906">
        <f>'Arable Inputs'!$H$18</f>
        <v>12</v>
      </c>
      <c r="CV142" s="757">
        <f>'Arable Inputs'!$H$25</f>
        <v>724</v>
      </c>
      <c r="CW142" s="759">
        <f t="shared" si="385"/>
        <v>8688</v>
      </c>
      <c r="CX142" s="197">
        <f>'Arable NPV'!$D121</f>
        <v>471.64</v>
      </c>
      <c r="CY142" s="197">
        <f t="shared" si="403"/>
        <v>9159.64</v>
      </c>
      <c r="CZ142" s="197">
        <f>'Arable NPV'!$F121</f>
        <v>2474.37212</v>
      </c>
      <c r="DA142" s="197">
        <f>'Arable NPV'!$G121</f>
        <v>3226.3624</v>
      </c>
      <c r="DB142" s="197">
        <f t="shared" si="386"/>
        <v>5700.73452</v>
      </c>
      <c r="DC142" s="197">
        <f t="shared" si="387"/>
        <v>2987.26548</v>
      </c>
      <c r="DD142" s="197">
        <f t="shared" si="388"/>
        <v>3458.9054799999994</v>
      </c>
      <c r="DE142" s="196">
        <f t="shared" si="389"/>
        <v>8688</v>
      </c>
      <c r="DF142" s="197">
        <f t="shared" si="390"/>
        <v>471.64</v>
      </c>
      <c r="DG142" s="197">
        <f t="shared" si="391"/>
        <v>5700.73452</v>
      </c>
      <c r="DH142" s="197">
        <f t="shared" si="392"/>
        <v>2987.26548</v>
      </c>
      <c r="DI142" s="199">
        <f t="shared" si="393"/>
        <v>3458.9054799999994</v>
      </c>
      <c r="DJ142" s="196">
        <f t="shared" si="394"/>
        <v>43440</v>
      </c>
      <c r="DK142" s="197">
        <f t="shared" si="395"/>
        <v>2358.1999999999998</v>
      </c>
      <c r="DL142" s="197">
        <f t="shared" si="396"/>
        <v>28503.672599999998</v>
      </c>
      <c r="DM142" s="197">
        <f t="shared" si="397"/>
        <v>14936.3274</v>
      </c>
      <c r="DN142" s="199">
        <f t="shared" si="398"/>
        <v>17294.527399999999</v>
      </c>
    </row>
    <row r="143" spans="2:118" x14ac:dyDescent="0.3">
      <c r="B143" s="895">
        <v>6</v>
      </c>
      <c r="C143" s="906">
        <f>'Arable Inputs'!$H$18</f>
        <v>12</v>
      </c>
      <c r="D143" s="757">
        <f>'Arable Inputs'!$H$25</f>
        <v>724</v>
      </c>
      <c r="E143" s="759">
        <f t="shared" si="333"/>
        <v>8688</v>
      </c>
      <c r="F143" s="197">
        <f>'Arable NPV'!$D122</f>
        <v>471.64</v>
      </c>
      <c r="G143" s="197">
        <f t="shared" si="399"/>
        <v>9159.64</v>
      </c>
      <c r="H143" s="197">
        <f>'Arable NPV'!$F122</f>
        <v>2474.37212</v>
      </c>
      <c r="I143" s="197">
        <f>'Arable NPV'!$G122</f>
        <v>3226.3624</v>
      </c>
      <c r="J143" s="197">
        <f t="shared" si="334"/>
        <v>5700.73452</v>
      </c>
      <c r="K143" s="197">
        <f t="shared" si="335"/>
        <v>2987.26548</v>
      </c>
      <c r="L143" s="197">
        <f t="shared" si="336"/>
        <v>3458.9054799999994</v>
      </c>
      <c r="M143" s="196">
        <f t="shared" si="337"/>
        <v>7140.9027035252466</v>
      </c>
      <c r="N143" s="197">
        <f t="shared" si="338"/>
        <v>387.65370063198054</v>
      </c>
      <c r="O143" s="197">
        <f t="shared" si="339"/>
        <v>4685.5882304267607</v>
      </c>
      <c r="P143" s="197">
        <f t="shared" si="340"/>
        <v>2455.3144730984855</v>
      </c>
      <c r="Q143" s="197">
        <f t="shared" si="341"/>
        <v>2842.9681737304654</v>
      </c>
      <c r="R143" s="196">
        <f t="shared" si="342"/>
        <v>47365.432411868795</v>
      </c>
      <c r="S143" s="197">
        <f t="shared" si="342"/>
        <v>2571.2974842004828</v>
      </c>
      <c r="T143" s="197">
        <f t="shared" si="342"/>
        <v>31079.391759330949</v>
      </c>
      <c r="U143" s="197">
        <f t="shared" si="342"/>
        <v>16286.040652537842</v>
      </c>
      <c r="V143" s="199">
        <f t="shared" si="342"/>
        <v>18857.338136738319</v>
      </c>
      <c r="Z143" s="895">
        <v>6</v>
      </c>
      <c r="AA143" s="906">
        <f>'Arable Inputs'!$H$18</f>
        <v>12</v>
      </c>
      <c r="AB143" s="757">
        <f>'Arable Inputs'!$H$25</f>
        <v>724</v>
      </c>
      <c r="AC143" s="759">
        <f t="shared" si="343"/>
        <v>8688</v>
      </c>
      <c r="AD143" s="197">
        <f>'Arable NPV'!$D122</f>
        <v>471.64</v>
      </c>
      <c r="AE143" s="197">
        <f t="shared" si="400"/>
        <v>9159.64</v>
      </c>
      <c r="AF143" s="197">
        <f>'Arable NPV'!$F122</f>
        <v>2474.37212</v>
      </c>
      <c r="AG143" s="197">
        <f>'Arable NPV'!$G122</f>
        <v>3226.3624</v>
      </c>
      <c r="AH143" s="197">
        <f t="shared" si="344"/>
        <v>5700.73452</v>
      </c>
      <c r="AI143" s="197">
        <f t="shared" si="345"/>
        <v>2987.26548</v>
      </c>
      <c r="AJ143" s="197">
        <f t="shared" si="346"/>
        <v>3458.9054799999994</v>
      </c>
      <c r="AK143" s="196">
        <f t="shared" si="347"/>
        <v>6492.1790058603019</v>
      </c>
      <c r="AL143" s="197">
        <f t="shared" si="348"/>
        <v>352.43684465054707</v>
      </c>
      <c r="AM143" s="197">
        <f t="shared" si="349"/>
        <v>4259.9204614096579</v>
      </c>
      <c r="AN143" s="197">
        <f t="shared" si="350"/>
        <v>2232.2585444506444</v>
      </c>
      <c r="AO143" s="199">
        <f t="shared" si="351"/>
        <v>2584.6953891011913</v>
      </c>
      <c r="AP143" s="196">
        <f t="shared" si="352"/>
        <v>45285.016568994914</v>
      </c>
      <c r="AQ143" s="197">
        <f t="shared" si="353"/>
        <v>2458.3592558242126</v>
      </c>
      <c r="AR143" s="197">
        <f t="shared" si="354"/>
        <v>29714.302163172339</v>
      </c>
      <c r="AS143" s="197">
        <f t="shared" si="355"/>
        <v>15570.714405822577</v>
      </c>
      <c r="AT143" s="199">
        <f t="shared" si="356"/>
        <v>18029.073661646788</v>
      </c>
      <c r="AX143" s="895">
        <v>6</v>
      </c>
      <c r="AY143" s="906">
        <f>'Arable Inputs'!$H$18</f>
        <v>12</v>
      </c>
      <c r="AZ143" s="757">
        <f>'Arable Inputs'!$H$25</f>
        <v>724</v>
      </c>
      <c r="BA143" s="759">
        <f t="shared" si="357"/>
        <v>8688</v>
      </c>
      <c r="BB143" s="197">
        <f>'Arable NPV'!$D122</f>
        <v>471.64</v>
      </c>
      <c r="BC143" s="197">
        <f t="shared" si="401"/>
        <v>9159.64</v>
      </c>
      <c r="BD143" s="197">
        <f>'Arable NPV'!$F122</f>
        <v>2474.37212</v>
      </c>
      <c r="BE143" s="197">
        <f>'Arable NPV'!$G122</f>
        <v>3226.3624</v>
      </c>
      <c r="BF143" s="197">
        <f t="shared" si="358"/>
        <v>5700.73452</v>
      </c>
      <c r="BG143" s="197">
        <f t="shared" si="359"/>
        <v>2987.26548</v>
      </c>
      <c r="BH143" s="197">
        <f t="shared" si="360"/>
        <v>3458.9054799999994</v>
      </c>
      <c r="BI143" s="196">
        <f t="shared" si="361"/>
        <v>7868.9892758023088</v>
      </c>
      <c r="BJ143" s="197">
        <f t="shared" si="362"/>
        <v>427.17887914818152</v>
      </c>
      <c r="BK143" s="197">
        <f t="shared" si="363"/>
        <v>5163.3308934249571</v>
      </c>
      <c r="BL143" s="197">
        <f t="shared" si="364"/>
        <v>2705.6583823773526</v>
      </c>
      <c r="BM143" s="199">
        <f t="shared" si="365"/>
        <v>3132.8372615255334</v>
      </c>
      <c r="BN143" s="196">
        <f t="shared" si="366"/>
        <v>49638.536209884536</v>
      </c>
      <c r="BO143" s="197">
        <f t="shared" si="367"/>
        <v>2694.6960425909228</v>
      </c>
      <c r="BP143" s="197">
        <f t="shared" si="368"/>
        <v>32570.915848752156</v>
      </c>
      <c r="BQ143" s="197">
        <f t="shared" si="369"/>
        <v>17067.62036113238</v>
      </c>
      <c r="BR143" s="199">
        <f t="shared" si="370"/>
        <v>19762.316403723296</v>
      </c>
      <c r="BV143" s="895">
        <v>6</v>
      </c>
      <c r="BW143" s="906">
        <f>'Arable Inputs'!$H$18</f>
        <v>12</v>
      </c>
      <c r="BX143" s="757">
        <f>'Arable Inputs'!$H$25</f>
        <v>724</v>
      </c>
      <c r="BY143" s="759">
        <f t="shared" si="371"/>
        <v>8688</v>
      </c>
      <c r="BZ143" s="197">
        <f>'Arable NPV'!$D122</f>
        <v>471.64</v>
      </c>
      <c r="CA143" s="197">
        <f t="shared" si="402"/>
        <v>9159.64</v>
      </c>
      <c r="CB143" s="197">
        <f>'Arable NPV'!$F122</f>
        <v>2474.37212</v>
      </c>
      <c r="CC143" s="197">
        <f>'Arable NPV'!$G122</f>
        <v>3226.3624</v>
      </c>
      <c r="CD143" s="197">
        <f t="shared" si="372"/>
        <v>5700.73452</v>
      </c>
      <c r="CE143" s="197">
        <f t="shared" si="373"/>
        <v>2987.26548</v>
      </c>
      <c r="CF143" s="197">
        <f t="shared" si="374"/>
        <v>3458.9054799999994</v>
      </c>
      <c r="CG143" s="196">
        <f t="shared" si="375"/>
        <v>5912.9068158292457</v>
      </c>
      <c r="CH143" s="197">
        <f t="shared" si="376"/>
        <v>320.99025904899923</v>
      </c>
      <c r="CI143" s="197">
        <f t="shared" si="377"/>
        <v>3879.8241250622773</v>
      </c>
      <c r="CJ143" s="197">
        <f t="shared" si="378"/>
        <v>2033.0826907669689</v>
      </c>
      <c r="CK143" s="197">
        <f t="shared" si="379"/>
        <v>2354.0729498159676</v>
      </c>
      <c r="CL143" s="196">
        <f t="shared" si="380"/>
        <v>43376.664802134401</v>
      </c>
      <c r="CM143" s="197">
        <f t="shared" si="381"/>
        <v>2354.7617618875079</v>
      </c>
      <c r="CN143" s="197">
        <f t="shared" si="382"/>
        <v>28462.11445672152</v>
      </c>
      <c r="CO143" s="197">
        <f t="shared" si="383"/>
        <v>14914.550345412883</v>
      </c>
      <c r="CP143" s="199">
        <f t="shared" si="384"/>
        <v>17269.312107300389</v>
      </c>
      <c r="CT143" s="895">
        <v>6</v>
      </c>
      <c r="CU143" s="906">
        <f>'Arable Inputs'!$H$18</f>
        <v>12</v>
      </c>
      <c r="CV143" s="757">
        <f>'Arable Inputs'!$H$25</f>
        <v>724</v>
      </c>
      <c r="CW143" s="759">
        <f t="shared" si="385"/>
        <v>8688</v>
      </c>
      <c r="CX143" s="197">
        <f>'Arable NPV'!$D122</f>
        <v>471.64</v>
      </c>
      <c r="CY143" s="197">
        <f t="shared" si="403"/>
        <v>9159.64</v>
      </c>
      <c r="CZ143" s="197">
        <f>'Arable NPV'!$F122</f>
        <v>2474.37212</v>
      </c>
      <c r="DA143" s="197">
        <f>'Arable NPV'!$G122</f>
        <v>3226.3624</v>
      </c>
      <c r="DB143" s="197">
        <f t="shared" si="386"/>
        <v>5700.73452</v>
      </c>
      <c r="DC143" s="197">
        <f t="shared" si="387"/>
        <v>2987.26548</v>
      </c>
      <c r="DD143" s="197">
        <f t="shared" si="388"/>
        <v>3458.9054799999994</v>
      </c>
      <c r="DE143" s="196">
        <f t="shared" si="389"/>
        <v>8688</v>
      </c>
      <c r="DF143" s="197">
        <f t="shared" si="390"/>
        <v>471.64</v>
      </c>
      <c r="DG143" s="197">
        <f t="shared" si="391"/>
        <v>5700.73452</v>
      </c>
      <c r="DH143" s="197">
        <f t="shared" si="392"/>
        <v>2987.26548</v>
      </c>
      <c r="DI143" s="199">
        <f t="shared" si="393"/>
        <v>3458.9054799999994</v>
      </c>
      <c r="DJ143" s="196">
        <f t="shared" si="394"/>
        <v>52128</v>
      </c>
      <c r="DK143" s="197">
        <f t="shared" si="395"/>
        <v>2829.8399999999997</v>
      </c>
      <c r="DL143" s="197">
        <f t="shared" si="396"/>
        <v>34204.407119999996</v>
      </c>
      <c r="DM143" s="197">
        <f t="shared" si="397"/>
        <v>17923.59288</v>
      </c>
      <c r="DN143" s="199">
        <f t="shared" si="398"/>
        <v>20753.43288</v>
      </c>
    </row>
    <row r="144" spans="2:118" x14ac:dyDescent="0.3">
      <c r="B144" s="895">
        <v>7</v>
      </c>
      <c r="C144" s="906">
        <f>'Arable Inputs'!$H$18</f>
        <v>12</v>
      </c>
      <c r="D144" s="757">
        <f>'Arable Inputs'!$H$25</f>
        <v>724</v>
      </c>
      <c r="E144" s="759">
        <f t="shared" si="333"/>
        <v>8688</v>
      </c>
      <c r="F144" s="197">
        <f>'Arable NPV'!$D123</f>
        <v>471.64</v>
      </c>
      <c r="G144" s="197">
        <f t="shared" si="399"/>
        <v>9159.64</v>
      </c>
      <c r="H144" s="197">
        <f>'Arable NPV'!$F123</f>
        <v>2474.37212</v>
      </c>
      <c r="I144" s="197">
        <f>'Arable NPV'!$G123</f>
        <v>3226.3624</v>
      </c>
      <c r="J144" s="197">
        <f t="shared" si="334"/>
        <v>5700.73452</v>
      </c>
      <c r="K144" s="197">
        <f t="shared" si="335"/>
        <v>2987.26548</v>
      </c>
      <c r="L144" s="197">
        <f t="shared" si="336"/>
        <v>3458.9054799999994</v>
      </c>
      <c r="M144" s="196">
        <f t="shared" si="337"/>
        <v>6866.2525995435062</v>
      </c>
      <c r="N144" s="197">
        <f t="shared" si="338"/>
        <v>372.74394291536589</v>
      </c>
      <c r="O144" s="197">
        <f t="shared" si="339"/>
        <v>4505.3732984872695</v>
      </c>
      <c r="P144" s="197">
        <f t="shared" si="340"/>
        <v>2360.8793010562363</v>
      </c>
      <c r="Q144" s="197">
        <f t="shared" si="341"/>
        <v>2733.6232439716014</v>
      </c>
      <c r="R144" s="196">
        <f t="shared" si="342"/>
        <v>54231.685011412301</v>
      </c>
      <c r="S144" s="197">
        <f t="shared" si="342"/>
        <v>2944.0414271158488</v>
      </c>
      <c r="T144" s="197">
        <f t="shared" si="342"/>
        <v>35584.765057818222</v>
      </c>
      <c r="U144" s="197">
        <f t="shared" si="342"/>
        <v>18646.919953594079</v>
      </c>
      <c r="V144" s="199">
        <f t="shared" si="342"/>
        <v>21590.961380709919</v>
      </c>
      <c r="Z144" s="895">
        <v>7</v>
      </c>
      <c r="AA144" s="906">
        <f>'Arable Inputs'!$H$18</f>
        <v>12</v>
      </c>
      <c r="AB144" s="757">
        <f>'Arable Inputs'!$H$25</f>
        <v>724</v>
      </c>
      <c r="AC144" s="759">
        <f t="shared" si="343"/>
        <v>8688</v>
      </c>
      <c r="AD144" s="197">
        <f>'Arable NPV'!$D123</f>
        <v>471.64</v>
      </c>
      <c r="AE144" s="197">
        <f t="shared" si="400"/>
        <v>9159.64</v>
      </c>
      <c r="AF144" s="197">
        <f>'Arable NPV'!$F123</f>
        <v>2474.37212</v>
      </c>
      <c r="AG144" s="197">
        <f>'Arable NPV'!$G123</f>
        <v>3226.3624</v>
      </c>
      <c r="AH144" s="197">
        <f t="shared" si="344"/>
        <v>5700.73452</v>
      </c>
      <c r="AI144" s="197">
        <f t="shared" si="345"/>
        <v>2987.26548</v>
      </c>
      <c r="AJ144" s="197">
        <f t="shared" si="346"/>
        <v>3458.9054799999994</v>
      </c>
      <c r="AK144" s="196">
        <f t="shared" si="347"/>
        <v>6124.6971753399075</v>
      </c>
      <c r="AL144" s="197">
        <f t="shared" si="348"/>
        <v>332.48758929296889</v>
      </c>
      <c r="AM144" s="197">
        <f t="shared" si="349"/>
        <v>4018.7928881223183</v>
      </c>
      <c r="AN144" s="197">
        <f t="shared" si="350"/>
        <v>2105.9042872175892</v>
      </c>
      <c r="AO144" s="199">
        <f t="shared" si="351"/>
        <v>2438.3918765105577</v>
      </c>
      <c r="AP144" s="196">
        <f t="shared" si="352"/>
        <v>51409.713744334818</v>
      </c>
      <c r="AQ144" s="197">
        <f t="shared" si="353"/>
        <v>2790.8468451171816</v>
      </c>
      <c r="AR144" s="197">
        <f t="shared" si="354"/>
        <v>33733.095051294658</v>
      </c>
      <c r="AS144" s="197">
        <f t="shared" si="355"/>
        <v>17676.618693040167</v>
      </c>
      <c r="AT144" s="199">
        <f t="shared" si="356"/>
        <v>20467.465538157347</v>
      </c>
      <c r="AX144" s="895">
        <v>7</v>
      </c>
      <c r="AY144" s="906">
        <f>'Arable Inputs'!$H$18</f>
        <v>12</v>
      </c>
      <c r="AZ144" s="757">
        <f>'Arable Inputs'!$H$25</f>
        <v>724</v>
      </c>
      <c r="BA144" s="759">
        <f t="shared" si="357"/>
        <v>8688</v>
      </c>
      <c r="BB144" s="197">
        <f>'Arable NPV'!$D123</f>
        <v>471.64</v>
      </c>
      <c r="BC144" s="197">
        <f t="shared" si="401"/>
        <v>9159.64</v>
      </c>
      <c r="BD144" s="197">
        <f>'Arable NPV'!$F123</f>
        <v>2474.37212</v>
      </c>
      <c r="BE144" s="197">
        <f>'Arable NPV'!$G123</f>
        <v>3226.3624</v>
      </c>
      <c r="BF144" s="197">
        <f t="shared" si="358"/>
        <v>5700.73452</v>
      </c>
      <c r="BG144" s="197">
        <f t="shared" si="359"/>
        <v>2987.26548</v>
      </c>
      <c r="BH144" s="197">
        <f t="shared" si="360"/>
        <v>3458.9054799999994</v>
      </c>
      <c r="BI144" s="196">
        <f t="shared" si="361"/>
        <v>7714.6953684336358</v>
      </c>
      <c r="BJ144" s="197">
        <f t="shared" si="362"/>
        <v>418.80282269429557</v>
      </c>
      <c r="BK144" s="197">
        <f t="shared" si="363"/>
        <v>5062.0891112009376</v>
      </c>
      <c r="BL144" s="197">
        <f t="shared" si="364"/>
        <v>2652.6062572326982</v>
      </c>
      <c r="BM144" s="199">
        <f t="shared" si="365"/>
        <v>3071.4090799269934</v>
      </c>
      <c r="BN144" s="196">
        <f t="shared" si="366"/>
        <v>57353.231578318169</v>
      </c>
      <c r="BO144" s="197">
        <f t="shared" si="367"/>
        <v>3113.4988652852185</v>
      </c>
      <c r="BP144" s="197">
        <f t="shared" si="368"/>
        <v>37633.00495995309</v>
      </c>
      <c r="BQ144" s="197">
        <f t="shared" si="369"/>
        <v>19720.226618365079</v>
      </c>
      <c r="BR144" s="199">
        <f t="shared" si="370"/>
        <v>22833.725483650291</v>
      </c>
      <c r="BV144" s="895">
        <v>7</v>
      </c>
      <c r="BW144" s="906">
        <f>'Arable Inputs'!$H$18</f>
        <v>12</v>
      </c>
      <c r="BX144" s="757">
        <f>'Arable Inputs'!$H$25</f>
        <v>724</v>
      </c>
      <c r="BY144" s="759">
        <f t="shared" si="371"/>
        <v>8688</v>
      </c>
      <c r="BZ144" s="197">
        <f>'Arable NPV'!$D123</f>
        <v>471.64</v>
      </c>
      <c r="CA144" s="197">
        <f t="shared" si="402"/>
        <v>9159.64</v>
      </c>
      <c r="CB144" s="197">
        <f>'Arable NPV'!$F123</f>
        <v>2474.37212</v>
      </c>
      <c r="CC144" s="197">
        <f>'Arable NPV'!$G123</f>
        <v>3226.3624</v>
      </c>
      <c r="CD144" s="197">
        <f t="shared" si="372"/>
        <v>5700.73452</v>
      </c>
      <c r="CE144" s="197">
        <f t="shared" si="373"/>
        <v>2987.26548</v>
      </c>
      <c r="CF144" s="197">
        <f t="shared" si="374"/>
        <v>3458.9054799999994</v>
      </c>
      <c r="CG144" s="196">
        <f t="shared" si="375"/>
        <v>5474.9137183604125</v>
      </c>
      <c r="CH144" s="197">
        <f t="shared" si="376"/>
        <v>297.21320282314741</v>
      </c>
      <c r="CI144" s="197">
        <f t="shared" si="377"/>
        <v>3592.429745428034</v>
      </c>
      <c r="CJ144" s="197">
        <f t="shared" si="378"/>
        <v>1882.4839729323783</v>
      </c>
      <c r="CK144" s="197">
        <f t="shared" si="379"/>
        <v>2179.6971757555252</v>
      </c>
      <c r="CL144" s="196">
        <f t="shared" si="380"/>
        <v>48851.578520494812</v>
      </c>
      <c r="CM144" s="197">
        <f t="shared" si="381"/>
        <v>2651.9749647106555</v>
      </c>
      <c r="CN144" s="197">
        <f t="shared" si="382"/>
        <v>32054.544202149555</v>
      </c>
      <c r="CO144" s="197">
        <f t="shared" si="383"/>
        <v>16797.034318345261</v>
      </c>
      <c r="CP144" s="199">
        <f t="shared" si="384"/>
        <v>19449.009283055915</v>
      </c>
      <c r="CT144" s="895">
        <v>7</v>
      </c>
      <c r="CU144" s="906">
        <f>'Arable Inputs'!$H$18</f>
        <v>12</v>
      </c>
      <c r="CV144" s="757">
        <f>'Arable Inputs'!$H$25</f>
        <v>724</v>
      </c>
      <c r="CW144" s="759">
        <f t="shared" si="385"/>
        <v>8688</v>
      </c>
      <c r="CX144" s="197">
        <f>'Arable NPV'!$D123</f>
        <v>471.64</v>
      </c>
      <c r="CY144" s="197">
        <f t="shared" si="403"/>
        <v>9159.64</v>
      </c>
      <c r="CZ144" s="197">
        <f>'Arable NPV'!$F123</f>
        <v>2474.37212</v>
      </c>
      <c r="DA144" s="197">
        <f>'Arable NPV'!$G123</f>
        <v>3226.3624</v>
      </c>
      <c r="DB144" s="197">
        <f t="shared" si="386"/>
        <v>5700.73452</v>
      </c>
      <c r="DC144" s="197">
        <f t="shared" si="387"/>
        <v>2987.26548</v>
      </c>
      <c r="DD144" s="197">
        <f t="shared" si="388"/>
        <v>3458.9054799999994</v>
      </c>
      <c r="DE144" s="196">
        <f t="shared" si="389"/>
        <v>8688</v>
      </c>
      <c r="DF144" s="197">
        <f t="shared" si="390"/>
        <v>471.64</v>
      </c>
      <c r="DG144" s="197">
        <f t="shared" si="391"/>
        <v>5700.73452</v>
      </c>
      <c r="DH144" s="197">
        <f t="shared" si="392"/>
        <v>2987.26548</v>
      </c>
      <c r="DI144" s="199">
        <f t="shared" si="393"/>
        <v>3458.9054799999994</v>
      </c>
      <c r="DJ144" s="196">
        <f t="shared" si="394"/>
        <v>60816</v>
      </c>
      <c r="DK144" s="197">
        <f t="shared" si="395"/>
        <v>3301.4799999999996</v>
      </c>
      <c r="DL144" s="197">
        <f t="shared" si="396"/>
        <v>39905.141639999994</v>
      </c>
      <c r="DM144" s="197">
        <f t="shared" si="397"/>
        <v>20910.858359999998</v>
      </c>
      <c r="DN144" s="199">
        <f t="shared" si="398"/>
        <v>24212.338360000002</v>
      </c>
    </row>
    <row r="145" spans="2:118" x14ac:dyDescent="0.3">
      <c r="B145" s="895">
        <v>8</v>
      </c>
      <c r="C145" s="906">
        <f>'Arable Inputs'!$H$18</f>
        <v>12</v>
      </c>
      <c r="D145" s="757">
        <f>'Arable Inputs'!$H$25</f>
        <v>724</v>
      </c>
      <c r="E145" s="759">
        <f t="shared" si="333"/>
        <v>8688</v>
      </c>
      <c r="F145" s="197">
        <f>'Arable NPV'!$D124</f>
        <v>471.64</v>
      </c>
      <c r="G145" s="197">
        <f t="shared" si="399"/>
        <v>9159.64</v>
      </c>
      <c r="H145" s="197">
        <f>'Arable NPV'!$F124</f>
        <v>2474.37212</v>
      </c>
      <c r="I145" s="197">
        <f>'Arable NPV'!$G124</f>
        <v>3226.3624</v>
      </c>
      <c r="J145" s="197">
        <f t="shared" si="334"/>
        <v>5700.73452</v>
      </c>
      <c r="K145" s="197">
        <f t="shared" si="335"/>
        <v>2987.26548</v>
      </c>
      <c r="L145" s="197">
        <f t="shared" si="336"/>
        <v>3458.9054799999994</v>
      </c>
      <c r="M145" s="196">
        <f t="shared" si="337"/>
        <v>6602.1659610995257</v>
      </c>
      <c r="N145" s="197">
        <f t="shared" si="338"/>
        <v>358.40763741862111</v>
      </c>
      <c r="O145" s="197">
        <f t="shared" si="339"/>
        <v>4332.0897100839138</v>
      </c>
      <c r="P145" s="197">
        <f t="shared" si="340"/>
        <v>2270.0762510156119</v>
      </c>
      <c r="Q145" s="197">
        <f t="shared" si="341"/>
        <v>2628.4838884342325</v>
      </c>
      <c r="R145" s="196">
        <f t="shared" si="342"/>
        <v>60833.850972511827</v>
      </c>
      <c r="S145" s="197">
        <f t="shared" si="342"/>
        <v>3302.4490645344699</v>
      </c>
      <c r="T145" s="197">
        <f t="shared" si="342"/>
        <v>39916.854767902136</v>
      </c>
      <c r="U145" s="197">
        <f t="shared" si="342"/>
        <v>20916.996204609692</v>
      </c>
      <c r="V145" s="199">
        <f t="shared" si="342"/>
        <v>24219.445269144151</v>
      </c>
      <c r="Z145" s="895">
        <v>8</v>
      </c>
      <c r="AA145" s="906">
        <f>'Arable Inputs'!$H$18</f>
        <v>12</v>
      </c>
      <c r="AB145" s="757">
        <f>'Arable Inputs'!$H$25</f>
        <v>724</v>
      </c>
      <c r="AC145" s="759">
        <f t="shared" si="343"/>
        <v>8688</v>
      </c>
      <c r="AD145" s="197">
        <f>'Arable NPV'!$D124</f>
        <v>471.64</v>
      </c>
      <c r="AE145" s="197">
        <f t="shared" si="400"/>
        <v>9159.64</v>
      </c>
      <c r="AF145" s="197">
        <f>'Arable NPV'!$F124</f>
        <v>2474.37212</v>
      </c>
      <c r="AG145" s="197">
        <f>'Arable NPV'!$G124</f>
        <v>3226.3624</v>
      </c>
      <c r="AH145" s="197">
        <f t="shared" si="344"/>
        <v>5700.73452</v>
      </c>
      <c r="AI145" s="197">
        <f t="shared" si="345"/>
        <v>2987.26548</v>
      </c>
      <c r="AJ145" s="197">
        <f t="shared" si="346"/>
        <v>3458.9054799999994</v>
      </c>
      <c r="AK145" s="196">
        <f t="shared" si="347"/>
        <v>5778.0162031508553</v>
      </c>
      <c r="AL145" s="197">
        <f t="shared" si="348"/>
        <v>313.66753706883856</v>
      </c>
      <c r="AM145" s="197">
        <f t="shared" si="349"/>
        <v>3791.3140453984133</v>
      </c>
      <c r="AN145" s="197">
        <f t="shared" si="350"/>
        <v>1986.7021577524422</v>
      </c>
      <c r="AO145" s="199">
        <f t="shared" si="351"/>
        <v>2300.3696948212805</v>
      </c>
      <c r="AP145" s="196">
        <f t="shared" si="352"/>
        <v>57187.72994748567</v>
      </c>
      <c r="AQ145" s="197">
        <f t="shared" si="353"/>
        <v>3104.5143821860202</v>
      </c>
      <c r="AR145" s="197">
        <f t="shared" si="354"/>
        <v>37524.409096693074</v>
      </c>
      <c r="AS145" s="197">
        <f t="shared" si="355"/>
        <v>19663.32085079261</v>
      </c>
      <c r="AT145" s="199">
        <f t="shared" si="356"/>
        <v>22767.835232978628</v>
      </c>
      <c r="AX145" s="895">
        <v>8</v>
      </c>
      <c r="AY145" s="906">
        <f>'Arable Inputs'!$H$18</f>
        <v>12</v>
      </c>
      <c r="AZ145" s="757">
        <f>'Arable Inputs'!$H$25</f>
        <v>724</v>
      </c>
      <c r="BA145" s="759">
        <f t="shared" si="357"/>
        <v>8688</v>
      </c>
      <c r="BB145" s="197">
        <f>'Arable NPV'!$D124</f>
        <v>471.64</v>
      </c>
      <c r="BC145" s="197">
        <f t="shared" si="401"/>
        <v>9159.64</v>
      </c>
      <c r="BD145" s="197">
        <f>'Arable NPV'!$F124</f>
        <v>2474.37212</v>
      </c>
      <c r="BE145" s="197">
        <f>'Arable NPV'!$G124</f>
        <v>3226.3624</v>
      </c>
      <c r="BF145" s="197">
        <f t="shared" si="358"/>
        <v>5700.73452</v>
      </c>
      <c r="BG145" s="197">
        <f t="shared" si="359"/>
        <v>2987.26548</v>
      </c>
      <c r="BH145" s="197">
        <f t="shared" si="360"/>
        <v>3458.9054799999994</v>
      </c>
      <c r="BI145" s="196">
        <f t="shared" si="361"/>
        <v>7563.4268317976839</v>
      </c>
      <c r="BJ145" s="197">
        <f t="shared" si="362"/>
        <v>410.59100264146633</v>
      </c>
      <c r="BK145" s="197">
        <f t="shared" si="363"/>
        <v>4962.8324619617051</v>
      </c>
      <c r="BL145" s="197">
        <f t="shared" si="364"/>
        <v>2600.5943698359793</v>
      </c>
      <c r="BM145" s="199">
        <f t="shared" si="365"/>
        <v>3011.1853724774451</v>
      </c>
      <c r="BN145" s="196">
        <f t="shared" si="366"/>
        <v>64916.658410115851</v>
      </c>
      <c r="BO145" s="197">
        <f t="shared" si="367"/>
        <v>3524.0898679266847</v>
      </c>
      <c r="BP145" s="197">
        <f t="shared" si="368"/>
        <v>42595.837421914795</v>
      </c>
      <c r="BQ145" s="197">
        <f t="shared" si="369"/>
        <v>22320.82098820106</v>
      </c>
      <c r="BR145" s="199">
        <f t="shared" si="370"/>
        <v>25844.910856127735</v>
      </c>
      <c r="BV145" s="895">
        <v>8</v>
      </c>
      <c r="BW145" s="906">
        <f>'Arable Inputs'!$H$18</f>
        <v>12</v>
      </c>
      <c r="BX145" s="757">
        <f>'Arable Inputs'!$H$25</f>
        <v>724</v>
      </c>
      <c r="BY145" s="759">
        <f t="shared" si="371"/>
        <v>8688</v>
      </c>
      <c r="BZ145" s="197">
        <f>'Arable NPV'!$D124</f>
        <v>471.64</v>
      </c>
      <c r="CA145" s="197">
        <f t="shared" si="402"/>
        <v>9159.64</v>
      </c>
      <c r="CB145" s="197">
        <f>'Arable NPV'!$F124</f>
        <v>2474.37212</v>
      </c>
      <c r="CC145" s="197">
        <f>'Arable NPV'!$G124</f>
        <v>3226.3624</v>
      </c>
      <c r="CD145" s="197">
        <f t="shared" si="372"/>
        <v>5700.73452</v>
      </c>
      <c r="CE145" s="197">
        <f t="shared" si="373"/>
        <v>2987.26548</v>
      </c>
      <c r="CF145" s="197">
        <f t="shared" si="374"/>
        <v>3458.9054799999994</v>
      </c>
      <c r="CG145" s="196">
        <f t="shared" si="375"/>
        <v>5069.3645540374191</v>
      </c>
      <c r="CH145" s="197">
        <f t="shared" si="376"/>
        <v>275.1974100214328</v>
      </c>
      <c r="CI145" s="197">
        <f t="shared" si="377"/>
        <v>3326.3238383592907</v>
      </c>
      <c r="CJ145" s="197">
        <f t="shared" si="378"/>
        <v>1743.040715678128</v>
      </c>
      <c r="CK145" s="197">
        <f t="shared" si="379"/>
        <v>2018.2381256995604</v>
      </c>
      <c r="CL145" s="196">
        <f t="shared" si="380"/>
        <v>53920.943074532232</v>
      </c>
      <c r="CM145" s="197">
        <f t="shared" si="381"/>
        <v>2927.1723747320884</v>
      </c>
      <c r="CN145" s="197">
        <f t="shared" si="382"/>
        <v>35380.868040508845</v>
      </c>
      <c r="CO145" s="197">
        <f t="shared" si="383"/>
        <v>18540.07503402339</v>
      </c>
      <c r="CP145" s="199">
        <f t="shared" si="384"/>
        <v>21467.247408755476</v>
      </c>
      <c r="CT145" s="895">
        <v>8</v>
      </c>
      <c r="CU145" s="906">
        <f>'Arable Inputs'!$H$18</f>
        <v>12</v>
      </c>
      <c r="CV145" s="757">
        <f>'Arable Inputs'!$H$25</f>
        <v>724</v>
      </c>
      <c r="CW145" s="759">
        <f t="shared" si="385"/>
        <v>8688</v>
      </c>
      <c r="CX145" s="197">
        <f>'Arable NPV'!$D124</f>
        <v>471.64</v>
      </c>
      <c r="CY145" s="197">
        <f t="shared" si="403"/>
        <v>9159.64</v>
      </c>
      <c r="CZ145" s="197">
        <f>'Arable NPV'!$F124</f>
        <v>2474.37212</v>
      </c>
      <c r="DA145" s="197">
        <f>'Arable NPV'!$G124</f>
        <v>3226.3624</v>
      </c>
      <c r="DB145" s="197">
        <f t="shared" si="386"/>
        <v>5700.73452</v>
      </c>
      <c r="DC145" s="197">
        <f t="shared" si="387"/>
        <v>2987.26548</v>
      </c>
      <c r="DD145" s="197">
        <f t="shared" si="388"/>
        <v>3458.9054799999994</v>
      </c>
      <c r="DE145" s="196">
        <f t="shared" si="389"/>
        <v>8688</v>
      </c>
      <c r="DF145" s="197">
        <f t="shared" si="390"/>
        <v>471.64</v>
      </c>
      <c r="DG145" s="197">
        <f t="shared" si="391"/>
        <v>5700.73452</v>
      </c>
      <c r="DH145" s="197">
        <f t="shared" si="392"/>
        <v>2987.26548</v>
      </c>
      <c r="DI145" s="199">
        <f t="shared" si="393"/>
        <v>3458.9054799999994</v>
      </c>
      <c r="DJ145" s="196">
        <f t="shared" si="394"/>
        <v>69504</v>
      </c>
      <c r="DK145" s="197">
        <f t="shared" si="395"/>
        <v>3773.1199999999994</v>
      </c>
      <c r="DL145" s="197">
        <f t="shared" si="396"/>
        <v>45605.876159999993</v>
      </c>
      <c r="DM145" s="197">
        <f t="shared" si="397"/>
        <v>23898.12384</v>
      </c>
      <c r="DN145" s="199">
        <f t="shared" si="398"/>
        <v>27671.243840000003</v>
      </c>
    </row>
    <row r="146" spans="2:118" x14ac:dyDescent="0.3">
      <c r="B146" s="895">
        <v>9</v>
      </c>
      <c r="C146" s="906">
        <f>'Arable Inputs'!$H$18</f>
        <v>12</v>
      </c>
      <c r="D146" s="757">
        <f>'Arable Inputs'!$H$25</f>
        <v>724</v>
      </c>
      <c r="E146" s="759">
        <f t="shared" si="333"/>
        <v>8688</v>
      </c>
      <c r="F146" s="197">
        <f>'Arable NPV'!$D125</f>
        <v>471.64</v>
      </c>
      <c r="G146" s="197">
        <f t="shared" si="399"/>
        <v>9159.64</v>
      </c>
      <c r="H146" s="197">
        <f>'Arable NPV'!$F125</f>
        <v>2474.37212</v>
      </c>
      <c r="I146" s="197">
        <f>'Arable NPV'!$G125</f>
        <v>3226.3624</v>
      </c>
      <c r="J146" s="197">
        <f t="shared" si="334"/>
        <v>5700.73452</v>
      </c>
      <c r="K146" s="197">
        <f t="shared" si="335"/>
        <v>2987.26548</v>
      </c>
      <c r="L146" s="197">
        <f t="shared" si="336"/>
        <v>3458.9054799999994</v>
      </c>
      <c r="M146" s="196">
        <f t="shared" si="337"/>
        <v>6348.2365010572348</v>
      </c>
      <c r="N146" s="197">
        <f t="shared" si="338"/>
        <v>344.6227282871356</v>
      </c>
      <c r="O146" s="197">
        <f t="shared" si="339"/>
        <v>4165.4708750806858</v>
      </c>
      <c r="P146" s="197">
        <f t="shared" si="340"/>
        <v>2182.7656259765495</v>
      </c>
      <c r="Q146" s="197">
        <f t="shared" si="341"/>
        <v>2527.3883542636845</v>
      </c>
      <c r="R146" s="196">
        <f t="shared" si="342"/>
        <v>67182.08747356906</v>
      </c>
      <c r="S146" s="197">
        <f t="shared" si="342"/>
        <v>3647.0717928216054</v>
      </c>
      <c r="T146" s="197">
        <f t="shared" si="342"/>
        <v>44082.325642982818</v>
      </c>
      <c r="U146" s="197">
        <f t="shared" si="342"/>
        <v>23099.761830586242</v>
      </c>
      <c r="V146" s="199">
        <f t="shared" si="342"/>
        <v>26746.833623407834</v>
      </c>
      <c r="Z146" s="895">
        <v>9</v>
      </c>
      <c r="AA146" s="906">
        <f>'Arable Inputs'!$H$18</f>
        <v>12</v>
      </c>
      <c r="AB146" s="757">
        <f>'Arable Inputs'!$H$25</f>
        <v>724</v>
      </c>
      <c r="AC146" s="759">
        <f t="shared" si="343"/>
        <v>8688</v>
      </c>
      <c r="AD146" s="197">
        <f>'Arable NPV'!$D125</f>
        <v>471.64</v>
      </c>
      <c r="AE146" s="197">
        <f t="shared" si="400"/>
        <v>9159.64</v>
      </c>
      <c r="AF146" s="197">
        <f>'Arable NPV'!$F125</f>
        <v>2474.37212</v>
      </c>
      <c r="AG146" s="197">
        <f>'Arable NPV'!$G125</f>
        <v>3226.3624</v>
      </c>
      <c r="AH146" s="197">
        <f t="shared" si="344"/>
        <v>5700.73452</v>
      </c>
      <c r="AI146" s="197">
        <f t="shared" si="345"/>
        <v>2987.26548</v>
      </c>
      <c r="AJ146" s="197">
        <f t="shared" si="346"/>
        <v>3458.9054799999994</v>
      </c>
      <c r="AK146" s="196">
        <f t="shared" si="347"/>
        <v>5450.9586822177889</v>
      </c>
      <c r="AL146" s="197">
        <f t="shared" si="348"/>
        <v>295.91277081965904</v>
      </c>
      <c r="AM146" s="197">
        <f t="shared" si="349"/>
        <v>3576.7113635834089</v>
      </c>
      <c r="AN146" s="197">
        <f t="shared" si="350"/>
        <v>1874.2473186343796</v>
      </c>
      <c r="AO146" s="199">
        <f t="shared" si="351"/>
        <v>2170.1600894540384</v>
      </c>
      <c r="AP146" s="196">
        <f t="shared" si="352"/>
        <v>62638.688629703458</v>
      </c>
      <c r="AQ146" s="197">
        <f t="shared" si="353"/>
        <v>3400.4271530056794</v>
      </c>
      <c r="AR146" s="197">
        <f t="shared" si="354"/>
        <v>41101.120460276485</v>
      </c>
      <c r="AS146" s="197">
        <f t="shared" si="355"/>
        <v>21537.568169426988</v>
      </c>
      <c r="AT146" s="199">
        <f t="shared" si="356"/>
        <v>24937.995322432667</v>
      </c>
      <c r="AX146" s="895">
        <v>9</v>
      </c>
      <c r="AY146" s="906">
        <f>'Arable Inputs'!$H$18</f>
        <v>12</v>
      </c>
      <c r="AZ146" s="757">
        <f>'Arable Inputs'!$H$25</f>
        <v>724</v>
      </c>
      <c r="BA146" s="759">
        <f t="shared" si="357"/>
        <v>8688</v>
      </c>
      <c r="BB146" s="197">
        <f>'Arable NPV'!$D125</f>
        <v>471.64</v>
      </c>
      <c r="BC146" s="197">
        <f t="shared" si="401"/>
        <v>9159.64</v>
      </c>
      <c r="BD146" s="197">
        <f>'Arable NPV'!$F125</f>
        <v>2474.37212</v>
      </c>
      <c r="BE146" s="197">
        <f>'Arable NPV'!$G125</f>
        <v>3226.3624</v>
      </c>
      <c r="BF146" s="197">
        <f t="shared" si="358"/>
        <v>5700.73452</v>
      </c>
      <c r="BG146" s="197">
        <f t="shared" si="359"/>
        <v>2987.26548</v>
      </c>
      <c r="BH146" s="197">
        <f t="shared" si="360"/>
        <v>3458.9054799999994</v>
      </c>
      <c r="BI146" s="196">
        <f t="shared" si="361"/>
        <v>7415.1243448996893</v>
      </c>
      <c r="BJ146" s="197">
        <f t="shared" si="362"/>
        <v>402.54019866810421</v>
      </c>
      <c r="BK146" s="197">
        <f t="shared" si="363"/>
        <v>4865.5220215310828</v>
      </c>
      <c r="BL146" s="197">
        <f t="shared" si="364"/>
        <v>2549.6023233686069</v>
      </c>
      <c r="BM146" s="199">
        <f t="shared" si="365"/>
        <v>2952.1425220367105</v>
      </c>
      <c r="BN146" s="196">
        <f t="shared" si="366"/>
        <v>72331.782755015534</v>
      </c>
      <c r="BO146" s="197">
        <f t="shared" si="367"/>
        <v>3926.6300665947888</v>
      </c>
      <c r="BP146" s="197">
        <f t="shared" si="368"/>
        <v>47461.359443445879</v>
      </c>
      <c r="BQ146" s="197">
        <f t="shared" si="369"/>
        <v>24870.423311569666</v>
      </c>
      <c r="BR146" s="199">
        <f t="shared" si="370"/>
        <v>28797.053378164444</v>
      </c>
      <c r="BV146" s="895">
        <v>9</v>
      </c>
      <c r="BW146" s="906">
        <f>'Arable Inputs'!$H$18</f>
        <v>12</v>
      </c>
      <c r="BX146" s="757">
        <f>'Arable Inputs'!$H$25</f>
        <v>724</v>
      </c>
      <c r="BY146" s="759">
        <f t="shared" si="371"/>
        <v>8688</v>
      </c>
      <c r="BZ146" s="197">
        <f>'Arable NPV'!$D125</f>
        <v>471.64</v>
      </c>
      <c r="CA146" s="197">
        <f t="shared" si="402"/>
        <v>9159.64</v>
      </c>
      <c r="CB146" s="197">
        <f>'Arable NPV'!$F125</f>
        <v>2474.37212</v>
      </c>
      <c r="CC146" s="197">
        <f>'Arable NPV'!$G125</f>
        <v>3226.3624</v>
      </c>
      <c r="CD146" s="197">
        <f t="shared" si="372"/>
        <v>5700.73452</v>
      </c>
      <c r="CE146" s="197">
        <f t="shared" si="373"/>
        <v>2987.26548</v>
      </c>
      <c r="CF146" s="197">
        <f t="shared" si="374"/>
        <v>3458.9054799999994</v>
      </c>
      <c r="CG146" s="196">
        <f t="shared" si="375"/>
        <v>4693.8560685531656</v>
      </c>
      <c r="CH146" s="197">
        <f t="shared" si="376"/>
        <v>254.81241668651185</v>
      </c>
      <c r="CI146" s="197">
        <f t="shared" si="377"/>
        <v>3079.9294799623062</v>
      </c>
      <c r="CJ146" s="197">
        <f t="shared" si="378"/>
        <v>1613.9265885908592</v>
      </c>
      <c r="CK146" s="197">
        <f t="shared" si="379"/>
        <v>1868.7390052773708</v>
      </c>
      <c r="CL146" s="196">
        <f t="shared" si="380"/>
        <v>58614.799143085394</v>
      </c>
      <c r="CM146" s="197">
        <f t="shared" si="381"/>
        <v>3181.9847914186003</v>
      </c>
      <c r="CN146" s="197">
        <f t="shared" si="382"/>
        <v>38460.797520471155</v>
      </c>
      <c r="CO146" s="197">
        <f t="shared" si="383"/>
        <v>20154.001622614251</v>
      </c>
      <c r="CP146" s="199">
        <f t="shared" si="384"/>
        <v>23335.986414032846</v>
      </c>
      <c r="CT146" s="895">
        <v>9</v>
      </c>
      <c r="CU146" s="906">
        <f>'Arable Inputs'!$H$18</f>
        <v>12</v>
      </c>
      <c r="CV146" s="757">
        <f>'Arable Inputs'!$H$25</f>
        <v>724</v>
      </c>
      <c r="CW146" s="759">
        <f t="shared" si="385"/>
        <v>8688</v>
      </c>
      <c r="CX146" s="197">
        <f>'Arable NPV'!$D125</f>
        <v>471.64</v>
      </c>
      <c r="CY146" s="197">
        <f t="shared" si="403"/>
        <v>9159.64</v>
      </c>
      <c r="CZ146" s="197">
        <f>'Arable NPV'!$F125</f>
        <v>2474.37212</v>
      </c>
      <c r="DA146" s="197">
        <f>'Arable NPV'!$G125</f>
        <v>3226.3624</v>
      </c>
      <c r="DB146" s="197">
        <f t="shared" si="386"/>
        <v>5700.73452</v>
      </c>
      <c r="DC146" s="197">
        <f t="shared" si="387"/>
        <v>2987.26548</v>
      </c>
      <c r="DD146" s="197">
        <f t="shared" si="388"/>
        <v>3458.9054799999994</v>
      </c>
      <c r="DE146" s="196">
        <f t="shared" si="389"/>
        <v>8688</v>
      </c>
      <c r="DF146" s="197">
        <f t="shared" si="390"/>
        <v>471.64</v>
      </c>
      <c r="DG146" s="197">
        <f t="shared" si="391"/>
        <v>5700.73452</v>
      </c>
      <c r="DH146" s="197">
        <f t="shared" si="392"/>
        <v>2987.26548</v>
      </c>
      <c r="DI146" s="199">
        <f t="shared" si="393"/>
        <v>3458.9054799999994</v>
      </c>
      <c r="DJ146" s="196">
        <f t="shared" si="394"/>
        <v>78192</v>
      </c>
      <c r="DK146" s="197">
        <f t="shared" si="395"/>
        <v>4244.7599999999993</v>
      </c>
      <c r="DL146" s="197">
        <f t="shared" si="396"/>
        <v>51306.610679999991</v>
      </c>
      <c r="DM146" s="197">
        <f t="shared" si="397"/>
        <v>26885.389320000002</v>
      </c>
      <c r="DN146" s="199">
        <f t="shared" si="398"/>
        <v>31130.149320000004</v>
      </c>
    </row>
    <row r="147" spans="2:118" x14ac:dyDescent="0.3">
      <c r="B147" s="895">
        <v>10</v>
      </c>
      <c r="C147" s="906">
        <f>'Arable Inputs'!$H$18</f>
        <v>12</v>
      </c>
      <c r="D147" s="757">
        <f>'Arable Inputs'!$H$25</f>
        <v>724</v>
      </c>
      <c r="E147" s="759">
        <f t="shared" si="333"/>
        <v>8688</v>
      </c>
      <c r="F147" s="197">
        <f>'Arable NPV'!$D126</f>
        <v>471.64</v>
      </c>
      <c r="G147" s="197">
        <f t="shared" si="399"/>
        <v>9159.64</v>
      </c>
      <c r="H147" s="197">
        <f>'Arable NPV'!$F126</f>
        <v>2474.37212</v>
      </c>
      <c r="I147" s="197">
        <f>'Arable NPV'!$G126</f>
        <v>3226.3624</v>
      </c>
      <c r="J147" s="197">
        <f t="shared" si="334"/>
        <v>5700.73452</v>
      </c>
      <c r="K147" s="197">
        <f t="shared" si="335"/>
        <v>2987.26548</v>
      </c>
      <c r="L147" s="197">
        <f t="shared" si="336"/>
        <v>3458.9054799999994</v>
      </c>
      <c r="M147" s="196">
        <f t="shared" si="337"/>
        <v>6104.0735587088793</v>
      </c>
      <c r="N147" s="197">
        <f t="shared" si="338"/>
        <v>331.36800796839958</v>
      </c>
      <c r="O147" s="197">
        <f t="shared" si="339"/>
        <v>4005.2604568083511</v>
      </c>
      <c r="P147" s="197">
        <f t="shared" si="340"/>
        <v>2098.8131019005282</v>
      </c>
      <c r="Q147" s="197">
        <f t="shared" si="341"/>
        <v>2430.1811098689273</v>
      </c>
      <c r="R147" s="196">
        <f t="shared" si="342"/>
        <v>73286.161032277945</v>
      </c>
      <c r="S147" s="197">
        <f t="shared" si="342"/>
        <v>3978.4398007900049</v>
      </c>
      <c r="T147" s="197">
        <f t="shared" si="342"/>
        <v>48087.586099791166</v>
      </c>
      <c r="U147" s="197">
        <f t="shared" si="342"/>
        <v>25198.574932486768</v>
      </c>
      <c r="V147" s="199">
        <f t="shared" si="342"/>
        <v>29177.014733276763</v>
      </c>
      <c r="Z147" s="895">
        <v>10</v>
      </c>
      <c r="AA147" s="906">
        <f>'Arable Inputs'!$H$18</f>
        <v>12</v>
      </c>
      <c r="AB147" s="757">
        <f>'Arable Inputs'!$H$25</f>
        <v>724</v>
      </c>
      <c r="AC147" s="759">
        <f t="shared" si="343"/>
        <v>8688</v>
      </c>
      <c r="AD147" s="197">
        <f>'Arable NPV'!$D126</f>
        <v>471.64</v>
      </c>
      <c r="AE147" s="197">
        <f t="shared" si="400"/>
        <v>9159.64</v>
      </c>
      <c r="AF147" s="197">
        <f>'Arable NPV'!$F126</f>
        <v>2474.37212</v>
      </c>
      <c r="AG147" s="197">
        <f>'Arable NPV'!$G126</f>
        <v>3226.3624</v>
      </c>
      <c r="AH147" s="197">
        <f t="shared" si="344"/>
        <v>5700.73452</v>
      </c>
      <c r="AI147" s="197">
        <f t="shared" si="345"/>
        <v>2987.26548</v>
      </c>
      <c r="AJ147" s="197">
        <f t="shared" si="346"/>
        <v>3458.9054799999994</v>
      </c>
      <c r="AK147" s="196">
        <f t="shared" si="347"/>
        <v>5142.4138511488572</v>
      </c>
      <c r="AL147" s="197">
        <f t="shared" si="348"/>
        <v>279.16299133930096</v>
      </c>
      <c r="AM147" s="197">
        <f t="shared" si="349"/>
        <v>3374.2560033805744</v>
      </c>
      <c r="AN147" s="197">
        <f t="shared" si="350"/>
        <v>1768.1578477682826</v>
      </c>
      <c r="AO147" s="199">
        <f t="shared" si="351"/>
        <v>2047.3208391075832</v>
      </c>
      <c r="AP147" s="196">
        <f t="shared" si="352"/>
        <v>67781.102480852322</v>
      </c>
      <c r="AQ147" s="197">
        <f t="shared" si="353"/>
        <v>3679.5901443449802</v>
      </c>
      <c r="AR147" s="197">
        <f t="shared" si="354"/>
        <v>44475.376463657056</v>
      </c>
      <c r="AS147" s="197">
        <f t="shared" si="355"/>
        <v>23305.726017195269</v>
      </c>
      <c r="AT147" s="199">
        <f t="shared" si="356"/>
        <v>26985.31616154025</v>
      </c>
      <c r="AX147" s="895">
        <v>10</v>
      </c>
      <c r="AY147" s="906">
        <f>'Arable Inputs'!$H$18</f>
        <v>12</v>
      </c>
      <c r="AZ147" s="757">
        <f>'Arable Inputs'!$H$25</f>
        <v>724</v>
      </c>
      <c r="BA147" s="759">
        <f t="shared" si="357"/>
        <v>8688</v>
      </c>
      <c r="BB147" s="197">
        <f>'Arable NPV'!$D126</f>
        <v>471.64</v>
      </c>
      <c r="BC147" s="197">
        <f t="shared" si="401"/>
        <v>9159.64</v>
      </c>
      <c r="BD147" s="197">
        <f>'Arable NPV'!$F126</f>
        <v>2474.37212</v>
      </c>
      <c r="BE147" s="197">
        <f>'Arable NPV'!$G126</f>
        <v>3226.3624</v>
      </c>
      <c r="BF147" s="197">
        <f t="shared" si="358"/>
        <v>5700.73452</v>
      </c>
      <c r="BG147" s="197">
        <f t="shared" si="359"/>
        <v>2987.26548</v>
      </c>
      <c r="BH147" s="197">
        <f t="shared" si="360"/>
        <v>3458.9054799999994</v>
      </c>
      <c r="BI147" s="196">
        <f t="shared" si="361"/>
        <v>7269.7297499016568</v>
      </c>
      <c r="BJ147" s="197">
        <f t="shared" si="362"/>
        <v>394.64725359618063</v>
      </c>
      <c r="BK147" s="197">
        <f t="shared" si="363"/>
        <v>4770.1196289520421</v>
      </c>
      <c r="BL147" s="197">
        <f t="shared" si="364"/>
        <v>2499.6101209496146</v>
      </c>
      <c r="BM147" s="199">
        <f t="shared" si="365"/>
        <v>2894.2573745457948</v>
      </c>
      <c r="BN147" s="196">
        <f t="shared" si="366"/>
        <v>79601.512504917191</v>
      </c>
      <c r="BO147" s="197">
        <f t="shared" si="367"/>
        <v>4321.2773201909695</v>
      </c>
      <c r="BP147" s="197">
        <f t="shared" si="368"/>
        <v>52231.479072397924</v>
      </c>
      <c r="BQ147" s="197">
        <f t="shared" si="369"/>
        <v>27370.033432519282</v>
      </c>
      <c r="BR147" s="199">
        <f t="shared" si="370"/>
        <v>31691.31075271024</v>
      </c>
      <c r="BV147" s="895">
        <v>10</v>
      </c>
      <c r="BW147" s="906">
        <f>'Arable Inputs'!$H$18</f>
        <v>12</v>
      </c>
      <c r="BX147" s="757">
        <f>'Arable Inputs'!$H$25</f>
        <v>724</v>
      </c>
      <c r="BY147" s="759">
        <f t="shared" si="371"/>
        <v>8688</v>
      </c>
      <c r="BZ147" s="197">
        <f>'Arable NPV'!$D126</f>
        <v>471.64</v>
      </c>
      <c r="CA147" s="197">
        <f t="shared" si="402"/>
        <v>9159.64</v>
      </c>
      <c r="CB147" s="197">
        <f>'Arable NPV'!$F126</f>
        <v>2474.37212</v>
      </c>
      <c r="CC147" s="197">
        <f>'Arable NPV'!$G126</f>
        <v>3226.3624</v>
      </c>
      <c r="CD147" s="197">
        <f t="shared" si="372"/>
        <v>5700.73452</v>
      </c>
      <c r="CE147" s="197">
        <f t="shared" si="373"/>
        <v>2987.26548</v>
      </c>
      <c r="CF147" s="197">
        <f t="shared" si="374"/>
        <v>3458.9054799999994</v>
      </c>
      <c r="CG147" s="196">
        <f t="shared" si="375"/>
        <v>4346.1630264381156</v>
      </c>
      <c r="CH147" s="197">
        <f t="shared" si="376"/>
        <v>235.93742285788133</v>
      </c>
      <c r="CI147" s="197">
        <f t="shared" si="377"/>
        <v>2851.7865555206536</v>
      </c>
      <c r="CJ147" s="197">
        <f t="shared" si="378"/>
        <v>1494.376470917462</v>
      </c>
      <c r="CK147" s="197">
        <f t="shared" si="379"/>
        <v>1730.3138937753431</v>
      </c>
      <c r="CL147" s="196">
        <f t="shared" si="380"/>
        <v>62960.962169523511</v>
      </c>
      <c r="CM147" s="197">
        <f t="shared" si="381"/>
        <v>3417.9222142764816</v>
      </c>
      <c r="CN147" s="197">
        <f t="shared" si="382"/>
        <v>41312.584075991806</v>
      </c>
      <c r="CO147" s="197">
        <f t="shared" si="383"/>
        <v>21648.378093531712</v>
      </c>
      <c r="CP147" s="199">
        <f t="shared" si="384"/>
        <v>25066.300307808189</v>
      </c>
      <c r="CT147" s="895">
        <v>10</v>
      </c>
      <c r="CU147" s="906">
        <f>'Arable Inputs'!$H$18</f>
        <v>12</v>
      </c>
      <c r="CV147" s="757">
        <f>'Arable Inputs'!$H$25</f>
        <v>724</v>
      </c>
      <c r="CW147" s="759">
        <f t="shared" si="385"/>
        <v>8688</v>
      </c>
      <c r="CX147" s="197">
        <f>'Arable NPV'!$D126</f>
        <v>471.64</v>
      </c>
      <c r="CY147" s="197">
        <f t="shared" si="403"/>
        <v>9159.64</v>
      </c>
      <c r="CZ147" s="197">
        <f>'Arable NPV'!$F126</f>
        <v>2474.37212</v>
      </c>
      <c r="DA147" s="197">
        <f>'Arable NPV'!$G126</f>
        <v>3226.3624</v>
      </c>
      <c r="DB147" s="197">
        <f t="shared" si="386"/>
        <v>5700.73452</v>
      </c>
      <c r="DC147" s="197">
        <f t="shared" si="387"/>
        <v>2987.26548</v>
      </c>
      <c r="DD147" s="197">
        <f t="shared" si="388"/>
        <v>3458.9054799999994</v>
      </c>
      <c r="DE147" s="196">
        <f t="shared" si="389"/>
        <v>8688</v>
      </c>
      <c r="DF147" s="197">
        <f t="shared" si="390"/>
        <v>471.64</v>
      </c>
      <c r="DG147" s="197">
        <f t="shared" si="391"/>
        <v>5700.73452</v>
      </c>
      <c r="DH147" s="197">
        <f t="shared" si="392"/>
        <v>2987.26548</v>
      </c>
      <c r="DI147" s="199">
        <f t="shared" si="393"/>
        <v>3458.9054799999994</v>
      </c>
      <c r="DJ147" s="196">
        <f t="shared" si="394"/>
        <v>86880</v>
      </c>
      <c r="DK147" s="197">
        <f t="shared" si="395"/>
        <v>4716.3999999999996</v>
      </c>
      <c r="DL147" s="197">
        <f t="shared" si="396"/>
        <v>57007.345199999989</v>
      </c>
      <c r="DM147" s="197">
        <f t="shared" si="397"/>
        <v>29872.654800000004</v>
      </c>
      <c r="DN147" s="199">
        <f t="shared" si="398"/>
        <v>34589.054800000005</v>
      </c>
    </row>
    <row r="148" spans="2:118" x14ac:dyDescent="0.3">
      <c r="B148" s="895">
        <v>11</v>
      </c>
      <c r="C148" s="906">
        <f>'Arable Inputs'!$H$18</f>
        <v>12</v>
      </c>
      <c r="D148" s="757">
        <f>'Arable Inputs'!$H$25</f>
        <v>724</v>
      </c>
      <c r="E148" s="759">
        <f t="shared" si="333"/>
        <v>8688</v>
      </c>
      <c r="F148" s="197">
        <f>'Arable NPV'!$D127</f>
        <v>471.64</v>
      </c>
      <c r="G148" s="197">
        <f t="shared" si="399"/>
        <v>9159.64</v>
      </c>
      <c r="H148" s="197">
        <f>'Arable NPV'!$F127</f>
        <v>2474.37212</v>
      </c>
      <c r="I148" s="197">
        <f>'Arable NPV'!$G127</f>
        <v>3226.3624</v>
      </c>
      <c r="J148" s="197">
        <f t="shared" si="334"/>
        <v>5700.73452</v>
      </c>
      <c r="K148" s="197">
        <f t="shared" si="335"/>
        <v>2987.26548</v>
      </c>
      <c r="L148" s="197">
        <f t="shared" si="336"/>
        <v>3458.9054799999994</v>
      </c>
      <c r="M148" s="196">
        <f t="shared" si="337"/>
        <v>5869.3014987585375</v>
      </c>
      <c r="N148" s="197">
        <f t="shared" si="338"/>
        <v>318.62308458499962</v>
      </c>
      <c r="O148" s="197">
        <f t="shared" si="339"/>
        <v>3851.2119777003377</v>
      </c>
      <c r="P148" s="197">
        <f t="shared" si="340"/>
        <v>2018.0895210582003</v>
      </c>
      <c r="Q148" s="197">
        <f t="shared" si="341"/>
        <v>2336.7126056431994</v>
      </c>
      <c r="R148" s="196">
        <f t="shared" si="342"/>
        <v>79155.462531036479</v>
      </c>
      <c r="S148" s="197">
        <f t="shared" si="342"/>
        <v>4297.062885375005</v>
      </c>
      <c r="T148" s="197">
        <f t="shared" si="342"/>
        <v>51938.798077491505</v>
      </c>
      <c r="U148" s="197">
        <f t="shared" si="342"/>
        <v>27216.664453544967</v>
      </c>
      <c r="V148" s="199">
        <f t="shared" si="342"/>
        <v>31513.727338919962</v>
      </c>
      <c r="Z148" s="895">
        <v>11</v>
      </c>
      <c r="AA148" s="906">
        <f>'Arable Inputs'!$H$18</f>
        <v>12</v>
      </c>
      <c r="AB148" s="757">
        <f>'Arable Inputs'!$H$25</f>
        <v>724</v>
      </c>
      <c r="AC148" s="759">
        <f t="shared" si="343"/>
        <v>8688</v>
      </c>
      <c r="AD148" s="197">
        <f>'Arable NPV'!$D127</f>
        <v>471.64</v>
      </c>
      <c r="AE148" s="197">
        <f t="shared" si="400"/>
        <v>9159.64</v>
      </c>
      <c r="AF148" s="197">
        <f>'Arable NPV'!$F127</f>
        <v>2474.37212</v>
      </c>
      <c r="AG148" s="197">
        <f>'Arable NPV'!$G127</f>
        <v>3226.3624</v>
      </c>
      <c r="AH148" s="197">
        <f t="shared" si="344"/>
        <v>5700.73452</v>
      </c>
      <c r="AI148" s="197">
        <f t="shared" si="345"/>
        <v>2987.26548</v>
      </c>
      <c r="AJ148" s="197">
        <f t="shared" si="346"/>
        <v>3458.9054799999994</v>
      </c>
      <c r="AK148" s="196">
        <f t="shared" si="347"/>
        <v>4851.3338218385443</v>
      </c>
      <c r="AL148" s="197">
        <f t="shared" si="348"/>
        <v>263.36131258424621</v>
      </c>
      <c r="AM148" s="197">
        <f t="shared" si="349"/>
        <v>3183.2603805477115</v>
      </c>
      <c r="AN148" s="197">
        <f t="shared" si="350"/>
        <v>1668.0734412908325</v>
      </c>
      <c r="AO148" s="199">
        <f t="shared" si="351"/>
        <v>1931.4347538750785</v>
      </c>
      <c r="AP148" s="196">
        <f t="shared" si="352"/>
        <v>72632.436302690869</v>
      </c>
      <c r="AQ148" s="197">
        <f t="shared" si="353"/>
        <v>3942.9514569292264</v>
      </c>
      <c r="AR148" s="197">
        <f t="shared" si="354"/>
        <v>47658.636844204768</v>
      </c>
      <c r="AS148" s="197">
        <f t="shared" si="355"/>
        <v>24973.799458486101</v>
      </c>
      <c r="AT148" s="199">
        <f t="shared" si="356"/>
        <v>28916.750915415327</v>
      </c>
      <c r="AX148" s="895">
        <v>11</v>
      </c>
      <c r="AY148" s="906">
        <f>'Arable Inputs'!$H$18</f>
        <v>12</v>
      </c>
      <c r="AZ148" s="757">
        <f>'Arable Inputs'!$H$25</f>
        <v>724</v>
      </c>
      <c r="BA148" s="759">
        <f t="shared" si="357"/>
        <v>8688</v>
      </c>
      <c r="BB148" s="197">
        <f>'Arable NPV'!$D127</f>
        <v>471.64</v>
      </c>
      <c r="BC148" s="197">
        <f t="shared" si="401"/>
        <v>9159.64</v>
      </c>
      <c r="BD148" s="197">
        <f>'Arable NPV'!$F127</f>
        <v>2474.37212</v>
      </c>
      <c r="BE148" s="197">
        <f>'Arable NPV'!$G127</f>
        <v>3226.3624</v>
      </c>
      <c r="BF148" s="197">
        <f t="shared" si="358"/>
        <v>5700.73452</v>
      </c>
      <c r="BG148" s="197">
        <f t="shared" si="359"/>
        <v>2987.26548</v>
      </c>
      <c r="BH148" s="197">
        <f t="shared" si="360"/>
        <v>3458.9054799999994</v>
      </c>
      <c r="BI148" s="196">
        <f t="shared" si="361"/>
        <v>7127.1860293153495</v>
      </c>
      <c r="BJ148" s="197">
        <f t="shared" si="362"/>
        <v>386.90907215311825</v>
      </c>
      <c r="BK148" s="197">
        <f t="shared" si="363"/>
        <v>4676.5878715216095</v>
      </c>
      <c r="BL148" s="197">
        <f t="shared" si="364"/>
        <v>2450.5981577937396</v>
      </c>
      <c r="BM148" s="199">
        <f t="shared" si="365"/>
        <v>2837.5072299468575</v>
      </c>
      <c r="BN148" s="196">
        <f t="shared" si="366"/>
        <v>86728.698534232535</v>
      </c>
      <c r="BO148" s="197">
        <f t="shared" si="367"/>
        <v>4708.1863923440878</v>
      </c>
      <c r="BP148" s="197">
        <f t="shared" si="368"/>
        <v>56908.066943919534</v>
      </c>
      <c r="BQ148" s="197">
        <f t="shared" si="369"/>
        <v>29820.63159031302</v>
      </c>
      <c r="BR148" s="199">
        <f t="shared" si="370"/>
        <v>34528.817982657099</v>
      </c>
      <c r="BV148" s="895">
        <v>11</v>
      </c>
      <c r="BW148" s="906">
        <f>'Arable Inputs'!$H$18</f>
        <v>12</v>
      </c>
      <c r="BX148" s="757">
        <f>'Arable Inputs'!$H$25</f>
        <v>724</v>
      </c>
      <c r="BY148" s="759">
        <f t="shared" si="371"/>
        <v>8688</v>
      </c>
      <c r="BZ148" s="197">
        <f>'Arable NPV'!$D127</f>
        <v>471.64</v>
      </c>
      <c r="CA148" s="197">
        <f t="shared" si="402"/>
        <v>9159.64</v>
      </c>
      <c r="CB148" s="197">
        <f>'Arable NPV'!$F127</f>
        <v>2474.37212</v>
      </c>
      <c r="CC148" s="197">
        <f>'Arable NPV'!$G127</f>
        <v>3226.3624</v>
      </c>
      <c r="CD148" s="197">
        <f t="shared" si="372"/>
        <v>5700.73452</v>
      </c>
      <c r="CE148" s="197">
        <f t="shared" si="373"/>
        <v>2987.26548</v>
      </c>
      <c r="CF148" s="197">
        <f t="shared" si="374"/>
        <v>3458.9054799999994</v>
      </c>
      <c r="CG148" s="196">
        <f t="shared" si="375"/>
        <v>4024.2250244797369</v>
      </c>
      <c r="CH148" s="197">
        <f t="shared" si="376"/>
        <v>218.46057672026046</v>
      </c>
      <c r="CI148" s="197">
        <f t="shared" si="377"/>
        <v>2640.5431069635683</v>
      </c>
      <c r="CJ148" s="197">
        <f t="shared" si="378"/>
        <v>1383.6819175161686</v>
      </c>
      <c r="CK148" s="197">
        <f t="shared" si="379"/>
        <v>1602.1424942364288</v>
      </c>
      <c r="CL148" s="196">
        <f t="shared" si="380"/>
        <v>66985.187194003243</v>
      </c>
      <c r="CM148" s="197">
        <f t="shared" si="381"/>
        <v>3636.3827909967422</v>
      </c>
      <c r="CN148" s="197">
        <f t="shared" si="382"/>
        <v>43953.127182955373</v>
      </c>
      <c r="CO148" s="197">
        <f t="shared" si="383"/>
        <v>23032.060011047881</v>
      </c>
      <c r="CP148" s="199">
        <f t="shared" si="384"/>
        <v>26668.442802044618</v>
      </c>
      <c r="CT148" s="895">
        <v>11</v>
      </c>
      <c r="CU148" s="906">
        <f>'Arable Inputs'!$H$18</f>
        <v>12</v>
      </c>
      <c r="CV148" s="757">
        <f>'Arable Inputs'!$H$25</f>
        <v>724</v>
      </c>
      <c r="CW148" s="759">
        <f t="shared" si="385"/>
        <v>8688</v>
      </c>
      <c r="CX148" s="197">
        <f>'Arable NPV'!$D127</f>
        <v>471.64</v>
      </c>
      <c r="CY148" s="197">
        <f t="shared" si="403"/>
        <v>9159.64</v>
      </c>
      <c r="CZ148" s="197">
        <f>'Arable NPV'!$F127</f>
        <v>2474.37212</v>
      </c>
      <c r="DA148" s="197">
        <f>'Arable NPV'!$G127</f>
        <v>3226.3624</v>
      </c>
      <c r="DB148" s="197">
        <f t="shared" si="386"/>
        <v>5700.73452</v>
      </c>
      <c r="DC148" s="197">
        <f t="shared" si="387"/>
        <v>2987.26548</v>
      </c>
      <c r="DD148" s="197">
        <f t="shared" si="388"/>
        <v>3458.9054799999994</v>
      </c>
      <c r="DE148" s="196">
        <f t="shared" si="389"/>
        <v>8688</v>
      </c>
      <c r="DF148" s="197">
        <f t="shared" si="390"/>
        <v>471.64</v>
      </c>
      <c r="DG148" s="197">
        <f t="shared" si="391"/>
        <v>5700.73452</v>
      </c>
      <c r="DH148" s="197">
        <f t="shared" si="392"/>
        <v>2987.26548</v>
      </c>
      <c r="DI148" s="199">
        <f t="shared" si="393"/>
        <v>3458.9054799999994</v>
      </c>
      <c r="DJ148" s="196">
        <f t="shared" si="394"/>
        <v>95568</v>
      </c>
      <c r="DK148" s="197">
        <f t="shared" si="395"/>
        <v>5188.04</v>
      </c>
      <c r="DL148" s="197">
        <f t="shared" si="396"/>
        <v>62708.079719999987</v>
      </c>
      <c r="DM148" s="197">
        <f t="shared" si="397"/>
        <v>32859.920280000006</v>
      </c>
      <c r="DN148" s="199">
        <f t="shared" si="398"/>
        <v>38047.960280000007</v>
      </c>
    </row>
    <row r="149" spans="2:118" x14ac:dyDescent="0.3">
      <c r="B149" s="895">
        <v>12</v>
      </c>
      <c r="C149" s="906">
        <f>'Arable Inputs'!$H$18</f>
        <v>12</v>
      </c>
      <c r="D149" s="757">
        <f>'Arable Inputs'!$H$25</f>
        <v>724</v>
      </c>
      <c r="E149" s="759">
        <f t="shared" si="333"/>
        <v>8688</v>
      </c>
      <c r="F149" s="197">
        <f>'Arable NPV'!$D128</f>
        <v>471.64</v>
      </c>
      <c r="G149" s="197">
        <f t="shared" si="399"/>
        <v>9159.64</v>
      </c>
      <c r="H149" s="197">
        <f>'Arable NPV'!$F128</f>
        <v>2474.37212</v>
      </c>
      <c r="I149" s="197">
        <f>'Arable NPV'!$G128</f>
        <v>3226.3624</v>
      </c>
      <c r="J149" s="197">
        <f t="shared" si="334"/>
        <v>5700.73452</v>
      </c>
      <c r="K149" s="197">
        <f t="shared" si="335"/>
        <v>2987.26548</v>
      </c>
      <c r="L149" s="197">
        <f t="shared" si="336"/>
        <v>3458.9054799999994</v>
      </c>
      <c r="M149" s="196">
        <f t="shared" si="337"/>
        <v>5643.5591334216715</v>
      </c>
      <c r="N149" s="197">
        <f t="shared" si="338"/>
        <v>306.36835056249964</v>
      </c>
      <c r="O149" s="197">
        <f t="shared" si="339"/>
        <v>3703.0884400964787</v>
      </c>
      <c r="P149" s="197">
        <f t="shared" si="340"/>
        <v>1940.4706933251925</v>
      </c>
      <c r="Q149" s="197">
        <f t="shared" si="341"/>
        <v>2246.8390438876918</v>
      </c>
      <c r="R149" s="196">
        <f t="shared" si="342"/>
        <v>84799.021664458152</v>
      </c>
      <c r="S149" s="197">
        <f t="shared" si="342"/>
        <v>4603.4312359375044</v>
      </c>
      <c r="T149" s="197">
        <f t="shared" si="342"/>
        <v>55641.886517587984</v>
      </c>
      <c r="U149" s="197">
        <f t="shared" si="342"/>
        <v>29157.135146870158</v>
      </c>
      <c r="V149" s="199">
        <f t="shared" si="342"/>
        <v>33760.56638280765</v>
      </c>
      <c r="Z149" s="895">
        <v>12</v>
      </c>
      <c r="AA149" s="906">
        <f>'Arable Inputs'!$H$18</f>
        <v>12</v>
      </c>
      <c r="AB149" s="757">
        <f>'Arable Inputs'!$H$25</f>
        <v>724</v>
      </c>
      <c r="AC149" s="759">
        <f t="shared" si="343"/>
        <v>8688</v>
      </c>
      <c r="AD149" s="197">
        <f>'Arable NPV'!$D128</f>
        <v>471.64</v>
      </c>
      <c r="AE149" s="197">
        <f t="shared" si="400"/>
        <v>9159.64</v>
      </c>
      <c r="AF149" s="197">
        <f>'Arable NPV'!$F128</f>
        <v>2474.37212</v>
      </c>
      <c r="AG149" s="197">
        <f>'Arable NPV'!$G128</f>
        <v>3226.3624</v>
      </c>
      <c r="AH149" s="197">
        <f t="shared" si="344"/>
        <v>5700.73452</v>
      </c>
      <c r="AI149" s="197">
        <f t="shared" si="345"/>
        <v>2987.26548</v>
      </c>
      <c r="AJ149" s="197">
        <f t="shared" si="346"/>
        <v>3458.9054799999994</v>
      </c>
      <c r="AK149" s="196">
        <f t="shared" si="347"/>
        <v>4576.7300206023992</v>
      </c>
      <c r="AL149" s="197">
        <f t="shared" si="348"/>
        <v>248.45406847570391</v>
      </c>
      <c r="AM149" s="197">
        <f t="shared" si="349"/>
        <v>3003.0758307053879</v>
      </c>
      <c r="AN149" s="197">
        <f t="shared" si="350"/>
        <v>1573.6541898970115</v>
      </c>
      <c r="AO149" s="199">
        <f t="shared" si="351"/>
        <v>1822.1082583727152</v>
      </c>
      <c r="AP149" s="196">
        <f t="shared" si="352"/>
        <v>77209.166323293262</v>
      </c>
      <c r="AQ149" s="197">
        <f t="shared" si="353"/>
        <v>4191.4055254049299</v>
      </c>
      <c r="AR149" s="197">
        <f t="shared" si="354"/>
        <v>50661.712674910159</v>
      </c>
      <c r="AS149" s="197">
        <f t="shared" si="355"/>
        <v>26547.453648383111</v>
      </c>
      <c r="AT149" s="199">
        <f t="shared" si="356"/>
        <v>30738.859173788042</v>
      </c>
      <c r="AX149" s="895">
        <v>12</v>
      </c>
      <c r="AY149" s="906">
        <f>'Arable Inputs'!$H$18</f>
        <v>12</v>
      </c>
      <c r="AZ149" s="757">
        <f>'Arable Inputs'!$H$25</f>
        <v>724</v>
      </c>
      <c r="BA149" s="759">
        <f t="shared" si="357"/>
        <v>8688</v>
      </c>
      <c r="BB149" s="197">
        <f>'Arable NPV'!$D128</f>
        <v>471.64</v>
      </c>
      <c r="BC149" s="197">
        <f t="shared" si="401"/>
        <v>9159.64</v>
      </c>
      <c r="BD149" s="197">
        <f>'Arable NPV'!$F128</f>
        <v>2474.37212</v>
      </c>
      <c r="BE149" s="197">
        <f>'Arable NPV'!$G128</f>
        <v>3226.3624</v>
      </c>
      <c r="BF149" s="197">
        <f t="shared" si="358"/>
        <v>5700.73452</v>
      </c>
      <c r="BG149" s="197">
        <f t="shared" si="359"/>
        <v>2987.26548</v>
      </c>
      <c r="BH149" s="197">
        <f t="shared" si="360"/>
        <v>3458.9054799999994</v>
      </c>
      <c r="BI149" s="196">
        <f t="shared" si="361"/>
        <v>6987.4372836425009</v>
      </c>
      <c r="BJ149" s="197">
        <f t="shared" si="362"/>
        <v>379.3226197579591</v>
      </c>
      <c r="BK149" s="197">
        <f t="shared" si="363"/>
        <v>4584.890070119226</v>
      </c>
      <c r="BL149" s="197">
        <f t="shared" si="364"/>
        <v>2402.5472135232749</v>
      </c>
      <c r="BM149" s="199">
        <f t="shared" si="365"/>
        <v>2781.8698332812332</v>
      </c>
      <c r="BN149" s="196">
        <f t="shared" si="366"/>
        <v>93716.135817875038</v>
      </c>
      <c r="BO149" s="197">
        <f t="shared" si="367"/>
        <v>5087.5090121020467</v>
      </c>
      <c r="BP149" s="197">
        <f t="shared" si="368"/>
        <v>61492.957014038759</v>
      </c>
      <c r="BQ149" s="197">
        <f t="shared" si="369"/>
        <v>32223.178803836294</v>
      </c>
      <c r="BR149" s="199">
        <f t="shared" si="370"/>
        <v>37310.687815938334</v>
      </c>
      <c r="BV149" s="895">
        <v>12</v>
      </c>
      <c r="BW149" s="906">
        <f>'Arable Inputs'!$H$18</f>
        <v>12</v>
      </c>
      <c r="BX149" s="757">
        <f>'Arable Inputs'!$H$25</f>
        <v>724</v>
      </c>
      <c r="BY149" s="759">
        <f t="shared" si="371"/>
        <v>8688</v>
      </c>
      <c r="BZ149" s="197">
        <f>'Arable NPV'!$D128</f>
        <v>471.64</v>
      </c>
      <c r="CA149" s="197">
        <f t="shared" si="402"/>
        <v>9159.64</v>
      </c>
      <c r="CB149" s="197">
        <f>'Arable NPV'!$F128</f>
        <v>2474.37212</v>
      </c>
      <c r="CC149" s="197">
        <f>'Arable NPV'!$G128</f>
        <v>3226.3624</v>
      </c>
      <c r="CD149" s="197">
        <f t="shared" si="372"/>
        <v>5700.73452</v>
      </c>
      <c r="CE149" s="197">
        <f t="shared" si="373"/>
        <v>2987.26548</v>
      </c>
      <c r="CF149" s="197">
        <f t="shared" si="374"/>
        <v>3458.9054799999994</v>
      </c>
      <c r="CG149" s="196">
        <f t="shared" si="375"/>
        <v>3726.1342819256824</v>
      </c>
      <c r="CH149" s="197">
        <f t="shared" si="376"/>
        <v>202.27831177801897</v>
      </c>
      <c r="CI149" s="197">
        <f t="shared" si="377"/>
        <v>2444.947321262563</v>
      </c>
      <c r="CJ149" s="197">
        <f t="shared" si="378"/>
        <v>1281.1869606631192</v>
      </c>
      <c r="CK149" s="197">
        <f t="shared" si="379"/>
        <v>1483.4652724411378</v>
      </c>
      <c r="CL149" s="196">
        <f t="shared" si="380"/>
        <v>70711.321475928926</v>
      </c>
      <c r="CM149" s="197">
        <f t="shared" si="381"/>
        <v>3838.6611027747613</v>
      </c>
      <c r="CN149" s="197">
        <f t="shared" si="382"/>
        <v>46398.074504217933</v>
      </c>
      <c r="CO149" s="197">
        <f t="shared" si="383"/>
        <v>24313.246971711</v>
      </c>
      <c r="CP149" s="199">
        <f t="shared" si="384"/>
        <v>28151.908074485757</v>
      </c>
      <c r="CT149" s="895">
        <v>12</v>
      </c>
      <c r="CU149" s="906">
        <f>'Arable Inputs'!$H$18</f>
        <v>12</v>
      </c>
      <c r="CV149" s="757">
        <f>'Arable Inputs'!$H$25</f>
        <v>724</v>
      </c>
      <c r="CW149" s="759">
        <f t="shared" si="385"/>
        <v>8688</v>
      </c>
      <c r="CX149" s="197">
        <f>'Arable NPV'!$D128</f>
        <v>471.64</v>
      </c>
      <c r="CY149" s="197">
        <f t="shared" si="403"/>
        <v>9159.64</v>
      </c>
      <c r="CZ149" s="197">
        <f>'Arable NPV'!$F128</f>
        <v>2474.37212</v>
      </c>
      <c r="DA149" s="197">
        <f>'Arable NPV'!$G128</f>
        <v>3226.3624</v>
      </c>
      <c r="DB149" s="197">
        <f t="shared" si="386"/>
        <v>5700.73452</v>
      </c>
      <c r="DC149" s="197">
        <f t="shared" si="387"/>
        <v>2987.26548</v>
      </c>
      <c r="DD149" s="197">
        <f t="shared" si="388"/>
        <v>3458.9054799999994</v>
      </c>
      <c r="DE149" s="196">
        <f t="shared" si="389"/>
        <v>8688</v>
      </c>
      <c r="DF149" s="197">
        <f t="shared" si="390"/>
        <v>471.64</v>
      </c>
      <c r="DG149" s="197">
        <f t="shared" si="391"/>
        <v>5700.73452</v>
      </c>
      <c r="DH149" s="197">
        <f t="shared" si="392"/>
        <v>2987.26548</v>
      </c>
      <c r="DI149" s="199">
        <f t="shared" si="393"/>
        <v>3458.9054799999994</v>
      </c>
      <c r="DJ149" s="196">
        <f t="shared" si="394"/>
        <v>104256</v>
      </c>
      <c r="DK149" s="197">
        <f t="shared" si="395"/>
        <v>5659.68</v>
      </c>
      <c r="DL149" s="197">
        <f t="shared" si="396"/>
        <v>68408.814239999992</v>
      </c>
      <c r="DM149" s="197">
        <f t="shared" si="397"/>
        <v>35847.185760000008</v>
      </c>
      <c r="DN149" s="199">
        <f t="shared" si="398"/>
        <v>41506.865760000008</v>
      </c>
    </row>
    <row r="150" spans="2:118" x14ac:dyDescent="0.3">
      <c r="B150" s="895">
        <v>13</v>
      </c>
      <c r="C150" s="906">
        <f>'Arable Inputs'!$H$18</f>
        <v>12</v>
      </c>
      <c r="D150" s="757">
        <f>'Arable Inputs'!$H$25</f>
        <v>724</v>
      </c>
      <c r="E150" s="759">
        <f t="shared" si="333"/>
        <v>8688</v>
      </c>
      <c r="F150" s="197">
        <f>'Arable NPV'!$D129</f>
        <v>471.64</v>
      </c>
      <c r="G150" s="197">
        <f t="shared" si="399"/>
        <v>9159.64</v>
      </c>
      <c r="H150" s="197">
        <f>'Arable NPV'!$F129</f>
        <v>2474.37212</v>
      </c>
      <c r="I150" s="197">
        <f>'Arable NPV'!$G129</f>
        <v>3226.3624</v>
      </c>
      <c r="J150" s="197">
        <f t="shared" si="334"/>
        <v>5700.73452</v>
      </c>
      <c r="K150" s="197">
        <f t="shared" si="335"/>
        <v>2987.26548</v>
      </c>
      <c r="L150" s="197">
        <f t="shared" si="336"/>
        <v>3458.9054799999994</v>
      </c>
      <c r="M150" s="196">
        <f t="shared" si="337"/>
        <v>5426.499166751606</v>
      </c>
      <c r="N150" s="197">
        <f t="shared" si="338"/>
        <v>294.58495246394193</v>
      </c>
      <c r="O150" s="197">
        <f t="shared" si="339"/>
        <v>3560.6619616312287</v>
      </c>
      <c r="P150" s="197">
        <f t="shared" si="340"/>
        <v>1865.8372051203771</v>
      </c>
      <c r="Q150" s="197">
        <f t="shared" si="341"/>
        <v>2160.4221575843185</v>
      </c>
      <c r="R150" s="196">
        <f t="shared" si="342"/>
        <v>90225.520831209753</v>
      </c>
      <c r="S150" s="197">
        <f t="shared" si="342"/>
        <v>4898.016188401446</v>
      </c>
      <c r="T150" s="197">
        <f t="shared" si="342"/>
        <v>59202.548479219215</v>
      </c>
      <c r="U150" s="197">
        <f t="shared" si="342"/>
        <v>31022.972351990535</v>
      </c>
      <c r="V150" s="199">
        <f t="shared" si="342"/>
        <v>35920.988540391969</v>
      </c>
      <c r="Z150" s="895">
        <v>13</v>
      </c>
      <c r="AA150" s="906">
        <f>'Arable Inputs'!$H$18</f>
        <v>12</v>
      </c>
      <c r="AB150" s="757">
        <f>'Arable Inputs'!$H$25</f>
        <v>724</v>
      </c>
      <c r="AC150" s="759">
        <f t="shared" si="343"/>
        <v>8688</v>
      </c>
      <c r="AD150" s="197">
        <f>'Arable NPV'!$D129</f>
        <v>471.64</v>
      </c>
      <c r="AE150" s="197">
        <f t="shared" si="400"/>
        <v>9159.64</v>
      </c>
      <c r="AF150" s="197">
        <f>'Arable NPV'!$F129</f>
        <v>2474.37212</v>
      </c>
      <c r="AG150" s="197">
        <f>'Arable NPV'!$G129</f>
        <v>3226.3624</v>
      </c>
      <c r="AH150" s="197">
        <f t="shared" si="344"/>
        <v>5700.73452</v>
      </c>
      <c r="AI150" s="197">
        <f t="shared" si="345"/>
        <v>2987.26548</v>
      </c>
      <c r="AJ150" s="197">
        <f t="shared" si="346"/>
        <v>3458.9054799999994</v>
      </c>
      <c r="AK150" s="196">
        <f t="shared" si="347"/>
        <v>4317.6698307569804</v>
      </c>
      <c r="AL150" s="197">
        <f t="shared" si="348"/>
        <v>234.3906306374565</v>
      </c>
      <c r="AM150" s="197">
        <f t="shared" si="349"/>
        <v>2833.0904063258372</v>
      </c>
      <c r="AN150" s="197">
        <f t="shared" si="350"/>
        <v>1484.579424431143</v>
      </c>
      <c r="AO150" s="199">
        <f t="shared" si="351"/>
        <v>1718.9700550685991</v>
      </c>
      <c r="AP150" s="196">
        <f t="shared" si="352"/>
        <v>81526.836154050237</v>
      </c>
      <c r="AQ150" s="197">
        <f t="shared" si="353"/>
        <v>4425.7961560423864</v>
      </c>
      <c r="AR150" s="197">
        <f t="shared" si="354"/>
        <v>53494.803081235994</v>
      </c>
      <c r="AS150" s="197">
        <f t="shared" si="355"/>
        <v>28032.033072814254</v>
      </c>
      <c r="AT150" s="199">
        <f t="shared" si="356"/>
        <v>32457.829228856641</v>
      </c>
      <c r="AX150" s="895">
        <v>13</v>
      </c>
      <c r="AY150" s="906">
        <f>'Arable Inputs'!$H$18</f>
        <v>12</v>
      </c>
      <c r="AZ150" s="757">
        <f>'Arable Inputs'!$H$25</f>
        <v>724</v>
      </c>
      <c r="BA150" s="759">
        <f t="shared" si="357"/>
        <v>8688</v>
      </c>
      <c r="BB150" s="197">
        <f>'Arable NPV'!$D129</f>
        <v>471.64</v>
      </c>
      <c r="BC150" s="197">
        <f t="shared" si="401"/>
        <v>9159.64</v>
      </c>
      <c r="BD150" s="197">
        <f>'Arable NPV'!$F129</f>
        <v>2474.37212</v>
      </c>
      <c r="BE150" s="197">
        <f>'Arable NPV'!$G129</f>
        <v>3226.3624</v>
      </c>
      <c r="BF150" s="197">
        <f t="shared" si="358"/>
        <v>5700.73452</v>
      </c>
      <c r="BG150" s="197">
        <f t="shared" si="359"/>
        <v>2987.26548</v>
      </c>
      <c r="BH150" s="197">
        <f t="shared" si="360"/>
        <v>3458.9054799999994</v>
      </c>
      <c r="BI150" s="196">
        <f t="shared" si="361"/>
        <v>6850.4287094534311</v>
      </c>
      <c r="BJ150" s="197">
        <f t="shared" si="362"/>
        <v>371.88492133133241</v>
      </c>
      <c r="BK150" s="197">
        <f t="shared" si="363"/>
        <v>4494.9902648227699</v>
      </c>
      <c r="BL150" s="197">
        <f t="shared" si="364"/>
        <v>2355.4384446306613</v>
      </c>
      <c r="BM150" s="199">
        <f t="shared" si="365"/>
        <v>2727.3233659619932</v>
      </c>
      <c r="BN150" s="196">
        <f t="shared" si="366"/>
        <v>100566.56452732848</v>
      </c>
      <c r="BO150" s="197">
        <f t="shared" si="367"/>
        <v>5459.3939334333791</v>
      </c>
      <c r="BP150" s="197">
        <f t="shared" si="368"/>
        <v>65987.947278861524</v>
      </c>
      <c r="BQ150" s="197">
        <f t="shared" si="369"/>
        <v>34578.617248466951</v>
      </c>
      <c r="BR150" s="199">
        <f t="shared" si="370"/>
        <v>40038.011181900329</v>
      </c>
      <c r="BV150" s="895">
        <v>13</v>
      </c>
      <c r="BW150" s="906">
        <f>'Arable Inputs'!$H$18</f>
        <v>12</v>
      </c>
      <c r="BX150" s="757">
        <f>'Arable Inputs'!$H$25</f>
        <v>724</v>
      </c>
      <c r="BY150" s="759">
        <f t="shared" si="371"/>
        <v>8688</v>
      </c>
      <c r="BZ150" s="197">
        <f>'Arable NPV'!$D129</f>
        <v>471.64</v>
      </c>
      <c r="CA150" s="197">
        <f t="shared" si="402"/>
        <v>9159.64</v>
      </c>
      <c r="CB150" s="197">
        <f>'Arable NPV'!$F129</f>
        <v>2474.37212</v>
      </c>
      <c r="CC150" s="197">
        <f>'Arable NPV'!$G129</f>
        <v>3226.3624</v>
      </c>
      <c r="CD150" s="197">
        <f t="shared" si="372"/>
        <v>5700.73452</v>
      </c>
      <c r="CE150" s="197">
        <f t="shared" si="373"/>
        <v>2987.26548</v>
      </c>
      <c r="CF150" s="197">
        <f t="shared" si="374"/>
        <v>3458.9054799999994</v>
      </c>
      <c r="CG150" s="196">
        <f t="shared" si="375"/>
        <v>3450.1243351163721</v>
      </c>
      <c r="CH150" s="197">
        <f t="shared" si="376"/>
        <v>187.29473312779533</v>
      </c>
      <c r="CI150" s="197">
        <f t="shared" si="377"/>
        <v>2263.8401122801511</v>
      </c>
      <c r="CJ150" s="197">
        <f t="shared" si="378"/>
        <v>1186.2842228362213</v>
      </c>
      <c r="CK150" s="197">
        <f t="shared" si="379"/>
        <v>1373.5789559640164</v>
      </c>
      <c r="CL150" s="196">
        <f t="shared" si="380"/>
        <v>74161.445811045298</v>
      </c>
      <c r="CM150" s="197">
        <f t="shared" si="381"/>
        <v>4025.9558359025568</v>
      </c>
      <c r="CN150" s="197">
        <f t="shared" si="382"/>
        <v>48661.914616498085</v>
      </c>
      <c r="CO150" s="197">
        <f t="shared" si="383"/>
        <v>25499.53119454722</v>
      </c>
      <c r="CP150" s="199">
        <f t="shared" si="384"/>
        <v>29525.487030449774</v>
      </c>
      <c r="CT150" s="895">
        <v>13</v>
      </c>
      <c r="CU150" s="906">
        <f>'Arable Inputs'!$H$18</f>
        <v>12</v>
      </c>
      <c r="CV150" s="757">
        <f>'Arable Inputs'!$H$25</f>
        <v>724</v>
      </c>
      <c r="CW150" s="759">
        <f t="shared" si="385"/>
        <v>8688</v>
      </c>
      <c r="CX150" s="197">
        <f>'Arable NPV'!$D129</f>
        <v>471.64</v>
      </c>
      <c r="CY150" s="197">
        <f t="shared" si="403"/>
        <v>9159.64</v>
      </c>
      <c r="CZ150" s="197">
        <f>'Arable NPV'!$F129</f>
        <v>2474.37212</v>
      </c>
      <c r="DA150" s="197">
        <f>'Arable NPV'!$G129</f>
        <v>3226.3624</v>
      </c>
      <c r="DB150" s="197">
        <f t="shared" si="386"/>
        <v>5700.73452</v>
      </c>
      <c r="DC150" s="197">
        <f t="shared" si="387"/>
        <v>2987.26548</v>
      </c>
      <c r="DD150" s="197">
        <f t="shared" si="388"/>
        <v>3458.9054799999994</v>
      </c>
      <c r="DE150" s="196">
        <f t="shared" si="389"/>
        <v>8688</v>
      </c>
      <c r="DF150" s="197">
        <f t="shared" si="390"/>
        <v>471.64</v>
      </c>
      <c r="DG150" s="197">
        <f t="shared" si="391"/>
        <v>5700.73452</v>
      </c>
      <c r="DH150" s="197">
        <f t="shared" si="392"/>
        <v>2987.26548</v>
      </c>
      <c r="DI150" s="199">
        <f t="shared" si="393"/>
        <v>3458.9054799999994</v>
      </c>
      <c r="DJ150" s="196">
        <f t="shared" si="394"/>
        <v>112944</v>
      </c>
      <c r="DK150" s="197">
        <f t="shared" si="395"/>
        <v>6131.3200000000006</v>
      </c>
      <c r="DL150" s="197">
        <f t="shared" si="396"/>
        <v>74109.548759999991</v>
      </c>
      <c r="DM150" s="197">
        <f t="shared" si="397"/>
        <v>38834.451240000009</v>
      </c>
      <c r="DN150" s="199">
        <f t="shared" si="398"/>
        <v>44965.771240000009</v>
      </c>
    </row>
    <row r="151" spans="2:118" x14ac:dyDescent="0.3">
      <c r="B151" s="895">
        <v>14</v>
      </c>
      <c r="C151" s="906">
        <f>'Arable Inputs'!$H$18</f>
        <v>12</v>
      </c>
      <c r="D151" s="757">
        <f>'Arable Inputs'!$H$25</f>
        <v>724</v>
      </c>
      <c r="E151" s="759">
        <f t="shared" si="333"/>
        <v>8688</v>
      </c>
      <c r="F151" s="197">
        <f>'Arable NPV'!$D130</f>
        <v>471.64</v>
      </c>
      <c r="G151" s="197">
        <f t="shared" si="399"/>
        <v>9159.64</v>
      </c>
      <c r="H151" s="197">
        <f>'Arable NPV'!$F130</f>
        <v>2474.37212</v>
      </c>
      <c r="I151" s="197">
        <f>'Arable NPV'!$G130</f>
        <v>3226.3624</v>
      </c>
      <c r="J151" s="197">
        <f t="shared" si="334"/>
        <v>5700.73452</v>
      </c>
      <c r="K151" s="197">
        <f t="shared" si="335"/>
        <v>2987.26548</v>
      </c>
      <c r="L151" s="197">
        <f t="shared" si="336"/>
        <v>3458.9054799999994</v>
      </c>
      <c r="M151" s="196">
        <f t="shared" si="337"/>
        <v>5217.7876603380828</v>
      </c>
      <c r="N151" s="197">
        <f t="shared" si="338"/>
        <v>283.25476198455954</v>
      </c>
      <c r="O151" s="197">
        <f t="shared" si="339"/>
        <v>3423.713424645412</v>
      </c>
      <c r="P151" s="197">
        <f t="shared" si="340"/>
        <v>1794.0742356926703</v>
      </c>
      <c r="Q151" s="197">
        <f t="shared" si="341"/>
        <v>2077.3289976772294</v>
      </c>
      <c r="R151" s="196">
        <f t="shared" si="342"/>
        <v>95443.308491547839</v>
      </c>
      <c r="S151" s="197">
        <f t="shared" si="342"/>
        <v>5181.270950386006</v>
      </c>
      <c r="T151" s="197">
        <f t="shared" si="342"/>
        <v>62626.26190386463</v>
      </c>
      <c r="U151" s="197">
        <f t="shared" si="342"/>
        <v>32817.046587683202</v>
      </c>
      <c r="V151" s="199">
        <f t="shared" si="342"/>
        <v>37998.317538069197</v>
      </c>
      <c r="Z151" s="895">
        <v>14</v>
      </c>
      <c r="AA151" s="906">
        <f>'Arable Inputs'!$H$18</f>
        <v>12</v>
      </c>
      <c r="AB151" s="757">
        <f>'Arable Inputs'!$H$25</f>
        <v>724</v>
      </c>
      <c r="AC151" s="759">
        <f t="shared" si="343"/>
        <v>8688</v>
      </c>
      <c r="AD151" s="197">
        <f>'Arable NPV'!$D130</f>
        <v>471.64</v>
      </c>
      <c r="AE151" s="197">
        <f t="shared" si="400"/>
        <v>9159.64</v>
      </c>
      <c r="AF151" s="197">
        <f>'Arable NPV'!$F130</f>
        <v>2474.37212</v>
      </c>
      <c r="AG151" s="197">
        <f>'Arable NPV'!$G130</f>
        <v>3226.3624</v>
      </c>
      <c r="AH151" s="197">
        <f t="shared" si="344"/>
        <v>5700.73452</v>
      </c>
      <c r="AI151" s="197">
        <f t="shared" si="345"/>
        <v>2987.26548</v>
      </c>
      <c r="AJ151" s="197">
        <f t="shared" si="346"/>
        <v>3458.9054799999994</v>
      </c>
      <c r="AK151" s="196">
        <f t="shared" si="347"/>
        <v>4073.2734252424339</v>
      </c>
      <c r="AL151" s="197">
        <f t="shared" si="348"/>
        <v>221.12323645043065</v>
      </c>
      <c r="AM151" s="197">
        <f t="shared" si="349"/>
        <v>2672.726798420601</v>
      </c>
      <c r="AN151" s="197">
        <f t="shared" si="350"/>
        <v>1400.5466268218329</v>
      </c>
      <c r="AO151" s="199">
        <f t="shared" si="351"/>
        <v>1621.6698632722632</v>
      </c>
      <c r="AP151" s="196">
        <f t="shared" si="352"/>
        <v>85600.109579292664</v>
      </c>
      <c r="AQ151" s="197">
        <f t="shared" si="353"/>
        <v>4646.9193924928168</v>
      </c>
      <c r="AR151" s="197">
        <f t="shared" si="354"/>
        <v>56167.529879656591</v>
      </c>
      <c r="AS151" s="197">
        <f t="shared" si="355"/>
        <v>29432.579699636088</v>
      </c>
      <c r="AT151" s="199">
        <f t="shared" si="356"/>
        <v>34079.499092128906</v>
      </c>
      <c r="AX151" s="895">
        <v>14</v>
      </c>
      <c r="AY151" s="906">
        <f>'Arable Inputs'!$H$18</f>
        <v>12</v>
      </c>
      <c r="AZ151" s="757">
        <f>'Arable Inputs'!$H$25</f>
        <v>724</v>
      </c>
      <c r="BA151" s="759">
        <f t="shared" si="357"/>
        <v>8688</v>
      </c>
      <c r="BB151" s="197">
        <f>'Arable NPV'!$D130</f>
        <v>471.64</v>
      </c>
      <c r="BC151" s="197">
        <f t="shared" si="401"/>
        <v>9159.64</v>
      </c>
      <c r="BD151" s="197">
        <f>'Arable NPV'!$F130</f>
        <v>2474.37212</v>
      </c>
      <c r="BE151" s="197">
        <f>'Arable NPV'!$G130</f>
        <v>3226.3624</v>
      </c>
      <c r="BF151" s="197">
        <f t="shared" si="358"/>
        <v>5700.73452</v>
      </c>
      <c r="BG151" s="197">
        <f t="shared" si="359"/>
        <v>2987.26548</v>
      </c>
      <c r="BH151" s="197">
        <f t="shared" si="360"/>
        <v>3458.9054799999994</v>
      </c>
      <c r="BI151" s="196">
        <f t="shared" si="361"/>
        <v>6716.1065778955208</v>
      </c>
      <c r="BJ151" s="197">
        <f t="shared" si="362"/>
        <v>364.59306012875732</v>
      </c>
      <c r="BK151" s="197">
        <f t="shared" si="363"/>
        <v>4406.8532008066368</v>
      </c>
      <c r="BL151" s="197">
        <f t="shared" si="364"/>
        <v>2309.2533770888836</v>
      </c>
      <c r="BM151" s="199">
        <f t="shared" si="365"/>
        <v>2673.8464372176404</v>
      </c>
      <c r="BN151" s="196">
        <f t="shared" si="366"/>
        <v>107282.671105224</v>
      </c>
      <c r="BO151" s="197">
        <f t="shared" si="367"/>
        <v>5823.9869935621364</v>
      </c>
      <c r="BP151" s="197">
        <f t="shared" si="368"/>
        <v>70394.800479668163</v>
      </c>
      <c r="BQ151" s="197">
        <f t="shared" si="369"/>
        <v>36887.870625555835</v>
      </c>
      <c r="BR151" s="199">
        <f t="shared" si="370"/>
        <v>42711.857619117967</v>
      </c>
      <c r="BV151" s="895">
        <v>14</v>
      </c>
      <c r="BW151" s="906">
        <f>'Arable Inputs'!$H$18</f>
        <v>12</v>
      </c>
      <c r="BX151" s="757">
        <f>'Arable Inputs'!$H$25</f>
        <v>724</v>
      </c>
      <c r="BY151" s="759">
        <f t="shared" si="371"/>
        <v>8688</v>
      </c>
      <c r="BZ151" s="197">
        <f>'Arable NPV'!$D130</f>
        <v>471.64</v>
      </c>
      <c r="CA151" s="197">
        <f t="shared" si="402"/>
        <v>9159.64</v>
      </c>
      <c r="CB151" s="197">
        <f>'Arable NPV'!$F130</f>
        <v>2474.37212</v>
      </c>
      <c r="CC151" s="197">
        <f>'Arable NPV'!$G130</f>
        <v>3226.3624</v>
      </c>
      <c r="CD151" s="197">
        <f t="shared" si="372"/>
        <v>5700.73452</v>
      </c>
      <c r="CE151" s="197">
        <f t="shared" si="373"/>
        <v>2987.26548</v>
      </c>
      <c r="CF151" s="197">
        <f t="shared" si="374"/>
        <v>3458.9054799999994</v>
      </c>
      <c r="CG151" s="196">
        <f t="shared" si="375"/>
        <v>3194.5595695521965</v>
      </c>
      <c r="CH151" s="197">
        <f t="shared" si="376"/>
        <v>173.42104919240307</v>
      </c>
      <c r="CI151" s="197">
        <f t="shared" si="377"/>
        <v>2096.1482521112507</v>
      </c>
      <c r="CJ151" s="197">
        <f t="shared" si="378"/>
        <v>1098.4113174409456</v>
      </c>
      <c r="CK151" s="197">
        <f t="shared" si="379"/>
        <v>1271.8323666333486</v>
      </c>
      <c r="CL151" s="196">
        <f t="shared" si="380"/>
        <v>77356.005380597489</v>
      </c>
      <c r="CM151" s="197">
        <f t="shared" si="381"/>
        <v>4199.37688509496</v>
      </c>
      <c r="CN151" s="197">
        <f t="shared" si="382"/>
        <v>50758.062868609333</v>
      </c>
      <c r="CO151" s="197">
        <f t="shared" si="383"/>
        <v>26597.942511988167</v>
      </c>
      <c r="CP151" s="199">
        <f t="shared" si="384"/>
        <v>30797.319397083123</v>
      </c>
      <c r="CT151" s="895">
        <v>14</v>
      </c>
      <c r="CU151" s="906">
        <f>'Arable Inputs'!$H$18</f>
        <v>12</v>
      </c>
      <c r="CV151" s="757">
        <f>'Arable Inputs'!$H$25</f>
        <v>724</v>
      </c>
      <c r="CW151" s="759">
        <f t="shared" si="385"/>
        <v>8688</v>
      </c>
      <c r="CX151" s="197">
        <f>'Arable NPV'!$D130</f>
        <v>471.64</v>
      </c>
      <c r="CY151" s="197">
        <f t="shared" si="403"/>
        <v>9159.64</v>
      </c>
      <c r="CZ151" s="197">
        <f>'Arable NPV'!$F130</f>
        <v>2474.37212</v>
      </c>
      <c r="DA151" s="197">
        <f>'Arable NPV'!$G130</f>
        <v>3226.3624</v>
      </c>
      <c r="DB151" s="197">
        <f t="shared" si="386"/>
        <v>5700.73452</v>
      </c>
      <c r="DC151" s="197">
        <f t="shared" si="387"/>
        <v>2987.26548</v>
      </c>
      <c r="DD151" s="197">
        <f t="shared" si="388"/>
        <v>3458.9054799999994</v>
      </c>
      <c r="DE151" s="196">
        <f t="shared" si="389"/>
        <v>8688</v>
      </c>
      <c r="DF151" s="197">
        <f t="shared" si="390"/>
        <v>471.64</v>
      </c>
      <c r="DG151" s="197">
        <f t="shared" si="391"/>
        <v>5700.73452</v>
      </c>
      <c r="DH151" s="197">
        <f t="shared" si="392"/>
        <v>2987.26548</v>
      </c>
      <c r="DI151" s="199">
        <f t="shared" si="393"/>
        <v>3458.9054799999994</v>
      </c>
      <c r="DJ151" s="196">
        <f t="shared" si="394"/>
        <v>121632</v>
      </c>
      <c r="DK151" s="197">
        <f t="shared" si="395"/>
        <v>6602.9600000000009</v>
      </c>
      <c r="DL151" s="197">
        <f t="shared" si="396"/>
        <v>79810.283279999989</v>
      </c>
      <c r="DM151" s="197">
        <f t="shared" si="397"/>
        <v>41821.716720000011</v>
      </c>
      <c r="DN151" s="199">
        <f t="shared" si="398"/>
        <v>48424.67672000001</v>
      </c>
    </row>
    <row r="152" spans="2:118" x14ac:dyDescent="0.3">
      <c r="B152" s="895">
        <v>15</v>
      </c>
      <c r="C152" s="906">
        <f>'Arable Inputs'!$H$18</f>
        <v>12</v>
      </c>
      <c r="D152" s="757">
        <f>'Arable Inputs'!$H$25</f>
        <v>724</v>
      </c>
      <c r="E152" s="759">
        <f t="shared" si="333"/>
        <v>8688</v>
      </c>
      <c r="F152" s="197">
        <f>'Arable NPV'!$D131</f>
        <v>471.64</v>
      </c>
      <c r="G152" s="197">
        <f t="shared" si="399"/>
        <v>9159.64</v>
      </c>
      <c r="H152" s="197">
        <f>'Arable NPV'!$F131</f>
        <v>2474.37212</v>
      </c>
      <c r="I152" s="197">
        <f>'Arable NPV'!$G131</f>
        <v>3226.3624</v>
      </c>
      <c r="J152" s="197">
        <f t="shared" si="334"/>
        <v>5700.73452</v>
      </c>
      <c r="K152" s="197">
        <f t="shared" si="335"/>
        <v>2987.26548</v>
      </c>
      <c r="L152" s="197">
        <f t="shared" si="336"/>
        <v>3458.9054799999994</v>
      </c>
      <c r="M152" s="196">
        <f t="shared" si="337"/>
        <v>5017.1035195558488</v>
      </c>
      <c r="N152" s="197">
        <f t="shared" si="338"/>
        <v>272.36034806207647</v>
      </c>
      <c r="O152" s="197">
        <f t="shared" si="339"/>
        <v>3292.0321390821273</v>
      </c>
      <c r="P152" s="197">
        <f t="shared" si="340"/>
        <v>1725.0713804737213</v>
      </c>
      <c r="Q152" s="197">
        <f t="shared" si="341"/>
        <v>1997.4317285357974</v>
      </c>
      <c r="R152" s="196">
        <f t="shared" si="342"/>
        <v>100460.41201110369</v>
      </c>
      <c r="S152" s="197">
        <f t="shared" si="342"/>
        <v>5453.6312984480828</v>
      </c>
      <c r="T152" s="197">
        <f t="shared" si="342"/>
        <v>65918.294042946756</v>
      </c>
      <c r="U152" s="197">
        <f t="shared" si="342"/>
        <v>34542.117968156927</v>
      </c>
      <c r="V152" s="199">
        <f t="shared" si="342"/>
        <v>39995.749266604995</v>
      </c>
      <c r="Z152" s="895">
        <v>15</v>
      </c>
      <c r="AA152" s="906">
        <f>'Arable Inputs'!$H$18</f>
        <v>12</v>
      </c>
      <c r="AB152" s="757">
        <f>'Arable Inputs'!$H$25</f>
        <v>724</v>
      </c>
      <c r="AC152" s="759">
        <f t="shared" si="343"/>
        <v>8688</v>
      </c>
      <c r="AD152" s="197">
        <f>'Arable NPV'!$D131</f>
        <v>471.64</v>
      </c>
      <c r="AE152" s="197">
        <f t="shared" si="400"/>
        <v>9159.64</v>
      </c>
      <c r="AF152" s="197">
        <f>'Arable NPV'!$F131</f>
        <v>2474.37212</v>
      </c>
      <c r="AG152" s="197">
        <f>'Arable NPV'!$G131</f>
        <v>3226.3624</v>
      </c>
      <c r="AH152" s="197">
        <f t="shared" si="344"/>
        <v>5700.73452</v>
      </c>
      <c r="AI152" s="197">
        <f t="shared" si="345"/>
        <v>2987.26548</v>
      </c>
      <c r="AJ152" s="197">
        <f t="shared" si="346"/>
        <v>3458.9054799999994</v>
      </c>
      <c r="AK152" s="196">
        <f t="shared" si="347"/>
        <v>3842.710778530598</v>
      </c>
      <c r="AL152" s="197">
        <f t="shared" si="348"/>
        <v>208.60682684002893</v>
      </c>
      <c r="AM152" s="197">
        <f t="shared" si="349"/>
        <v>2521.4403758684916</v>
      </c>
      <c r="AN152" s="197">
        <f t="shared" si="350"/>
        <v>1321.2704026621066</v>
      </c>
      <c r="AO152" s="199">
        <f t="shared" si="351"/>
        <v>1529.8772295021352</v>
      </c>
      <c r="AP152" s="196">
        <f t="shared" si="352"/>
        <v>89442.820357823264</v>
      </c>
      <c r="AQ152" s="197">
        <f t="shared" si="353"/>
        <v>4855.5262193328454</v>
      </c>
      <c r="AR152" s="197">
        <f t="shared" si="354"/>
        <v>58688.970255525084</v>
      </c>
      <c r="AS152" s="197">
        <f t="shared" si="355"/>
        <v>30753.850102298195</v>
      </c>
      <c r="AT152" s="199">
        <f t="shared" si="356"/>
        <v>35609.37632163104</v>
      </c>
      <c r="AX152" s="895">
        <v>15</v>
      </c>
      <c r="AY152" s="906">
        <f>'Arable Inputs'!$H$18</f>
        <v>12</v>
      </c>
      <c r="AZ152" s="757">
        <f>'Arable Inputs'!$H$25</f>
        <v>724</v>
      </c>
      <c r="BA152" s="759">
        <f t="shared" si="357"/>
        <v>8688</v>
      </c>
      <c r="BB152" s="197">
        <f>'Arable NPV'!$D131</f>
        <v>471.64</v>
      </c>
      <c r="BC152" s="197">
        <f t="shared" si="401"/>
        <v>9159.64</v>
      </c>
      <c r="BD152" s="197">
        <f>'Arable NPV'!$F131</f>
        <v>2474.37212</v>
      </c>
      <c r="BE152" s="197">
        <f>'Arable NPV'!$G131</f>
        <v>3226.3624</v>
      </c>
      <c r="BF152" s="197">
        <f t="shared" si="358"/>
        <v>5700.73452</v>
      </c>
      <c r="BG152" s="197">
        <f t="shared" si="359"/>
        <v>2987.26548</v>
      </c>
      <c r="BH152" s="197">
        <f t="shared" si="360"/>
        <v>3458.9054799999994</v>
      </c>
      <c r="BI152" s="196">
        <f t="shared" si="361"/>
        <v>6584.4182136230593</v>
      </c>
      <c r="BJ152" s="197">
        <f t="shared" si="362"/>
        <v>357.44417659682085</v>
      </c>
      <c r="BK152" s="197">
        <f t="shared" si="363"/>
        <v>4320.4443145163104</v>
      </c>
      <c r="BL152" s="197">
        <f t="shared" si="364"/>
        <v>2263.9738991067484</v>
      </c>
      <c r="BM152" s="199">
        <f t="shared" si="365"/>
        <v>2621.4180757035688</v>
      </c>
      <c r="BN152" s="196">
        <f t="shared" si="366"/>
        <v>113867.08931884705</v>
      </c>
      <c r="BO152" s="197">
        <f t="shared" si="367"/>
        <v>6181.4311701589577</v>
      </c>
      <c r="BP152" s="197">
        <f t="shared" si="368"/>
        <v>74715.244794184473</v>
      </c>
      <c r="BQ152" s="197">
        <f t="shared" si="369"/>
        <v>39151.844524662585</v>
      </c>
      <c r="BR152" s="199">
        <f t="shared" si="370"/>
        <v>45333.275694821539</v>
      </c>
      <c r="BV152" s="895">
        <v>15</v>
      </c>
      <c r="BW152" s="906">
        <f>'Arable Inputs'!$H$18</f>
        <v>12</v>
      </c>
      <c r="BX152" s="757">
        <f>'Arable Inputs'!$H$25</f>
        <v>724</v>
      </c>
      <c r="BY152" s="759">
        <f t="shared" si="371"/>
        <v>8688</v>
      </c>
      <c r="BZ152" s="197">
        <f>'Arable NPV'!$D131</f>
        <v>471.64</v>
      </c>
      <c r="CA152" s="197">
        <f t="shared" si="402"/>
        <v>9159.64</v>
      </c>
      <c r="CB152" s="197">
        <f>'Arable NPV'!$F131</f>
        <v>2474.37212</v>
      </c>
      <c r="CC152" s="197">
        <f>'Arable NPV'!$G131</f>
        <v>3226.3624</v>
      </c>
      <c r="CD152" s="197">
        <f t="shared" si="372"/>
        <v>5700.73452</v>
      </c>
      <c r="CE152" s="197">
        <f t="shared" si="373"/>
        <v>2987.26548</v>
      </c>
      <c r="CF152" s="197">
        <f t="shared" si="374"/>
        <v>3458.9054799999994</v>
      </c>
      <c r="CG152" s="196">
        <f t="shared" si="375"/>
        <v>2957.9255273631443</v>
      </c>
      <c r="CH152" s="197">
        <f t="shared" si="376"/>
        <v>160.57504554852133</v>
      </c>
      <c r="CI152" s="197">
        <f t="shared" si="377"/>
        <v>1940.8780112141208</v>
      </c>
      <c r="CJ152" s="197">
        <f t="shared" si="378"/>
        <v>1017.0475161490235</v>
      </c>
      <c r="CK152" s="197">
        <f t="shared" si="379"/>
        <v>1177.6225616975446</v>
      </c>
      <c r="CL152" s="196">
        <f t="shared" si="380"/>
        <v>80313.930907960632</v>
      </c>
      <c r="CM152" s="197">
        <f t="shared" si="381"/>
        <v>4359.9519306434813</v>
      </c>
      <c r="CN152" s="197">
        <f t="shared" si="382"/>
        <v>52698.940879823451</v>
      </c>
      <c r="CO152" s="197">
        <f t="shared" si="383"/>
        <v>27614.990028137192</v>
      </c>
      <c r="CP152" s="199">
        <f t="shared" si="384"/>
        <v>31974.94195878067</v>
      </c>
      <c r="CT152" s="895">
        <v>15</v>
      </c>
      <c r="CU152" s="906">
        <f>'Arable Inputs'!$H$18</f>
        <v>12</v>
      </c>
      <c r="CV152" s="757">
        <f>'Arable Inputs'!$H$25</f>
        <v>724</v>
      </c>
      <c r="CW152" s="759">
        <f t="shared" si="385"/>
        <v>8688</v>
      </c>
      <c r="CX152" s="197">
        <f>'Arable NPV'!$D131</f>
        <v>471.64</v>
      </c>
      <c r="CY152" s="197">
        <f t="shared" si="403"/>
        <v>9159.64</v>
      </c>
      <c r="CZ152" s="197">
        <f>'Arable NPV'!$F131</f>
        <v>2474.37212</v>
      </c>
      <c r="DA152" s="197">
        <f>'Arable NPV'!$G131</f>
        <v>3226.3624</v>
      </c>
      <c r="DB152" s="197">
        <f t="shared" si="386"/>
        <v>5700.73452</v>
      </c>
      <c r="DC152" s="197">
        <f t="shared" si="387"/>
        <v>2987.26548</v>
      </c>
      <c r="DD152" s="197">
        <f t="shared" si="388"/>
        <v>3458.9054799999994</v>
      </c>
      <c r="DE152" s="196">
        <f t="shared" si="389"/>
        <v>8688</v>
      </c>
      <c r="DF152" s="197">
        <f t="shared" si="390"/>
        <v>471.64</v>
      </c>
      <c r="DG152" s="197">
        <f t="shared" si="391"/>
        <v>5700.73452</v>
      </c>
      <c r="DH152" s="197">
        <f t="shared" si="392"/>
        <v>2987.26548</v>
      </c>
      <c r="DI152" s="199">
        <f t="shared" si="393"/>
        <v>3458.9054799999994</v>
      </c>
      <c r="DJ152" s="196">
        <f t="shared" si="394"/>
        <v>130320</v>
      </c>
      <c r="DK152" s="197">
        <f t="shared" si="395"/>
        <v>7074.6000000000013</v>
      </c>
      <c r="DL152" s="197">
        <f t="shared" si="396"/>
        <v>85511.017799999987</v>
      </c>
      <c r="DM152" s="197">
        <f t="shared" si="397"/>
        <v>44808.982200000013</v>
      </c>
      <c r="DN152" s="199">
        <f t="shared" si="398"/>
        <v>51883.582200000012</v>
      </c>
    </row>
    <row r="153" spans="2:118" x14ac:dyDescent="0.3">
      <c r="B153" s="896">
        <v>16</v>
      </c>
      <c r="C153" s="907">
        <f>'Arable Inputs'!$H$18</f>
        <v>12</v>
      </c>
      <c r="D153" s="758">
        <f>'Arable Inputs'!$H$25</f>
        <v>724</v>
      </c>
      <c r="E153" s="207">
        <f t="shared" si="333"/>
        <v>8688</v>
      </c>
      <c r="F153" s="207">
        <f>'Arable NPV'!$D132</f>
        <v>471.64</v>
      </c>
      <c r="G153" s="207">
        <f>E153+F153</f>
        <v>9159.64</v>
      </c>
      <c r="H153" s="207">
        <f>'Arable NPV'!$F132</f>
        <v>2474.37212</v>
      </c>
      <c r="I153" s="207">
        <f>'Arable NPV'!$G132</f>
        <v>3226.3624</v>
      </c>
      <c r="J153" s="207">
        <f t="shared" si="334"/>
        <v>5700.73452</v>
      </c>
      <c r="K153" s="207">
        <f t="shared" si="335"/>
        <v>2987.26548</v>
      </c>
      <c r="L153" s="207">
        <f t="shared" si="336"/>
        <v>3458.9054799999994</v>
      </c>
      <c r="M153" s="208">
        <f t="shared" si="337"/>
        <v>4824.1379995729312</v>
      </c>
      <c r="N153" s="207">
        <f t="shared" si="338"/>
        <v>261.88495005968895</v>
      </c>
      <c r="O153" s="207">
        <f t="shared" si="339"/>
        <v>3165.4155183481994</v>
      </c>
      <c r="P153" s="207">
        <f t="shared" si="340"/>
        <v>1658.7224812247321</v>
      </c>
      <c r="Q153" s="209">
        <f>L153/(1+$B$4)^(B153-1)</f>
        <v>1920.6074312844207</v>
      </c>
      <c r="R153" s="208">
        <f t="shared" si="342"/>
        <v>105284.55001067663</v>
      </c>
      <c r="S153" s="207">
        <f t="shared" si="342"/>
        <v>5715.5162485077717</v>
      </c>
      <c r="T153" s="207">
        <f t="shared" si="342"/>
        <v>69083.709561294949</v>
      </c>
      <c r="U153" s="207">
        <f t="shared" si="342"/>
        <v>36200.840449381656</v>
      </c>
      <c r="V153" s="209">
        <f t="shared" si="342"/>
        <v>41916.356697889416</v>
      </c>
      <c r="Z153" s="896">
        <v>16</v>
      </c>
      <c r="AA153" s="907">
        <f>'Arable Inputs'!$H$18</f>
        <v>12</v>
      </c>
      <c r="AB153" s="758">
        <f>'Arable Inputs'!$H$25</f>
        <v>724</v>
      </c>
      <c r="AC153" s="207">
        <f t="shared" si="343"/>
        <v>8688</v>
      </c>
      <c r="AD153" s="207">
        <f>'Arable NPV'!$D132</f>
        <v>471.64</v>
      </c>
      <c r="AE153" s="207">
        <f>AC153+AD153</f>
        <v>9159.64</v>
      </c>
      <c r="AF153" s="207">
        <f>'Arable NPV'!$F132</f>
        <v>2474.37212</v>
      </c>
      <c r="AG153" s="207">
        <f>'Arable NPV'!$G132</f>
        <v>3226.3624</v>
      </c>
      <c r="AH153" s="207">
        <f t="shared" si="344"/>
        <v>5700.73452</v>
      </c>
      <c r="AI153" s="207">
        <f t="shared" si="345"/>
        <v>2987.26548</v>
      </c>
      <c r="AJ153" s="207">
        <f t="shared" si="346"/>
        <v>3458.9054799999994</v>
      </c>
      <c r="AK153" s="208">
        <f t="shared" si="347"/>
        <v>3625.1988476703746</v>
      </c>
      <c r="AL153" s="207">
        <f t="shared" si="348"/>
        <v>196.79889324531024</v>
      </c>
      <c r="AM153" s="207">
        <f t="shared" si="349"/>
        <v>2378.7173357249912</v>
      </c>
      <c r="AN153" s="207">
        <f t="shared" si="350"/>
        <v>1246.4815119453831</v>
      </c>
      <c r="AO153" s="209">
        <f t="shared" si="351"/>
        <v>1443.280405190693</v>
      </c>
      <c r="AP153" s="208">
        <f t="shared" si="352"/>
        <v>93068.019205493634</v>
      </c>
      <c r="AQ153" s="207">
        <f t="shared" si="353"/>
        <v>5052.3251125781553</v>
      </c>
      <c r="AR153" s="207">
        <f t="shared" si="354"/>
        <v>61067.687591250076</v>
      </c>
      <c r="AS153" s="207">
        <f t="shared" si="355"/>
        <v>32000.331614243576</v>
      </c>
      <c r="AT153" s="209">
        <f t="shared" si="356"/>
        <v>37052.656726821733</v>
      </c>
      <c r="AX153" s="896">
        <v>16</v>
      </c>
      <c r="AY153" s="907">
        <f>'Arable Inputs'!$H$18</f>
        <v>12</v>
      </c>
      <c r="AZ153" s="758">
        <f>'Arable Inputs'!$H$25</f>
        <v>724</v>
      </c>
      <c r="BA153" s="207">
        <f t="shared" si="357"/>
        <v>8688</v>
      </c>
      <c r="BB153" s="207">
        <f>'Arable NPV'!$D132</f>
        <v>471.64</v>
      </c>
      <c r="BC153" s="207">
        <f>BA153+BB153</f>
        <v>9159.64</v>
      </c>
      <c r="BD153" s="207">
        <f>'Arable NPV'!$F132</f>
        <v>2474.37212</v>
      </c>
      <c r="BE153" s="207">
        <f>'Arable NPV'!$G132</f>
        <v>3226.3624</v>
      </c>
      <c r="BF153" s="207">
        <f t="shared" si="358"/>
        <v>5700.73452</v>
      </c>
      <c r="BG153" s="207">
        <f t="shared" si="359"/>
        <v>2987.26548</v>
      </c>
      <c r="BH153" s="207">
        <f t="shared" si="360"/>
        <v>3458.9054799999994</v>
      </c>
      <c r="BI153" s="208">
        <f t="shared" si="361"/>
        <v>6455.3119741402552</v>
      </c>
      <c r="BJ153" s="207">
        <f t="shared" si="362"/>
        <v>350.43546725178521</v>
      </c>
      <c r="BK153" s="207">
        <f t="shared" si="363"/>
        <v>4235.7297201140309</v>
      </c>
      <c r="BL153" s="207">
        <f t="shared" si="364"/>
        <v>2219.5822540262243</v>
      </c>
      <c r="BM153" s="209">
        <f>BH153/(1+$D$4)^(AX153-1)</f>
        <v>2570.0177212780095</v>
      </c>
      <c r="BN153" s="208">
        <f t="shared" si="366"/>
        <v>120322.40129298731</v>
      </c>
      <c r="BO153" s="207">
        <f t="shared" si="367"/>
        <v>6531.8666374107434</v>
      </c>
      <c r="BP153" s="207">
        <f t="shared" si="368"/>
        <v>78950.974514298505</v>
      </c>
      <c r="BQ153" s="207">
        <f t="shared" si="369"/>
        <v>41371.426778688809</v>
      </c>
      <c r="BR153" s="209">
        <f t="shared" si="370"/>
        <v>47903.29341609955</v>
      </c>
      <c r="BV153" s="896">
        <v>16</v>
      </c>
      <c r="BW153" s="907">
        <f>'Arable Inputs'!$H$18</f>
        <v>12</v>
      </c>
      <c r="BX153" s="758">
        <f>'Arable Inputs'!$H$25</f>
        <v>724</v>
      </c>
      <c r="BY153" s="207">
        <f t="shared" si="371"/>
        <v>8688</v>
      </c>
      <c r="BZ153" s="207">
        <f>'Arable NPV'!$D132</f>
        <v>471.64</v>
      </c>
      <c r="CA153" s="207">
        <f>BY153+BZ153</f>
        <v>9159.64</v>
      </c>
      <c r="CB153" s="207">
        <f>'Arable NPV'!$F132</f>
        <v>2474.37212</v>
      </c>
      <c r="CC153" s="207">
        <f>'Arable NPV'!$G132</f>
        <v>3226.3624</v>
      </c>
      <c r="CD153" s="207">
        <f t="shared" si="372"/>
        <v>5700.73452</v>
      </c>
      <c r="CE153" s="207">
        <f t="shared" si="373"/>
        <v>2987.26548</v>
      </c>
      <c r="CF153" s="207">
        <f t="shared" si="374"/>
        <v>3458.9054799999994</v>
      </c>
      <c r="CG153" s="208">
        <f t="shared" si="375"/>
        <v>2738.8199327436519</v>
      </c>
      <c r="CH153" s="207">
        <f t="shared" si="376"/>
        <v>148.68059773011234</v>
      </c>
      <c r="CI153" s="207">
        <f t="shared" si="377"/>
        <v>1797.1092696427042</v>
      </c>
      <c r="CJ153" s="207">
        <f t="shared" si="378"/>
        <v>941.71066310094761</v>
      </c>
      <c r="CK153" s="209">
        <f t="shared" si="379"/>
        <v>1090.3912608310598</v>
      </c>
      <c r="CL153" s="208">
        <f t="shared" si="380"/>
        <v>83052.750840704277</v>
      </c>
      <c r="CM153" s="207">
        <f t="shared" si="381"/>
        <v>4508.6325283735932</v>
      </c>
      <c r="CN153" s="207">
        <f t="shared" si="382"/>
        <v>54496.050149466158</v>
      </c>
      <c r="CO153" s="207">
        <f t="shared" si="383"/>
        <v>28556.70069123814</v>
      </c>
      <c r="CP153" s="209">
        <f t="shared" si="384"/>
        <v>33065.333219611726</v>
      </c>
      <c r="CT153" s="896">
        <v>16</v>
      </c>
      <c r="CU153" s="907">
        <f>'Arable Inputs'!$H$18</f>
        <v>12</v>
      </c>
      <c r="CV153" s="758">
        <f>'Arable Inputs'!$H$25</f>
        <v>724</v>
      </c>
      <c r="CW153" s="207">
        <f t="shared" si="385"/>
        <v>8688</v>
      </c>
      <c r="CX153" s="207">
        <f>'Arable NPV'!$D132</f>
        <v>471.64</v>
      </c>
      <c r="CY153" s="207">
        <f>CW153+CX153</f>
        <v>9159.64</v>
      </c>
      <c r="CZ153" s="207">
        <f>'Arable NPV'!$F132</f>
        <v>2474.37212</v>
      </c>
      <c r="DA153" s="207">
        <f>'Arable NPV'!$G132</f>
        <v>3226.3624</v>
      </c>
      <c r="DB153" s="207">
        <f t="shared" si="386"/>
        <v>5700.73452</v>
      </c>
      <c r="DC153" s="207">
        <f t="shared" si="387"/>
        <v>2987.26548</v>
      </c>
      <c r="DD153" s="207">
        <f t="shared" si="388"/>
        <v>3458.9054799999994</v>
      </c>
      <c r="DE153" s="208">
        <f t="shared" si="389"/>
        <v>8688</v>
      </c>
      <c r="DF153" s="207">
        <f t="shared" si="390"/>
        <v>471.64</v>
      </c>
      <c r="DG153" s="207">
        <f t="shared" si="391"/>
        <v>5700.73452</v>
      </c>
      <c r="DH153" s="207">
        <f t="shared" si="392"/>
        <v>2987.26548</v>
      </c>
      <c r="DI153" s="209">
        <f>DD153/(1+$F$4)^(CT153-1)</f>
        <v>3458.9054799999994</v>
      </c>
      <c r="DJ153" s="208">
        <f t="shared" si="394"/>
        <v>139008</v>
      </c>
      <c r="DK153" s="207">
        <f t="shared" si="395"/>
        <v>7546.2400000000016</v>
      </c>
      <c r="DL153" s="207">
        <f t="shared" si="396"/>
        <v>91211.752319999985</v>
      </c>
      <c r="DM153" s="207">
        <f t="shared" si="397"/>
        <v>47796.247680000015</v>
      </c>
      <c r="DN153" s="209">
        <f t="shared" si="398"/>
        <v>55342.487680000013</v>
      </c>
    </row>
    <row r="159" spans="2:118" ht="20" x14ac:dyDescent="0.3">
      <c r="B159" s="273" t="s">
        <v>432</v>
      </c>
      <c r="C159" s="274"/>
      <c r="D159" s="88"/>
      <c r="E159" s="88"/>
      <c r="F159" s="88"/>
      <c r="G159" s="275"/>
      <c r="H159" s="276" t="s">
        <v>309</v>
      </c>
      <c r="I159" s="277" t="s">
        <v>310</v>
      </c>
      <c r="J159" s="277" t="s">
        <v>311</v>
      </c>
      <c r="K159" s="277" t="s">
        <v>312</v>
      </c>
      <c r="L159" s="277" t="s">
        <v>313</v>
      </c>
      <c r="M159" s="276" t="s">
        <v>314</v>
      </c>
      <c r="N159" s="277" t="s">
        <v>315</v>
      </c>
      <c r="O159" s="277" t="s">
        <v>316</v>
      </c>
      <c r="P159" s="277" t="s">
        <v>317</v>
      </c>
      <c r="Q159" s="277" t="s">
        <v>318</v>
      </c>
      <c r="R159" s="276" t="s">
        <v>391</v>
      </c>
      <c r="S159" s="277" t="s">
        <v>392</v>
      </c>
      <c r="T159" s="277" t="s">
        <v>393</v>
      </c>
      <c r="U159" s="277" t="s">
        <v>394</v>
      </c>
      <c r="V159" s="277" t="s">
        <v>395</v>
      </c>
      <c r="W159" s="276" t="s">
        <v>422</v>
      </c>
      <c r="X159" s="277" t="s">
        <v>423</v>
      </c>
      <c r="Y159" s="277" t="s">
        <v>424</v>
      </c>
      <c r="Z159" s="277" t="s">
        <v>425</v>
      </c>
      <c r="AA159" s="277" t="s">
        <v>426</v>
      </c>
      <c r="AB159" s="276" t="s">
        <v>427</v>
      </c>
      <c r="AC159" s="277" t="s">
        <v>428</v>
      </c>
      <c r="AD159" s="277" t="s">
        <v>429</v>
      </c>
      <c r="AE159" s="277" t="s">
        <v>430</v>
      </c>
      <c r="AF159" s="277" t="s">
        <v>431</v>
      </c>
      <c r="AG159" s="276" t="s">
        <v>527</v>
      </c>
      <c r="AH159" s="277" t="s">
        <v>528</v>
      </c>
      <c r="AI159" s="277" t="s">
        <v>529</v>
      </c>
      <c r="AJ159" s="277" t="s">
        <v>530</v>
      </c>
      <c r="AK159" s="277" t="s">
        <v>531</v>
      </c>
    </row>
    <row r="160" spans="2:118" x14ac:dyDescent="0.3">
      <c r="B160" s="278" t="s">
        <v>297</v>
      </c>
      <c r="C160" s="24"/>
      <c r="D160" s="279"/>
      <c r="E160" s="279"/>
      <c r="F160" s="279"/>
      <c r="G160" s="280" t="s">
        <v>571</v>
      </c>
      <c r="H160" s="281">
        <f>S27</f>
        <v>34321.485884880625</v>
      </c>
      <c r="I160" s="281">
        <f>AQ27</f>
        <v>29941.967919265993</v>
      </c>
      <c r="J160" s="281">
        <f>BO27</f>
        <v>39716.662735217724</v>
      </c>
      <c r="K160" s="281">
        <f>CM27</f>
        <v>26354.730271574615</v>
      </c>
      <c r="L160" s="281">
        <f>DK27</f>
        <v>46425.237833333325</v>
      </c>
      <c r="M160" s="281">
        <f>S53</f>
        <v>46657.151313822724</v>
      </c>
      <c r="N160" s="281">
        <f>AQ53</f>
        <v>40533.767674136623</v>
      </c>
      <c r="O160" s="107">
        <f>BO53</f>
        <v>54204.349661554923</v>
      </c>
      <c r="P160" s="107">
        <f>CM53</f>
        <v>35520.870905399628</v>
      </c>
      <c r="Q160" s="107">
        <f>DK53</f>
        <v>63593.016666666656</v>
      </c>
      <c r="R160" s="761">
        <f>U$78</f>
        <v>69590.387749560876</v>
      </c>
      <c r="S160" s="761">
        <f>AU$78</f>
        <v>61777.261290373433</v>
      </c>
      <c r="T160" s="107">
        <f>BU$78</f>
        <v>79158.945243203329</v>
      </c>
      <c r="U160" s="107">
        <f>CU$78</f>
        <v>55340.859619326329</v>
      </c>
      <c r="V160" s="107">
        <f>DU$78</f>
        <v>90984.8</v>
      </c>
      <c r="W160" s="761">
        <f>S$103</f>
        <v>23997.352423190896</v>
      </c>
      <c r="X160" s="761">
        <f>AQ$103</f>
        <v>20554.176892481737</v>
      </c>
      <c r="Y160" s="107">
        <f>BO$103</f>
        <v>28287.777034086277</v>
      </c>
      <c r="Z160" s="107">
        <f>CM$103</f>
        <v>17764.134937131566</v>
      </c>
      <c r="AA160" s="107">
        <f>DK$103</f>
        <v>33687.5</v>
      </c>
      <c r="AB160" s="761">
        <f>S$128</f>
        <v>35145.377391948736</v>
      </c>
      <c r="AC160" s="761">
        <f>AQ$128</f>
        <v>30448.823889892006</v>
      </c>
      <c r="AD160" s="107">
        <f>BO$128</f>
        <v>40936.94296021726</v>
      </c>
      <c r="AE160" s="107">
        <f>CM$128</f>
        <v>26606.23738675101</v>
      </c>
      <c r="AF160" s="107">
        <f>DK$128</f>
        <v>48144.827499999992</v>
      </c>
      <c r="AG160" s="764">
        <f>R153</f>
        <v>105284.55001067663</v>
      </c>
      <c r="AH160" s="764">
        <f>AP153</f>
        <v>93068.019205493634</v>
      </c>
      <c r="AI160" s="764">
        <f>BN153</f>
        <v>120322.40129298731</v>
      </c>
      <c r="AJ160" s="764">
        <f>CL153</f>
        <v>83052.750840704277</v>
      </c>
      <c r="AK160" s="764">
        <f>DJ153</f>
        <v>139008</v>
      </c>
    </row>
    <row r="161" spans="2:37" x14ac:dyDescent="0.3">
      <c r="B161" s="282" t="s">
        <v>633</v>
      </c>
      <c r="C161" s="24"/>
      <c r="D161" s="279"/>
      <c r="E161" s="279"/>
      <c r="F161" s="279"/>
      <c r="G161" s="283" t="s">
        <v>571</v>
      </c>
      <c r="H161" s="281">
        <f>T27</f>
        <v>5715.5162485077717</v>
      </c>
      <c r="I161" s="281">
        <f>AR27</f>
        <v>5052.3251125781553</v>
      </c>
      <c r="J161" s="281">
        <f>BP27</f>
        <v>6531.8666374107434</v>
      </c>
      <c r="K161" s="281">
        <f>CN27</f>
        <v>4508.6325283735932</v>
      </c>
      <c r="L161" s="281">
        <f>DL27</f>
        <v>7546.2400000000016</v>
      </c>
      <c r="M161" s="281">
        <f>T53</f>
        <v>5715.5162485077717</v>
      </c>
      <c r="N161" s="281">
        <f>AR53</f>
        <v>5052.3251125781553</v>
      </c>
      <c r="O161" s="108">
        <f>BP53</f>
        <v>6531.8666374107434</v>
      </c>
      <c r="P161" s="108">
        <f>CN53</f>
        <v>4508.6325283735932</v>
      </c>
      <c r="Q161" s="108">
        <f>DL53</f>
        <v>7546.2400000000016</v>
      </c>
      <c r="R161" s="761">
        <f>V$78</f>
        <v>5715.5162485077717</v>
      </c>
      <c r="S161" s="761">
        <f>AV$78</f>
        <v>5052.3251125781553</v>
      </c>
      <c r="T161" s="108">
        <f>BV$78</f>
        <v>6531.8666374107434</v>
      </c>
      <c r="U161" s="108">
        <f>CV$78</f>
        <v>4508.6325283735932</v>
      </c>
      <c r="V161" s="108">
        <f>DV$78</f>
        <v>7546.2400000000016</v>
      </c>
      <c r="W161" s="761">
        <f>T$103</f>
        <v>5715.5162485077717</v>
      </c>
      <c r="X161" s="761">
        <f>AR$103</f>
        <v>5052.3251125781553</v>
      </c>
      <c r="Y161" s="108">
        <f>BP$103</f>
        <v>6531.8666374107434</v>
      </c>
      <c r="Z161" s="108">
        <f>CN$103</f>
        <v>4508.6325283735932</v>
      </c>
      <c r="AA161" s="108">
        <f>DL$103</f>
        <v>7546.2400000000016</v>
      </c>
      <c r="AB161" s="761">
        <f>T$128</f>
        <v>5715.5162485077717</v>
      </c>
      <c r="AC161" s="761">
        <f>AR$128</f>
        <v>5052.3251125781553</v>
      </c>
      <c r="AD161" s="108">
        <f>BP$128</f>
        <v>6531.8666374107434</v>
      </c>
      <c r="AE161" s="108">
        <f>CN$128</f>
        <v>4508.6325283735932</v>
      </c>
      <c r="AF161" s="108">
        <f>DL$128</f>
        <v>7546.2400000000016</v>
      </c>
      <c r="AG161" s="909">
        <f>S153</f>
        <v>5715.5162485077717</v>
      </c>
      <c r="AH161" s="909">
        <f>AQ153</f>
        <v>5052.3251125781553</v>
      </c>
      <c r="AI161" s="909">
        <f>BO153</f>
        <v>6531.8666374107434</v>
      </c>
      <c r="AJ161" s="909">
        <f>CM153</f>
        <v>4508.6325283735932</v>
      </c>
      <c r="AK161" s="909">
        <f>DK153</f>
        <v>7546.2400000000016</v>
      </c>
    </row>
    <row r="162" spans="2:37" x14ac:dyDescent="0.3">
      <c r="B162" s="284" t="s">
        <v>296</v>
      </c>
      <c r="C162" s="165"/>
      <c r="D162" s="279"/>
      <c r="E162" s="279"/>
      <c r="F162" s="279"/>
      <c r="G162" s="285" t="s">
        <v>571</v>
      </c>
      <c r="H162" s="281">
        <f>U27</f>
        <v>50343.424286460307</v>
      </c>
      <c r="I162" s="281">
        <f>AS27</f>
        <v>47712.891712394412</v>
      </c>
      <c r="J162" s="281">
        <f>BQ27</f>
        <v>53574.217265123916</v>
      </c>
      <c r="K162" s="281">
        <f>CO27</f>
        <v>45550.997656870808</v>
      </c>
      <c r="L162" s="281">
        <f>DM27</f>
        <v>57580.674999999967</v>
      </c>
      <c r="M162" s="281">
        <f>U53</f>
        <v>37199.511274111588</v>
      </c>
      <c r="N162" s="281">
        <f>AS53</f>
        <v>33984.603095149643</v>
      </c>
      <c r="O162" s="294">
        <f>BQ53</f>
        <v>41158.398819279239</v>
      </c>
      <c r="P162" s="294">
        <f>CO53</f>
        <v>31349.074510117025</v>
      </c>
      <c r="Q162" s="294">
        <f>DM53</f>
        <v>46081.174999999988</v>
      </c>
      <c r="R162" s="761">
        <f>W$78</f>
        <v>76192.100306180422</v>
      </c>
      <c r="S162" s="761">
        <f>AW$78</f>
        <v>67444.281047293276</v>
      </c>
      <c r="T162" s="294">
        <f>BW$78</f>
        <v>86960.548106268878</v>
      </c>
      <c r="U162" s="294">
        <f>CW$78</f>
        <v>60272.924752901024</v>
      </c>
      <c r="V162" s="294">
        <f>DW$78</f>
        <v>100341.70268</v>
      </c>
      <c r="W162" s="761">
        <f>U$103</f>
        <v>18590.804294416528</v>
      </c>
      <c r="X162" s="761">
        <f>AS$103</f>
        <v>17066.167291539223</v>
      </c>
      <c r="Y162" s="294">
        <f>BQ$103</f>
        <v>20506.392022692591</v>
      </c>
      <c r="Z162" s="294">
        <f>CO$103</f>
        <v>15839.507095021834</v>
      </c>
      <c r="AA162" s="294">
        <f>DM$103</f>
        <v>22939.911999999997</v>
      </c>
      <c r="AB162" s="761">
        <f>U$128</f>
        <v>89741.974580161521</v>
      </c>
      <c r="AC162" s="761">
        <f>AS$128</f>
        <v>86834.510121898609</v>
      </c>
      <c r="AD162" s="294">
        <f>BQ$128</f>
        <v>93325.213446062786</v>
      </c>
      <c r="AE162" s="294">
        <f>CO$128</f>
        <v>84453.086008846876</v>
      </c>
      <c r="AF162" s="294">
        <f>DM$128</f>
        <v>97784.335999999952</v>
      </c>
      <c r="AG162" s="765">
        <f>T153</f>
        <v>69083.709561294949</v>
      </c>
      <c r="AH162" s="765">
        <f>AR153</f>
        <v>61067.687591250076</v>
      </c>
      <c r="AI162" s="765">
        <f>BP153</f>
        <v>78950.974514298505</v>
      </c>
      <c r="AJ162" s="765">
        <f>CN153</f>
        <v>54496.050149466158</v>
      </c>
      <c r="AK162" s="765">
        <f>DL153</f>
        <v>91211.752319999985</v>
      </c>
    </row>
    <row r="163" spans="2:37" x14ac:dyDescent="0.3">
      <c r="B163" s="278" t="s">
        <v>634</v>
      </c>
      <c r="C163" s="24"/>
      <c r="D163" s="286"/>
      <c r="E163" s="286"/>
      <c r="F163" s="286"/>
      <c r="G163" s="280" t="s">
        <v>571</v>
      </c>
      <c r="H163" s="287">
        <f>H160-H162</f>
        <v>-16021.938401579682</v>
      </c>
      <c r="I163" s="287">
        <f t="shared" ref="I163:AK163" si="404">I160-I162</f>
        <v>-17770.923793128419</v>
      </c>
      <c r="J163" s="287">
        <f t="shared" si="404"/>
        <v>-13857.554529906192</v>
      </c>
      <c r="K163" s="287">
        <f t="shared" si="404"/>
        <v>-19196.267385296193</v>
      </c>
      <c r="L163" s="287">
        <f t="shared" si="404"/>
        <v>-11155.437166666641</v>
      </c>
      <c r="M163" s="287">
        <f t="shared" si="404"/>
        <v>9457.6400397111356</v>
      </c>
      <c r="N163" s="287">
        <f t="shared" si="404"/>
        <v>6549.1645789869799</v>
      </c>
      <c r="O163" s="287">
        <f t="shared" si="404"/>
        <v>13045.950842275684</v>
      </c>
      <c r="P163" s="287">
        <f t="shared" si="404"/>
        <v>4171.796395282603</v>
      </c>
      <c r="Q163" s="287">
        <f t="shared" si="404"/>
        <v>17511.841666666667</v>
      </c>
      <c r="R163" s="762">
        <f t="shared" si="404"/>
        <v>-6601.7125566195464</v>
      </c>
      <c r="S163" s="762">
        <f t="shared" si="404"/>
        <v>-5667.0197569198426</v>
      </c>
      <c r="T163" s="762">
        <f t="shared" si="404"/>
        <v>-7801.6028630655492</v>
      </c>
      <c r="U163" s="762">
        <f t="shared" si="404"/>
        <v>-4932.0651335746952</v>
      </c>
      <c r="V163" s="762">
        <f t="shared" si="404"/>
        <v>-9356.9026799999992</v>
      </c>
      <c r="W163" s="762">
        <f t="shared" si="404"/>
        <v>5406.5481287743678</v>
      </c>
      <c r="X163" s="762">
        <f t="shared" si="404"/>
        <v>3488.0096009425142</v>
      </c>
      <c r="Y163" s="762">
        <f t="shared" si="404"/>
        <v>7781.385011393686</v>
      </c>
      <c r="Z163" s="762">
        <f t="shared" si="404"/>
        <v>1924.6278421097322</v>
      </c>
      <c r="AA163" s="762">
        <f t="shared" si="404"/>
        <v>10747.588000000003</v>
      </c>
      <c r="AB163" s="762">
        <f t="shared" si="404"/>
        <v>-54596.597188212785</v>
      </c>
      <c r="AC163" s="762">
        <f t="shared" si="404"/>
        <v>-56385.686232006599</v>
      </c>
      <c r="AD163" s="762">
        <f t="shared" si="404"/>
        <v>-52388.270485845525</v>
      </c>
      <c r="AE163" s="762">
        <f t="shared" si="404"/>
        <v>-57846.848622095866</v>
      </c>
      <c r="AF163" s="762">
        <f t="shared" si="404"/>
        <v>-49639.50849999996</v>
      </c>
      <c r="AG163" s="762">
        <f t="shared" si="404"/>
        <v>36200.840449381678</v>
      </c>
      <c r="AH163" s="762">
        <f t="shared" si="404"/>
        <v>32000.331614243558</v>
      </c>
      <c r="AI163" s="762">
        <f t="shared" si="404"/>
        <v>41371.426778688809</v>
      </c>
      <c r="AJ163" s="762">
        <f t="shared" si="404"/>
        <v>28556.700691238118</v>
      </c>
      <c r="AK163" s="762">
        <f t="shared" si="404"/>
        <v>47796.247680000015</v>
      </c>
    </row>
    <row r="164" spans="2:37" x14ac:dyDescent="0.3">
      <c r="B164" s="284" t="s">
        <v>635</v>
      </c>
      <c r="C164" s="165"/>
      <c r="D164" s="288"/>
      <c r="E164" s="288"/>
      <c r="F164" s="288"/>
      <c r="G164" s="285" t="s">
        <v>571</v>
      </c>
      <c r="H164" s="295">
        <f>H160+H161-H162</f>
        <v>-10306.422153071908</v>
      </c>
      <c r="I164" s="295">
        <f t="shared" ref="I164:U164" si="405">I160+I161-I162</f>
        <v>-12718.598680550262</v>
      </c>
      <c r="J164" s="295">
        <f t="shared" si="405"/>
        <v>-7325.6878924954508</v>
      </c>
      <c r="K164" s="295">
        <f t="shared" si="405"/>
        <v>-14687.634856922599</v>
      </c>
      <c r="L164" s="295">
        <f t="shared" si="405"/>
        <v>-3609.1971666666432</v>
      </c>
      <c r="M164" s="295">
        <f t="shared" si="405"/>
        <v>15173.15628821891</v>
      </c>
      <c r="N164" s="295">
        <f t="shared" si="405"/>
        <v>11601.489691565133</v>
      </c>
      <c r="O164" s="295">
        <f t="shared" si="405"/>
        <v>19577.817479686426</v>
      </c>
      <c r="P164" s="295">
        <f t="shared" si="405"/>
        <v>8680.4289236561963</v>
      </c>
      <c r="Q164" s="295">
        <f t="shared" si="405"/>
        <v>25058.081666666665</v>
      </c>
      <c r="R164" s="763">
        <f t="shared" si="405"/>
        <v>-886.19630811177194</v>
      </c>
      <c r="S164" s="763">
        <f t="shared" si="405"/>
        <v>-614.69464434168185</v>
      </c>
      <c r="T164" s="763">
        <f t="shared" si="405"/>
        <v>-1269.7362256548076</v>
      </c>
      <c r="U164" s="763">
        <f t="shared" si="405"/>
        <v>-423.43260520110198</v>
      </c>
      <c r="V164" s="763">
        <f t="shared" ref="V164:AE164" si="406">V160+V161-V162</f>
        <v>-1810.662679999994</v>
      </c>
      <c r="W164" s="763">
        <f t="shared" si="406"/>
        <v>11122.064377282139</v>
      </c>
      <c r="X164" s="763">
        <f t="shared" si="406"/>
        <v>8540.3347135206677</v>
      </c>
      <c r="Y164" s="763">
        <f t="shared" si="406"/>
        <v>14313.251648804428</v>
      </c>
      <c r="Z164" s="763">
        <f t="shared" si="406"/>
        <v>6433.2603704833255</v>
      </c>
      <c r="AA164" s="763">
        <f t="shared" si="406"/>
        <v>18293.828000000009</v>
      </c>
      <c r="AB164" s="763">
        <f t="shared" si="406"/>
        <v>-48881.080939705011</v>
      </c>
      <c r="AC164" s="763">
        <f t="shared" si="406"/>
        <v>-51333.361119428446</v>
      </c>
      <c r="AD164" s="763">
        <f t="shared" si="406"/>
        <v>-45856.403848434784</v>
      </c>
      <c r="AE164" s="763">
        <f t="shared" si="406"/>
        <v>-53338.216093722272</v>
      </c>
      <c r="AF164" s="763">
        <f t="shared" ref="AF164:AK164" si="407">AF160+AF161-AF162</f>
        <v>-42093.268499999962</v>
      </c>
      <c r="AG164" s="763">
        <f t="shared" si="407"/>
        <v>41916.356697889452</v>
      </c>
      <c r="AH164" s="763">
        <f t="shared" si="407"/>
        <v>37052.656726821711</v>
      </c>
      <c r="AI164" s="763">
        <f t="shared" si="407"/>
        <v>47903.29341609955</v>
      </c>
      <c r="AJ164" s="763">
        <f t="shared" si="407"/>
        <v>33065.333219611712</v>
      </c>
      <c r="AK164" s="763">
        <f t="shared" si="407"/>
        <v>55342.487680000006</v>
      </c>
    </row>
  </sheetData>
  <mergeCells count="20">
    <mergeCell ref="E110:G110"/>
    <mergeCell ref="J110:K110"/>
    <mergeCell ref="N110:R110"/>
    <mergeCell ref="S110:W110"/>
    <mergeCell ref="E85:G85"/>
    <mergeCell ref="J85:K85"/>
    <mergeCell ref="N85:R85"/>
    <mergeCell ref="S85:W85"/>
    <mergeCell ref="B2:D2"/>
    <mergeCell ref="E9:G9"/>
    <mergeCell ref="J9:K9"/>
    <mergeCell ref="N9:R9"/>
    <mergeCell ref="S9:W9"/>
    <mergeCell ref="BW8:BX8"/>
    <mergeCell ref="CU8:CV8"/>
    <mergeCell ref="CU34:CV34"/>
    <mergeCell ref="E35:G35"/>
    <mergeCell ref="J35:K35"/>
    <mergeCell ref="N35:R35"/>
    <mergeCell ref="S35:W35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5"/>
  <sheetViews>
    <sheetView topLeftCell="M1" workbookViewId="0">
      <selection activeCell="H18" sqref="H18"/>
    </sheetView>
  </sheetViews>
  <sheetFormatPr defaultColWidth="9" defaultRowHeight="14" x14ac:dyDescent="0.3"/>
  <cols>
    <col min="2" max="2" width="42.33203125" customWidth="1"/>
    <col min="3" max="3" width="11.58203125" bestFit="1" customWidth="1"/>
    <col min="4" max="13" width="10.58203125" customWidth="1"/>
  </cols>
  <sheetData>
    <row r="2" spans="2:13" x14ac:dyDescent="0.3">
      <c r="B2" s="783" t="s">
        <v>589</v>
      </c>
      <c r="C2" s="354">
        <v>0.04</v>
      </c>
      <c r="D2" s="24" t="s">
        <v>300</v>
      </c>
    </row>
    <row r="5" spans="2:13" x14ac:dyDescent="0.3">
      <c r="B5" s="236"/>
      <c r="C5" s="237"/>
      <c r="D5" s="784" t="s">
        <v>4</v>
      </c>
      <c r="E5" s="785" t="s">
        <v>668</v>
      </c>
      <c r="F5" s="785" t="s">
        <v>5</v>
      </c>
      <c r="G5" s="785" t="s">
        <v>288</v>
      </c>
      <c r="H5" s="785" t="s">
        <v>258</v>
      </c>
      <c r="I5" s="785" t="s">
        <v>289</v>
      </c>
      <c r="J5" s="786" t="s">
        <v>92</v>
      </c>
      <c r="K5" s="787" t="s">
        <v>93</v>
      </c>
      <c r="L5" s="788" t="s">
        <v>94</v>
      </c>
      <c r="M5" s="788" t="s">
        <v>437</v>
      </c>
    </row>
    <row r="6" spans="2:13" ht="14.5" x14ac:dyDescent="0.3">
      <c r="B6" s="238" t="s">
        <v>297</v>
      </c>
      <c r="C6" s="239" t="s">
        <v>571</v>
      </c>
      <c r="D6" s="235">
        <f>'Arable NPV'!P28</f>
        <v>56643.766535440212</v>
      </c>
      <c r="E6" s="233">
        <f>'Arable NPV'!P54</f>
        <v>26206.012822063556</v>
      </c>
      <c r="F6" s="233">
        <f>'Arable NPV'!P80</f>
        <v>77915.171995124911</v>
      </c>
      <c r="G6" s="233">
        <f>'Arable NPV'!P106</f>
        <v>82598.928737657887</v>
      </c>
      <c r="H6" s="233">
        <f>'Arable NPV'!P132</f>
        <v>105284.55001067663</v>
      </c>
      <c r="I6" s="233">
        <f>'Arable NPV'!Q158</f>
        <v>69590.387749560876</v>
      </c>
      <c r="J6" s="233">
        <f>'Energy NPV'!AE28</f>
        <v>23997.352423190896</v>
      </c>
      <c r="K6" s="233">
        <f>'Energy NPV'!AE54</f>
        <v>35145.377391948736</v>
      </c>
      <c r="L6" s="233">
        <f>'Energy NPV'!AE80</f>
        <v>34321.485884880625</v>
      </c>
      <c r="M6" s="233">
        <f>'Energy NPV'!AE106</f>
        <v>46657.151313822724</v>
      </c>
    </row>
    <row r="7" spans="2:13" ht="14.5" x14ac:dyDescent="0.3">
      <c r="B7" s="240" t="s">
        <v>633</v>
      </c>
      <c r="C7" s="241" t="s">
        <v>571</v>
      </c>
      <c r="D7" s="235">
        <f>'Arable NPV'!Q28</f>
        <v>5715.5162485077717</v>
      </c>
      <c r="E7" s="233">
        <f>'Arable NPV'!Q54</f>
        <v>5715.5162485077717</v>
      </c>
      <c r="F7" s="233">
        <f>'Arable NPV'!Q80</f>
        <v>5715.5162485077717</v>
      </c>
      <c r="G7" s="233">
        <f>'Arable NPV'!Q106</f>
        <v>5715.5162485077717</v>
      </c>
      <c r="H7" s="233">
        <f>'Arable NPV'!Q132</f>
        <v>5715.5162485077717</v>
      </c>
      <c r="I7" s="233">
        <f>'Arable NPV'!R158</f>
        <v>5715.5162485077717</v>
      </c>
      <c r="J7" s="233">
        <f>'Energy NPV'!AF28</f>
        <v>5715.5162485077717</v>
      </c>
      <c r="K7" s="233">
        <f>'Energy NPV'!AF54</f>
        <v>5715.5162485077717</v>
      </c>
      <c r="L7" s="233">
        <f>'Energy NPV'!AF80</f>
        <v>5715.5162485077717</v>
      </c>
      <c r="M7" s="233">
        <f>'Energy NPV'!AF106</f>
        <v>5715.5162485077717</v>
      </c>
    </row>
    <row r="8" spans="2:13" ht="14.5" x14ac:dyDescent="0.3">
      <c r="B8" s="242" t="s">
        <v>296</v>
      </c>
      <c r="C8" s="243" t="s">
        <v>571</v>
      </c>
      <c r="D8" s="235">
        <f>'Arable NPV'!R28</f>
        <v>82246.715077974397</v>
      </c>
      <c r="E8" s="233">
        <f>'Arable NPV'!R54</f>
        <v>67480.360499916729</v>
      </c>
      <c r="F8" s="233">
        <f>'Arable NPV'!R80</f>
        <v>73979.184590529461</v>
      </c>
      <c r="G8" s="233">
        <f>'Arable NPV'!R106</f>
        <v>85121.001470847012</v>
      </c>
      <c r="H8" s="233">
        <f>'Arable NPV'!R132</f>
        <v>69083.709561294949</v>
      </c>
      <c r="I8" s="233">
        <f>'Arable NPV'!S158</f>
        <v>76192.100306180422</v>
      </c>
      <c r="J8" s="233">
        <f>'Energy NPV'!AG28</f>
        <v>18590.804294416528</v>
      </c>
      <c r="K8" s="233">
        <f>'Energy NPV'!AG54</f>
        <v>89741.974580161521</v>
      </c>
      <c r="L8" s="233">
        <f>'Energy NPV'!AG80</f>
        <v>50343.424286460307</v>
      </c>
      <c r="M8" s="233">
        <f>'Energy NPV'!AG106</f>
        <v>37199.511274111588</v>
      </c>
    </row>
    <row r="9" spans="2:13" ht="15" x14ac:dyDescent="0.3">
      <c r="B9" s="792" t="s">
        <v>634</v>
      </c>
      <c r="C9" s="793" t="s">
        <v>571</v>
      </c>
      <c r="D9" s="270">
        <f>D6-D8</f>
        <v>-25602.948542534185</v>
      </c>
      <c r="E9" s="270">
        <f t="shared" ref="E9:M9" si="0">E6-E8</f>
        <v>-41274.347677853177</v>
      </c>
      <c r="F9" s="270">
        <f t="shared" si="0"/>
        <v>3935.9874045954493</v>
      </c>
      <c r="G9" s="270">
        <f t="shared" si="0"/>
        <v>-2522.0727331891248</v>
      </c>
      <c r="H9" s="270">
        <f t="shared" si="0"/>
        <v>36200.840449381678</v>
      </c>
      <c r="I9" s="270">
        <f t="shared" si="0"/>
        <v>-6601.7125566195464</v>
      </c>
      <c r="J9" s="270">
        <f t="shared" si="0"/>
        <v>5406.5481287743678</v>
      </c>
      <c r="K9" s="270">
        <f t="shared" si="0"/>
        <v>-54596.597188212785</v>
      </c>
      <c r="L9" s="270">
        <f t="shared" si="0"/>
        <v>-16021.938401579682</v>
      </c>
      <c r="M9" s="270">
        <f t="shared" si="0"/>
        <v>9457.6400397111356</v>
      </c>
    </row>
    <row r="10" spans="2:13" ht="15" x14ac:dyDescent="0.3">
      <c r="B10" s="789" t="s">
        <v>635</v>
      </c>
      <c r="C10" s="790" t="s">
        <v>571</v>
      </c>
      <c r="D10" s="791">
        <f>D6+D7-D8</f>
        <v>-19887.43229402641</v>
      </c>
      <c r="E10" s="791">
        <f t="shared" ref="E10:M10" si="1">E6+E7-E8</f>
        <v>-35558.831429345402</v>
      </c>
      <c r="F10" s="791">
        <f>F6+F7-F8</f>
        <v>9651.5036531032238</v>
      </c>
      <c r="G10" s="791">
        <f t="shared" si="1"/>
        <v>3193.4435153186496</v>
      </c>
      <c r="H10" s="791">
        <f t="shared" si="1"/>
        <v>41916.356697889452</v>
      </c>
      <c r="I10" s="791">
        <f t="shared" si="1"/>
        <v>-886.19630811177194</v>
      </c>
      <c r="J10" s="791">
        <f t="shared" si="1"/>
        <v>11122.064377282139</v>
      </c>
      <c r="K10" s="791">
        <f t="shared" si="1"/>
        <v>-48881.080939705011</v>
      </c>
      <c r="L10" s="791">
        <f t="shared" si="1"/>
        <v>-10306.422153071908</v>
      </c>
      <c r="M10" s="791">
        <f t="shared" si="1"/>
        <v>15173.15628821891</v>
      </c>
    </row>
    <row r="11" spans="2:13" ht="15.5" x14ac:dyDescent="0.4">
      <c r="B11" s="244" t="s">
        <v>636</v>
      </c>
      <c r="C11" s="239" t="s">
        <v>571</v>
      </c>
      <c r="D11" s="247">
        <f>D9*((1+$C$2)^16)/(((1+$C$2)^16)-1)</f>
        <v>-54931.125599999978</v>
      </c>
      <c r="E11" s="247">
        <f t="shared" ref="E11:M11" si="2">E9*((1+$C$2)^16)/(((1+$C$2)^16)-1)</f>
        <v>-88554.112139999939</v>
      </c>
      <c r="F11" s="247">
        <f t="shared" si="2"/>
        <v>8444.6609000000044</v>
      </c>
      <c r="G11" s="247">
        <f t="shared" si="2"/>
        <v>-5411.10700000002</v>
      </c>
      <c r="H11" s="247">
        <f t="shared" si="2"/>
        <v>77668.902479999946</v>
      </c>
      <c r="I11" s="247">
        <f t="shared" si="2"/>
        <v>-14163.974161816252</v>
      </c>
      <c r="J11" s="247">
        <f t="shared" si="2"/>
        <v>11599.748905121758</v>
      </c>
      <c r="K11" s="247">
        <f t="shared" si="2"/>
        <v>-117136.99820534322</v>
      </c>
      <c r="L11" s="247">
        <f t="shared" si="2"/>
        <v>-34375.068528943877</v>
      </c>
      <c r="M11" s="247">
        <f t="shared" si="2"/>
        <v>20291.366521238146</v>
      </c>
    </row>
    <row r="12" spans="2:13" ht="15.5" x14ac:dyDescent="0.4">
      <c r="B12" s="245" t="s">
        <v>637</v>
      </c>
      <c r="C12" s="243" t="s">
        <v>571</v>
      </c>
      <c r="D12" s="234">
        <f>D10*((1+$C$2)^16)/(((1+$C$2)^16)-1)</f>
        <v>-42668.485599999978</v>
      </c>
      <c r="E12" s="234">
        <f t="shared" ref="E12:M12" si="3">E10*((1+$C$2)^16)/(((1+$C$2)^16)-1)</f>
        <v>-76291.472139999925</v>
      </c>
      <c r="F12" s="234">
        <f t="shared" si="3"/>
        <v>20707.300899999998</v>
      </c>
      <c r="G12" s="234">
        <f t="shared" si="3"/>
        <v>6851.5329999999731</v>
      </c>
      <c r="H12" s="234">
        <f t="shared" si="3"/>
        <v>89931.542479999931</v>
      </c>
      <c r="I12" s="234">
        <f t="shared" si="3"/>
        <v>-1901.3341618162578</v>
      </c>
      <c r="J12" s="234">
        <f t="shared" si="3"/>
        <v>23862.388905121745</v>
      </c>
      <c r="K12" s="234">
        <f t="shared" si="3"/>
        <v>-104874.35820534323</v>
      </c>
      <c r="L12" s="234">
        <f t="shared" si="3"/>
        <v>-22112.428528943881</v>
      </c>
      <c r="M12" s="234">
        <f t="shared" si="3"/>
        <v>32554.006521238138</v>
      </c>
    </row>
    <row r="13" spans="2:13" ht="14.5" x14ac:dyDescent="0.3">
      <c r="B13" s="244" t="s">
        <v>638</v>
      </c>
      <c r="C13" s="239" t="s">
        <v>588</v>
      </c>
      <c r="D13" s="247">
        <f>D11*$C$2</f>
        <v>-2197.2450239999994</v>
      </c>
      <c r="E13" s="247">
        <f t="shared" ref="E13:M13" si="4">E11*$C$2</f>
        <v>-3542.1644855999975</v>
      </c>
      <c r="F13" s="247">
        <f t="shared" si="4"/>
        <v>337.78643600000021</v>
      </c>
      <c r="G13" s="247">
        <f t="shared" si="4"/>
        <v>-216.44428000000082</v>
      </c>
      <c r="H13" s="247">
        <f t="shared" si="4"/>
        <v>3106.7560991999981</v>
      </c>
      <c r="I13" s="247">
        <f t="shared" si="4"/>
        <v>-566.55896647265013</v>
      </c>
      <c r="J13" s="247">
        <f t="shared" si="4"/>
        <v>463.98995620487034</v>
      </c>
      <c r="K13" s="247">
        <f t="shared" si="4"/>
        <v>-4685.4799282137292</v>
      </c>
      <c r="L13" s="247">
        <f t="shared" si="4"/>
        <v>-1375.0027411577551</v>
      </c>
      <c r="M13" s="247">
        <f t="shared" si="4"/>
        <v>811.65466084952584</v>
      </c>
    </row>
    <row r="14" spans="2:13" ht="14.5" x14ac:dyDescent="0.3">
      <c r="B14" s="246" t="s">
        <v>639</v>
      </c>
      <c r="C14" s="243" t="s">
        <v>588</v>
      </c>
      <c r="D14" s="248">
        <f>D12*$C$2</f>
        <v>-1706.7394239999992</v>
      </c>
      <c r="E14" s="248">
        <f t="shared" ref="E14:M14" si="5">E12*$C$2</f>
        <v>-3051.6588855999971</v>
      </c>
      <c r="F14" s="248">
        <f t="shared" si="5"/>
        <v>828.29203599999994</v>
      </c>
      <c r="G14" s="248">
        <f t="shared" si="5"/>
        <v>274.06131999999894</v>
      </c>
      <c r="H14" s="248">
        <f t="shared" si="5"/>
        <v>3597.2616991999971</v>
      </c>
      <c r="I14" s="248">
        <f t="shared" si="5"/>
        <v>-76.05336647265031</v>
      </c>
      <c r="J14" s="248">
        <f t="shared" si="5"/>
        <v>954.49555620486979</v>
      </c>
      <c r="K14" s="248">
        <f t="shared" si="5"/>
        <v>-4194.9743282137297</v>
      </c>
      <c r="L14" s="248">
        <f t="shared" si="5"/>
        <v>-884.49714115775532</v>
      </c>
      <c r="M14" s="248">
        <f t="shared" si="5"/>
        <v>1302.1602608495255</v>
      </c>
    </row>
    <row r="15" spans="2:13" x14ac:dyDescent="0.3">
      <c r="B15" s="794" t="s">
        <v>303</v>
      </c>
      <c r="C15" s="795"/>
      <c r="D15" s="796">
        <f t="shared" ref="D15:M15" si="6">RANK(D10,$D$10:$M$10)</f>
        <v>8</v>
      </c>
      <c r="E15" s="796">
        <f t="shared" si="6"/>
        <v>9</v>
      </c>
      <c r="F15" s="796">
        <f t="shared" si="6"/>
        <v>4</v>
      </c>
      <c r="G15" s="796">
        <f t="shared" si="6"/>
        <v>5</v>
      </c>
      <c r="H15" s="796">
        <f t="shared" si="6"/>
        <v>1</v>
      </c>
      <c r="I15" s="796">
        <f t="shared" si="6"/>
        <v>6</v>
      </c>
      <c r="J15" s="796">
        <f t="shared" si="6"/>
        <v>3</v>
      </c>
      <c r="K15" s="796">
        <f t="shared" si="6"/>
        <v>10</v>
      </c>
      <c r="L15" s="796">
        <f t="shared" si="6"/>
        <v>7</v>
      </c>
      <c r="M15" s="796">
        <f t="shared" si="6"/>
        <v>2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62"/>
  <sheetViews>
    <sheetView topLeftCell="C10" zoomScale="120" zoomScaleNormal="120" workbookViewId="0">
      <selection activeCell="D29" sqref="D29"/>
    </sheetView>
  </sheetViews>
  <sheetFormatPr defaultColWidth="9" defaultRowHeight="14" x14ac:dyDescent="0.3"/>
  <cols>
    <col min="2" max="2" width="22.58203125" customWidth="1"/>
  </cols>
  <sheetData>
    <row r="1" spans="1:8" x14ac:dyDescent="0.3">
      <c r="A1" s="366"/>
      <c r="B1" s="366"/>
      <c r="C1" s="366"/>
      <c r="D1" s="366"/>
      <c r="E1" s="366"/>
      <c r="F1" s="366"/>
      <c r="G1" s="366"/>
      <c r="H1" s="366"/>
    </row>
    <row r="2" spans="1:8" x14ac:dyDescent="0.3">
      <c r="A2" s="366"/>
      <c r="B2" s="366"/>
      <c r="C2" s="366"/>
      <c r="D2" s="366"/>
      <c r="E2" s="366"/>
      <c r="F2" s="366"/>
      <c r="G2" s="366"/>
      <c r="H2" s="366"/>
    </row>
    <row r="3" spans="1:8" ht="14.5" thickBot="1" x14ac:dyDescent="0.35">
      <c r="A3" s="366"/>
      <c r="B3" s="366"/>
      <c r="C3" s="366"/>
      <c r="D3" s="366"/>
      <c r="E3" s="366"/>
      <c r="F3" s="366"/>
      <c r="G3" s="366"/>
      <c r="H3" s="366"/>
    </row>
    <row r="4" spans="1:8" ht="14.5" thickBot="1" x14ac:dyDescent="0.35">
      <c r="A4" s="366"/>
      <c r="B4" s="414" t="s">
        <v>566</v>
      </c>
      <c r="C4" s="396"/>
      <c r="D4" s="396"/>
      <c r="E4" s="396"/>
      <c r="F4" s="396"/>
      <c r="G4" s="396"/>
      <c r="H4" s="396"/>
    </row>
    <row r="5" spans="1:8" x14ac:dyDescent="0.3">
      <c r="A5" s="366"/>
      <c r="B5" s="396"/>
      <c r="C5" s="396"/>
      <c r="D5" s="396"/>
      <c r="E5" s="396"/>
      <c r="F5" s="396"/>
      <c r="G5" s="396"/>
      <c r="H5" s="396"/>
    </row>
    <row r="6" spans="1:8" x14ac:dyDescent="0.3">
      <c r="A6" s="366"/>
      <c r="B6" s="385" t="s">
        <v>216</v>
      </c>
      <c r="C6" s="384"/>
      <c r="D6" s="384"/>
      <c r="E6" s="384"/>
      <c r="F6" s="384"/>
      <c r="G6" s="384"/>
      <c r="H6" s="384"/>
    </row>
    <row r="7" spans="1:8" x14ac:dyDescent="0.3">
      <c r="A7" s="366"/>
      <c r="B7" s="381"/>
      <c r="C7" s="381"/>
      <c r="D7" s="381"/>
      <c r="E7" s="381"/>
      <c r="F7" s="381"/>
      <c r="G7" s="381"/>
      <c r="H7" s="381"/>
    </row>
    <row r="8" spans="1:8" x14ac:dyDescent="0.3">
      <c r="A8" s="366"/>
      <c r="B8" s="379" t="s">
        <v>433</v>
      </c>
      <c r="C8" s="412"/>
      <c r="D8" s="770">
        <v>4.9000000000000004</v>
      </c>
      <c r="E8" s="381"/>
      <c r="F8" s="381"/>
      <c r="G8" s="381"/>
      <c r="H8" s="381"/>
    </row>
    <row r="9" spans="1:8" x14ac:dyDescent="0.3">
      <c r="A9" s="366"/>
      <c r="B9" s="379" t="s">
        <v>353</v>
      </c>
      <c r="C9" s="412" t="s">
        <v>306</v>
      </c>
      <c r="D9" s="768">
        <v>0.04</v>
      </c>
      <c r="E9" s="381"/>
      <c r="F9" s="394"/>
      <c r="G9" s="381"/>
      <c r="H9" s="381"/>
    </row>
    <row r="10" spans="1:8" x14ac:dyDescent="0.3">
      <c r="A10" s="366"/>
      <c r="B10" s="379" t="s">
        <v>591</v>
      </c>
      <c r="C10" s="412" t="s">
        <v>567</v>
      </c>
      <c r="D10" s="388">
        <f>471.64</f>
        <v>471.64</v>
      </c>
      <c r="E10" s="381"/>
      <c r="F10" s="382"/>
      <c r="G10" s="381"/>
      <c r="H10" s="381"/>
    </row>
    <row r="11" spans="1:8" x14ac:dyDescent="0.3">
      <c r="A11" s="366"/>
      <c r="B11" s="379" t="s">
        <v>218</v>
      </c>
      <c r="C11" s="412" t="s">
        <v>567</v>
      </c>
      <c r="D11" s="391">
        <v>0</v>
      </c>
      <c r="E11" s="381"/>
      <c r="F11" s="413"/>
      <c r="G11" s="381"/>
      <c r="H11" s="381"/>
    </row>
    <row r="12" spans="1:8" x14ac:dyDescent="0.3">
      <c r="A12" s="366"/>
      <c r="B12" s="379" t="s">
        <v>219</v>
      </c>
      <c r="C12" s="412" t="s">
        <v>567</v>
      </c>
      <c r="D12" s="391">
        <v>0</v>
      </c>
      <c r="E12" s="381"/>
      <c r="F12" s="394"/>
      <c r="G12" s="381"/>
      <c r="H12" s="381"/>
    </row>
    <row r="13" spans="1:8" x14ac:dyDescent="0.3">
      <c r="A13" s="366"/>
      <c r="B13" s="381"/>
      <c r="C13" s="381"/>
      <c r="D13" s="394"/>
      <c r="E13" s="381"/>
      <c r="F13" s="394"/>
      <c r="G13" s="394"/>
      <c r="H13" s="381"/>
    </row>
    <row r="14" spans="1:8" x14ac:dyDescent="0.3">
      <c r="A14" s="366"/>
      <c r="B14" s="381"/>
      <c r="C14" s="381"/>
      <c r="D14" s="394"/>
      <c r="E14" s="381"/>
      <c r="F14" s="394"/>
      <c r="G14" s="381"/>
      <c r="H14" s="381"/>
    </row>
    <row r="15" spans="1:8" x14ac:dyDescent="0.3">
      <c r="A15" s="366"/>
      <c r="B15" s="385" t="s">
        <v>245</v>
      </c>
      <c r="C15" s="384"/>
      <c r="D15" s="384"/>
      <c r="E15" s="384"/>
      <c r="F15" s="384"/>
      <c r="G15" s="384"/>
      <c r="H15" s="384"/>
    </row>
    <row r="16" spans="1:8" x14ac:dyDescent="0.3">
      <c r="A16" s="366"/>
      <c r="B16" s="383"/>
      <c r="C16" s="381"/>
      <c r="D16" s="381"/>
      <c r="E16" s="381"/>
      <c r="F16" s="381"/>
      <c r="G16" s="381"/>
      <c r="H16" s="381"/>
    </row>
    <row r="17" spans="1:13" x14ac:dyDescent="0.3">
      <c r="A17" s="366"/>
      <c r="B17" s="383"/>
      <c r="C17" s="381"/>
      <c r="D17" s="380" t="s">
        <v>4</v>
      </c>
      <c r="E17" s="380" t="s">
        <v>668</v>
      </c>
      <c r="F17" s="380" t="s">
        <v>5</v>
      </c>
      <c r="G17" s="380" t="s">
        <v>6</v>
      </c>
      <c r="H17" s="380" t="s">
        <v>258</v>
      </c>
    </row>
    <row r="18" spans="1:13" x14ac:dyDescent="0.3">
      <c r="A18" s="366"/>
      <c r="B18" s="379" t="s">
        <v>220</v>
      </c>
      <c r="C18" s="379" t="s">
        <v>337</v>
      </c>
      <c r="D18" s="388">
        <v>4.5999999999999996</v>
      </c>
      <c r="E18" s="388">
        <v>2.5</v>
      </c>
      <c r="F18" s="388">
        <v>3.5</v>
      </c>
      <c r="G18" s="388">
        <v>56.8</v>
      </c>
      <c r="H18" s="388">
        <v>12</v>
      </c>
      <c r="I18" s="912"/>
    </row>
    <row r="19" spans="1:13" x14ac:dyDescent="0.3">
      <c r="A19" s="366"/>
      <c r="B19" s="379" t="s">
        <v>3</v>
      </c>
      <c r="C19" s="379" t="s">
        <v>337</v>
      </c>
      <c r="D19" s="411">
        <v>4.9000000000000004</v>
      </c>
      <c r="E19" s="388">
        <v>3</v>
      </c>
      <c r="F19" s="388">
        <v>5.6</v>
      </c>
      <c r="G19" s="410"/>
      <c r="H19" s="409"/>
    </row>
    <row r="20" spans="1:13" x14ac:dyDescent="0.3">
      <c r="A20" s="366"/>
      <c r="B20" s="381"/>
      <c r="C20" s="381"/>
      <c r="D20" s="408"/>
      <c r="E20" s="408"/>
      <c r="F20" s="408"/>
      <c r="G20" s="366"/>
      <c r="H20" s="381"/>
    </row>
    <row r="21" spans="1:13" x14ac:dyDescent="0.3">
      <c r="A21" s="366"/>
      <c r="B21" s="381"/>
      <c r="C21" s="381"/>
      <c r="D21" s="407"/>
      <c r="E21" s="407"/>
      <c r="F21" s="407"/>
      <c r="G21" s="381"/>
      <c r="H21" s="381"/>
    </row>
    <row r="22" spans="1:13" x14ac:dyDescent="0.3">
      <c r="A22" s="366"/>
      <c r="B22" s="385" t="s">
        <v>221</v>
      </c>
      <c r="C22" s="384"/>
      <c r="D22" s="384"/>
      <c r="E22" s="384"/>
      <c r="F22" s="384"/>
      <c r="G22" s="384"/>
      <c r="H22" s="384"/>
    </row>
    <row r="23" spans="1:13" x14ac:dyDescent="0.3">
      <c r="A23" s="366"/>
      <c r="B23" s="383"/>
      <c r="C23" s="381"/>
      <c r="D23" s="381"/>
      <c r="E23" s="381"/>
      <c r="F23" s="381"/>
      <c r="G23" s="381"/>
      <c r="H23" s="381"/>
    </row>
    <row r="24" spans="1:13" x14ac:dyDescent="0.3">
      <c r="A24" s="366"/>
      <c r="B24" s="383"/>
      <c r="C24" s="381"/>
      <c r="D24" s="380" t="s">
        <v>4</v>
      </c>
      <c r="E24" s="380" t="s">
        <v>668</v>
      </c>
      <c r="F24" s="380" t="s">
        <v>5</v>
      </c>
      <c r="G24" s="380" t="s">
        <v>6</v>
      </c>
      <c r="H24" s="380" t="s">
        <v>258</v>
      </c>
      <c r="K24" s="358"/>
      <c r="L24" s="754"/>
    </row>
    <row r="25" spans="1:13" x14ac:dyDescent="0.3">
      <c r="A25" s="366"/>
      <c r="B25" s="379" t="s">
        <v>458</v>
      </c>
      <c r="C25" s="379" t="s">
        <v>568</v>
      </c>
      <c r="D25" s="388">
        <v>867</v>
      </c>
      <c r="E25" s="388">
        <v>721</v>
      </c>
      <c r="F25" s="388">
        <v>1645</v>
      </c>
      <c r="G25" s="388">
        <v>120</v>
      </c>
      <c r="H25" s="388">
        <v>724</v>
      </c>
      <c r="K25" s="358"/>
      <c r="L25" s="754"/>
    </row>
    <row r="26" spans="1:13" x14ac:dyDescent="0.3">
      <c r="A26" s="366"/>
      <c r="B26" s="379" t="s">
        <v>3</v>
      </c>
      <c r="C26" s="406" t="s">
        <v>568</v>
      </c>
      <c r="D26" s="388">
        <v>140</v>
      </c>
      <c r="E26" s="388">
        <v>120</v>
      </c>
      <c r="F26" s="388">
        <v>120</v>
      </c>
      <c r="G26" s="989"/>
      <c r="H26" s="990"/>
    </row>
    <row r="27" spans="1:13" x14ac:dyDescent="0.3">
      <c r="A27" s="366"/>
      <c r="B27" s="383"/>
      <c r="C27" s="381"/>
      <c r="D27" s="381"/>
      <c r="E27" s="381"/>
      <c r="F27" s="381"/>
      <c r="G27" s="394"/>
      <c r="H27" s="381"/>
    </row>
    <row r="28" spans="1:13" x14ac:dyDescent="0.3">
      <c r="A28" s="366"/>
      <c r="B28" s="381"/>
      <c r="C28" s="381"/>
      <c r="D28" s="381"/>
      <c r="E28" s="381"/>
      <c r="F28" s="381"/>
      <c r="G28" s="381"/>
      <c r="H28" s="381"/>
      <c r="M28" s="1000"/>
    </row>
    <row r="29" spans="1:13" x14ac:dyDescent="0.3">
      <c r="A29" s="366"/>
      <c r="B29" s="385" t="s">
        <v>223</v>
      </c>
      <c r="C29" s="384"/>
      <c r="D29" s="384"/>
      <c r="E29" s="384"/>
      <c r="F29" s="384"/>
      <c r="G29" s="384"/>
      <c r="H29" s="384"/>
    </row>
    <row r="30" spans="1:13" x14ac:dyDescent="0.3">
      <c r="A30" s="366"/>
      <c r="B30" s="381"/>
      <c r="C30" s="381"/>
      <c r="D30" s="381"/>
      <c r="E30" s="381"/>
      <c r="F30" s="381"/>
      <c r="G30" s="381"/>
      <c r="H30" s="381"/>
    </row>
    <row r="31" spans="1:13" x14ac:dyDescent="0.3">
      <c r="A31" s="366"/>
      <c r="B31" s="405" t="s">
        <v>224</v>
      </c>
      <c r="C31" s="392" t="s">
        <v>569</v>
      </c>
      <c r="D31" s="864">
        <v>17</v>
      </c>
      <c r="E31" s="381"/>
      <c r="F31" s="381"/>
      <c r="G31" s="381"/>
      <c r="H31" s="381"/>
    </row>
    <row r="32" spans="1:13" x14ac:dyDescent="0.3">
      <c r="A32" s="366"/>
      <c r="B32" s="381"/>
      <c r="C32" s="390"/>
      <c r="D32" s="358"/>
      <c r="E32" s="381"/>
      <c r="F32" s="381"/>
      <c r="G32" s="381"/>
      <c r="H32" s="381"/>
    </row>
    <row r="33" spans="1:8" x14ac:dyDescent="0.3">
      <c r="A33" s="366"/>
      <c r="B33" s="393" t="s">
        <v>225</v>
      </c>
      <c r="C33" s="404"/>
      <c r="D33" s="403" t="s">
        <v>679</v>
      </c>
      <c r="E33" s="381"/>
      <c r="F33" s="381"/>
      <c r="G33" s="381"/>
      <c r="H33" s="381"/>
    </row>
    <row r="34" spans="1:8" x14ac:dyDescent="0.3">
      <c r="A34" s="366"/>
      <c r="B34" s="396"/>
      <c r="C34" s="402" t="s">
        <v>226</v>
      </c>
      <c r="D34" s="401">
        <v>3.44</v>
      </c>
      <c r="E34" s="381"/>
      <c r="F34" s="381"/>
      <c r="G34" s="381"/>
      <c r="H34" s="381"/>
    </row>
    <row r="35" spans="1:8" x14ac:dyDescent="0.3">
      <c r="A35" s="366"/>
      <c r="B35" s="396"/>
      <c r="C35" s="399" t="s">
        <v>448</v>
      </c>
      <c r="D35" s="398">
        <v>4.47</v>
      </c>
      <c r="E35" s="381" t="s">
        <v>450</v>
      </c>
      <c r="F35" s="397"/>
      <c r="G35" s="400"/>
      <c r="H35" s="381"/>
    </row>
    <row r="36" spans="1:8" x14ac:dyDescent="0.3">
      <c r="A36" s="366"/>
      <c r="B36" s="396"/>
      <c r="C36" s="399" t="s">
        <v>449</v>
      </c>
      <c r="D36" s="398">
        <v>2.68</v>
      </c>
      <c r="E36" s="381" t="s">
        <v>451</v>
      </c>
      <c r="F36" s="397"/>
      <c r="G36" s="397"/>
      <c r="H36" s="381"/>
    </row>
    <row r="37" spans="1:8" x14ac:dyDescent="0.3">
      <c r="A37" s="366"/>
      <c r="B37" s="396"/>
      <c r="C37" s="395" t="s">
        <v>565</v>
      </c>
      <c r="D37" s="885">
        <v>1.93</v>
      </c>
      <c r="E37" s="381"/>
      <c r="F37" s="397"/>
      <c r="G37" s="397"/>
      <c r="H37" s="381"/>
    </row>
    <row r="38" spans="1:8" x14ac:dyDescent="0.3">
      <c r="A38" s="366"/>
      <c r="B38" s="396"/>
      <c r="C38" s="813"/>
      <c r="D38" s="814"/>
      <c r="E38" s="381"/>
      <c r="F38" s="394"/>
      <c r="G38" s="381"/>
      <c r="H38" s="381"/>
    </row>
    <row r="39" spans="1:8" x14ac:dyDescent="0.3">
      <c r="A39" s="366"/>
      <c r="B39" s="385" t="s">
        <v>11</v>
      </c>
      <c r="C39" s="384"/>
      <c r="D39" s="384"/>
      <c r="E39" s="384"/>
      <c r="F39" s="384"/>
      <c r="G39" s="384"/>
      <c r="H39" s="384"/>
    </row>
    <row r="40" spans="1:8" x14ac:dyDescent="0.3">
      <c r="A40" s="366"/>
      <c r="B40" s="381"/>
      <c r="C40" s="381"/>
      <c r="D40" s="381"/>
      <c r="E40" s="381"/>
      <c r="F40" s="381"/>
      <c r="G40" s="381"/>
      <c r="H40" s="381"/>
    </row>
    <row r="41" spans="1:8" x14ac:dyDescent="0.3">
      <c r="A41" s="366"/>
      <c r="B41" s="383"/>
      <c r="C41" s="381"/>
      <c r="D41" s="380" t="s">
        <v>4</v>
      </c>
      <c r="E41" s="380" t="s">
        <v>668</v>
      </c>
      <c r="F41" s="380" t="s">
        <v>5</v>
      </c>
      <c r="G41" s="380" t="s">
        <v>6</v>
      </c>
      <c r="H41" s="380" t="s">
        <v>258</v>
      </c>
    </row>
    <row r="42" spans="1:8" x14ac:dyDescent="0.3">
      <c r="A42" s="366"/>
      <c r="B42" s="393" t="s">
        <v>455</v>
      </c>
      <c r="C42" s="392" t="s">
        <v>567</v>
      </c>
      <c r="D42" s="388">
        <f>1.89*200</f>
        <v>378</v>
      </c>
      <c r="E42" s="388">
        <f>1.7*180</f>
        <v>306</v>
      </c>
      <c r="F42" s="388">
        <f>180.86*3</f>
        <v>542.58000000000004</v>
      </c>
      <c r="G42" s="388">
        <f>1300*1.3</f>
        <v>1690</v>
      </c>
      <c r="H42" s="388">
        <f>24.31*24</f>
        <v>583.43999999999994</v>
      </c>
    </row>
    <row r="43" spans="1:8" x14ac:dyDescent="0.3">
      <c r="A43" s="366"/>
      <c r="B43" s="382"/>
      <c r="C43" s="381"/>
      <c r="D43" s="383"/>
      <c r="E43" s="383"/>
      <c r="F43" s="383"/>
      <c r="G43" s="383"/>
      <c r="H43" s="383"/>
    </row>
    <row r="44" spans="1:8" x14ac:dyDescent="0.3">
      <c r="A44" s="366"/>
      <c r="B44" s="383"/>
      <c r="C44" s="381"/>
      <c r="D44" s="380" t="s">
        <v>4</v>
      </c>
      <c r="E44" s="380" t="s">
        <v>668</v>
      </c>
      <c r="F44" s="380" t="s">
        <v>5</v>
      </c>
      <c r="G44" s="380" t="s">
        <v>6</v>
      </c>
      <c r="H44" s="380" t="s">
        <v>258</v>
      </c>
    </row>
    <row r="45" spans="1:8" x14ac:dyDescent="0.3">
      <c r="A45" s="366"/>
      <c r="B45" s="379" t="s">
        <v>452</v>
      </c>
      <c r="C45" s="379" t="s">
        <v>567</v>
      </c>
      <c r="D45" s="388">
        <v>274</v>
      </c>
      <c r="E45" s="388">
        <v>195</v>
      </c>
      <c r="F45" s="388">
        <v>238.6</v>
      </c>
      <c r="G45" s="388">
        <v>340.8</v>
      </c>
      <c r="H45" s="388">
        <v>277.3</v>
      </c>
    </row>
    <row r="46" spans="1:8" x14ac:dyDescent="0.3">
      <c r="A46" s="366"/>
      <c r="B46" s="381"/>
      <c r="C46" s="381"/>
    </row>
    <row r="47" spans="1:8" x14ac:dyDescent="0.3">
      <c r="A47" s="366"/>
      <c r="B47" s="383"/>
      <c r="C47" s="381"/>
      <c r="D47" s="380" t="s">
        <v>4</v>
      </c>
      <c r="E47" s="380" t="s">
        <v>668</v>
      </c>
      <c r="F47" s="380" t="s">
        <v>5</v>
      </c>
      <c r="G47" s="380" t="s">
        <v>6</v>
      </c>
      <c r="H47" s="380" t="s">
        <v>258</v>
      </c>
    </row>
    <row r="48" spans="1:8" x14ac:dyDescent="0.3">
      <c r="A48" s="366"/>
      <c r="B48" s="379" t="s">
        <v>227</v>
      </c>
      <c r="C48" s="379" t="s">
        <v>567</v>
      </c>
      <c r="D48" s="388">
        <f>49.6*3</f>
        <v>148.80000000000001</v>
      </c>
      <c r="E48" s="388">
        <f>49.6*2</f>
        <v>99.2</v>
      </c>
      <c r="F48" s="388">
        <f>49.6*5</f>
        <v>248</v>
      </c>
      <c r="G48" s="388">
        <f>49.6*2</f>
        <v>99.2</v>
      </c>
      <c r="H48" s="388">
        <f>49.6*3</f>
        <v>148.80000000000001</v>
      </c>
    </row>
    <row r="49" spans="1:8" x14ac:dyDescent="0.3">
      <c r="A49" s="366"/>
      <c r="B49" s="390"/>
      <c r="C49" s="381"/>
      <c r="D49" s="381"/>
      <c r="E49" s="381"/>
      <c r="F49" s="381"/>
      <c r="G49" s="381"/>
      <c r="H49" s="381"/>
    </row>
    <row r="50" spans="1:8" x14ac:dyDescent="0.3">
      <c r="A50" s="366"/>
      <c r="B50" s="383"/>
      <c r="C50" s="381"/>
      <c r="D50" s="380" t="s">
        <v>4</v>
      </c>
      <c r="E50" s="380" t="s">
        <v>668</v>
      </c>
      <c r="F50" s="380" t="s">
        <v>5</v>
      </c>
      <c r="G50" s="389"/>
      <c r="H50" s="358"/>
    </row>
    <row r="51" spans="1:8" x14ac:dyDescent="0.3">
      <c r="A51" s="366"/>
      <c r="B51" s="379" t="s">
        <v>228</v>
      </c>
      <c r="C51" s="379" t="s">
        <v>568</v>
      </c>
      <c r="D51" s="388">
        <v>62.85</v>
      </c>
      <c r="E51" s="388">
        <v>62.85</v>
      </c>
      <c r="F51" s="388">
        <v>62.85</v>
      </c>
      <c r="G51" s="387"/>
      <c r="H51" s="381"/>
    </row>
    <row r="52" spans="1:8" x14ac:dyDescent="0.3">
      <c r="A52" s="366"/>
      <c r="B52" s="386"/>
      <c r="C52" s="386"/>
      <c r="D52" s="386"/>
      <c r="E52" s="386"/>
      <c r="F52" s="386"/>
      <c r="G52" s="386"/>
      <c r="H52" s="386"/>
    </row>
    <row r="53" spans="1:8" x14ac:dyDescent="0.3">
      <c r="A53" s="366"/>
      <c r="B53" s="385" t="s">
        <v>229</v>
      </c>
      <c r="C53" s="384"/>
      <c r="D53" s="384"/>
      <c r="E53" s="384"/>
      <c r="F53" s="384"/>
      <c r="G53" s="384"/>
      <c r="H53" s="384"/>
    </row>
    <row r="54" spans="1:8" x14ac:dyDescent="0.3">
      <c r="A54" s="366"/>
      <c r="B54" s="381"/>
      <c r="C54" s="381"/>
      <c r="D54" s="381"/>
      <c r="E54" s="381"/>
      <c r="F54" s="381"/>
      <c r="G54" s="381"/>
      <c r="H54" s="381"/>
    </row>
    <row r="55" spans="1:8" x14ac:dyDescent="0.3">
      <c r="A55" s="366"/>
      <c r="B55" s="381"/>
      <c r="C55" s="381"/>
      <c r="D55" s="380" t="s">
        <v>4</v>
      </c>
      <c r="E55" s="380" t="s">
        <v>668</v>
      </c>
      <c r="F55" s="380" t="s">
        <v>5</v>
      </c>
      <c r="G55" s="380" t="s">
        <v>6</v>
      </c>
      <c r="H55" s="380" t="s">
        <v>258</v>
      </c>
    </row>
    <row r="56" spans="1:8" x14ac:dyDescent="0.3">
      <c r="A56" s="366"/>
      <c r="B56" s="379" t="s">
        <v>227</v>
      </c>
      <c r="C56" s="379" t="s">
        <v>338</v>
      </c>
      <c r="D56" s="378">
        <v>3</v>
      </c>
      <c r="E56" s="378">
        <v>2</v>
      </c>
      <c r="F56" s="378">
        <v>5</v>
      </c>
      <c r="G56" s="378">
        <v>2</v>
      </c>
      <c r="H56" s="378">
        <v>3</v>
      </c>
    </row>
    <row r="57" spans="1:8" x14ac:dyDescent="0.3">
      <c r="B57" s="24"/>
      <c r="C57" s="24"/>
      <c r="D57" s="24"/>
      <c r="E57" s="24"/>
      <c r="F57" s="24"/>
      <c r="G57" s="24"/>
      <c r="H57" s="24"/>
    </row>
    <row r="58" spans="1:8" x14ac:dyDescent="0.3">
      <c r="B58" s="381"/>
      <c r="C58" s="381"/>
      <c r="D58" s="380" t="s">
        <v>4</v>
      </c>
      <c r="E58" s="380" t="s">
        <v>668</v>
      </c>
      <c r="F58" s="380" t="s">
        <v>5</v>
      </c>
      <c r="G58" s="380" t="s">
        <v>6</v>
      </c>
      <c r="H58" s="380" t="s">
        <v>258</v>
      </c>
    </row>
    <row r="59" spans="1:8" x14ac:dyDescent="0.3">
      <c r="B59" s="379" t="s">
        <v>505</v>
      </c>
      <c r="C59" s="881" t="s">
        <v>510</v>
      </c>
      <c r="D59" s="886">
        <v>194</v>
      </c>
      <c r="E59" s="886">
        <v>84</v>
      </c>
      <c r="F59" s="886">
        <v>190</v>
      </c>
      <c r="G59" s="886">
        <v>127</v>
      </c>
      <c r="H59" s="886">
        <v>145</v>
      </c>
    </row>
    <row r="60" spans="1:8" ht="14.5" x14ac:dyDescent="0.35">
      <c r="C60" s="882" t="s">
        <v>511</v>
      </c>
      <c r="D60" s="887">
        <f>60*2.291</f>
        <v>137.46</v>
      </c>
      <c r="E60" s="887">
        <f>47*2.291</f>
        <v>107.67699999999999</v>
      </c>
      <c r="F60" s="887">
        <f>75*2.291</f>
        <v>171.82499999999999</v>
      </c>
      <c r="G60" s="887">
        <f>90*2.291</f>
        <v>206.19</v>
      </c>
      <c r="H60" s="887">
        <f>76*2.291</f>
        <v>174.11599999999999</v>
      </c>
    </row>
    <row r="61" spans="1:8" ht="14.5" x14ac:dyDescent="0.35">
      <c r="C61" s="882" t="s">
        <v>512</v>
      </c>
      <c r="D61" s="887">
        <f>95*1.205</f>
        <v>114.47500000000001</v>
      </c>
      <c r="E61" s="887">
        <f>126*1.205</f>
        <v>151.83000000000001</v>
      </c>
      <c r="F61" s="887">
        <f>200*1.205</f>
        <v>241</v>
      </c>
      <c r="G61" s="887">
        <f>155*1.205</f>
        <v>186.77500000000001</v>
      </c>
      <c r="H61" s="887">
        <f>144*1.205</f>
        <v>173.52</v>
      </c>
    </row>
    <row r="62" spans="1:8" x14ac:dyDescent="0.3">
      <c r="C62" s="395" t="s">
        <v>565</v>
      </c>
      <c r="D62" s="980">
        <v>50</v>
      </c>
      <c r="E62" s="980">
        <v>50</v>
      </c>
      <c r="F62" s="980">
        <v>50</v>
      </c>
      <c r="G62" s="980">
        <v>50</v>
      </c>
      <c r="H62" s="888">
        <v>50</v>
      </c>
    </row>
  </sheetData>
  <sheetProtection selectLockedCells="1"/>
  <dataValidations count="1">
    <dataValidation type="decimal" errorStyle="information" allowBlank="1" showInputMessage="1" showErrorMessage="1" errorTitle="Input Range" error="Value between 0.01 and 0.15" promptTitle="Select discount rate" prompt="0.01-0.15" sqref="D9">
      <formula1>0</formula1>
      <formula2>0.15</formula2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N43"/>
  <sheetViews>
    <sheetView tabSelected="1" topLeftCell="J13" zoomScale="130" zoomScaleNormal="130" workbookViewId="0">
      <selection activeCell="D38" sqref="D38:J43"/>
    </sheetView>
  </sheetViews>
  <sheetFormatPr defaultColWidth="9" defaultRowHeight="14" x14ac:dyDescent="0.3"/>
  <cols>
    <col min="2" max="2" width="14.33203125" customWidth="1"/>
    <col min="3" max="3" width="10.58203125" customWidth="1"/>
    <col min="6" max="6" width="11" customWidth="1"/>
    <col min="7" max="7" width="18.08203125" customWidth="1"/>
  </cols>
  <sheetData>
    <row r="4" spans="2:14" x14ac:dyDescent="0.3">
      <c r="B4" s="254"/>
      <c r="C4" s="254"/>
      <c r="D4" s="254"/>
      <c r="E4" s="254"/>
      <c r="F4" s="98"/>
      <c r="G4" s="98"/>
      <c r="H4" s="98"/>
      <c r="I4" s="254"/>
      <c r="J4" s="254"/>
      <c r="K4" s="254"/>
      <c r="L4" s="254"/>
      <c r="M4" s="254"/>
      <c r="N4" s="98"/>
    </row>
    <row r="5" spans="2:14" ht="15" customHeight="1" x14ac:dyDescent="0.3">
      <c r="B5" s="1095" t="s">
        <v>590</v>
      </c>
      <c r="C5" s="1096"/>
      <c r="D5" s="255"/>
      <c r="E5" s="255"/>
      <c r="F5" s="39"/>
      <c r="G5" s="39"/>
      <c r="H5" s="39"/>
      <c r="I5" s="255"/>
      <c r="J5" s="255"/>
      <c r="K5" s="255"/>
      <c r="L5" s="255"/>
      <c r="M5" s="255"/>
      <c r="N5" s="39"/>
    </row>
    <row r="6" spans="2:14" x14ac:dyDescent="0.3">
      <c r="B6" s="256"/>
      <c r="C6" s="39"/>
      <c r="D6" s="39"/>
      <c r="E6" s="255"/>
      <c r="H6" s="39"/>
      <c r="I6" s="255"/>
      <c r="J6" s="255"/>
      <c r="K6" s="255"/>
      <c r="L6" s="255"/>
      <c r="M6" s="255"/>
      <c r="N6" s="39"/>
    </row>
    <row r="7" spans="2:14" x14ac:dyDescent="0.3">
      <c r="B7" s="256"/>
      <c r="C7" s="39"/>
      <c r="D7" s="39"/>
      <c r="E7" s="255"/>
      <c r="H7" s="255"/>
      <c r="I7" s="255"/>
      <c r="J7" s="255"/>
      <c r="K7" s="255"/>
      <c r="L7" s="255"/>
      <c r="M7" s="255"/>
      <c r="N7" s="39"/>
    </row>
    <row r="8" spans="2:14" x14ac:dyDescent="0.3">
      <c r="B8" s="98"/>
      <c r="C8" s="39"/>
      <c r="D8" s="39"/>
      <c r="E8" s="255"/>
      <c r="H8" s="255"/>
      <c r="I8" s="255"/>
      <c r="J8" s="255"/>
      <c r="K8" s="255"/>
      <c r="L8" s="255"/>
      <c r="M8" s="255"/>
      <c r="N8" s="39"/>
    </row>
    <row r="14" spans="2:14" x14ac:dyDescent="0.3">
      <c r="B14" s="39"/>
      <c r="C14" s="39"/>
      <c r="D14" s="1097" t="s">
        <v>301</v>
      </c>
      <c r="E14" s="1098"/>
      <c r="F14" s="1098"/>
      <c r="G14" s="1098"/>
      <c r="H14" s="272"/>
      <c r="I14" s="263" t="s">
        <v>302</v>
      </c>
      <c r="J14" s="263" t="s">
        <v>303</v>
      </c>
    </row>
    <row r="15" spans="2:14" x14ac:dyDescent="0.3">
      <c r="B15" s="250"/>
      <c r="C15" s="250"/>
      <c r="D15" s="261">
        <v>-1</v>
      </c>
      <c r="E15" s="261">
        <v>-0.5</v>
      </c>
      <c r="F15" s="261">
        <v>0</v>
      </c>
      <c r="G15" s="261">
        <v>0.5</v>
      </c>
      <c r="H15" s="261">
        <v>1</v>
      </c>
      <c r="I15" s="264"/>
      <c r="J15" s="264"/>
    </row>
    <row r="16" spans="2:14" x14ac:dyDescent="0.3">
      <c r="B16" s="252" t="s">
        <v>7</v>
      </c>
      <c r="C16" s="253"/>
      <c r="D16" s="262"/>
      <c r="E16" s="262"/>
      <c r="F16" s="262"/>
      <c r="G16" s="262"/>
      <c r="H16" s="262"/>
      <c r="I16" s="263"/>
      <c r="J16" s="263"/>
    </row>
    <row r="17" spans="2:10" x14ac:dyDescent="0.3">
      <c r="B17" s="251"/>
      <c r="C17" s="251" t="s">
        <v>92</v>
      </c>
      <c r="D17" s="797">
        <f>'Sensitivity Analysis Price'!AA164</f>
        <v>-12875.288045908757</v>
      </c>
      <c r="E17" s="797">
        <f>'Sensitivity Analysis Price'!Y164</f>
        <v>-876.61183431330937</v>
      </c>
      <c r="F17" s="797">
        <f>'Sensitivity Analysis Price'!W164</f>
        <v>11122.064377282139</v>
      </c>
      <c r="G17" s="797">
        <f>'Sensitivity Analysis Price'!X164</f>
        <v>23120.74058887759</v>
      </c>
      <c r="H17" s="797">
        <f>'Sensitivity Analysis Price'!Z164</f>
        <v>35119.416800473038</v>
      </c>
      <c r="I17" s="296">
        <f t="shared" ref="I17:I22" si="0">MAX(D17:H17)-MIN(D17:H17)</f>
        <v>47994.704846381792</v>
      </c>
      <c r="J17" s="296">
        <f>RANK(I17,$I$17:$I$43)</f>
        <v>16</v>
      </c>
    </row>
    <row r="18" spans="2:10" x14ac:dyDescent="0.3">
      <c r="B18" s="251"/>
      <c r="C18" s="773" t="s">
        <v>93</v>
      </c>
      <c r="D18" s="797">
        <f>'Sensitivity Analysis Price'!AF164</f>
        <v>-84026.458331653746</v>
      </c>
      <c r="E18" s="797">
        <f>'Sensitivity Analysis Price'!AD164</f>
        <v>-66453.769635679375</v>
      </c>
      <c r="F18" s="797">
        <f>'Sensitivity Analysis Price'!AB164</f>
        <v>-48881.080939705011</v>
      </c>
      <c r="G18" s="797">
        <f>'Sensitivity Analysis Price'!AC164</f>
        <v>-31308.392243730646</v>
      </c>
      <c r="H18" s="797">
        <f>'Sensitivity Analysis Price'!AE164</f>
        <v>-13735.703547756275</v>
      </c>
      <c r="I18" s="296">
        <f t="shared" si="0"/>
        <v>70290.754783897471</v>
      </c>
      <c r="J18" s="296">
        <f t="shared" ref="J18:J40" si="1">RANK(I18,$I$17:$I$43)</f>
        <v>12</v>
      </c>
    </row>
    <row r="19" spans="2:10" x14ac:dyDescent="0.3">
      <c r="B19" s="251"/>
      <c r="C19" s="773" t="s">
        <v>258</v>
      </c>
      <c r="D19" s="797">
        <f>'Sensitivity Analysis Price'!AK164</f>
        <v>-63368.193312787174</v>
      </c>
      <c r="E19" s="797">
        <f>'Sensitivity Analysis Price'!AI164</f>
        <v>-10725.918307448861</v>
      </c>
      <c r="F19" s="797">
        <f>'Sensitivity Analysis Price'!AG164</f>
        <v>41916.356697889452</v>
      </c>
      <c r="G19" s="797">
        <f>'Sensitivity Analysis Price'!AH164</f>
        <v>94558.631703227715</v>
      </c>
      <c r="H19" s="797">
        <f>'Sensitivity Analysis Price'!AJ164</f>
        <v>147200.90670856606</v>
      </c>
      <c r="I19" s="296">
        <f t="shared" si="0"/>
        <v>210569.10002135322</v>
      </c>
      <c r="J19" s="296">
        <f t="shared" si="1"/>
        <v>1</v>
      </c>
    </row>
    <row r="20" spans="2:10" x14ac:dyDescent="0.3">
      <c r="B20" s="251"/>
      <c r="C20" s="257" t="s">
        <v>94</v>
      </c>
      <c r="D20" s="797">
        <f>'Sensitivity Analysis Price'!L164</f>
        <v>-44627.908037952533</v>
      </c>
      <c r="E20" s="797">
        <f>'Sensitivity Analysis Price'!J164</f>
        <v>-27467.165095512224</v>
      </c>
      <c r="F20" s="797">
        <f>'Sensitivity Analysis Price'!H164</f>
        <v>-10306.422153071908</v>
      </c>
      <c r="G20" s="797">
        <f>'Sensitivity Analysis Price'!I164</f>
        <v>6854.3207893684012</v>
      </c>
      <c r="H20" s="797">
        <f>'Sensitivity Analysis Price'!K164</f>
        <v>24015.063731808717</v>
      </c>
      <c r="I20" s="296">
        <f t="shared" si="0"/>
        <v>68642.97176976125</v>
      </c>
      <c r="J20" s="296">
        <f t="shared" si="1"/>
        <v>14</v>
      </c>
    </row>
    <row r="21" spans="2:10" x14ac:dyDescent="0.3">
      <c r="B21" s="258"/>
      <c r="C21" s="257" t="s">
        <v>95</v>
      </c>
      <c r="D21" s="797">
        <f>'Sensitivity Analysis Price'!Q164</f>
        <v>-31483.995025603817</v>
      </c>
      <c r="E21" s="797">
        <f>'Sensitivity Analysis Price'!O164</f>
        <v>-8155.4193686924555</v>
      </c>
      <c r="F21" s="797">
        <f>'Sensitivity Analysis Price'!M164</f>
        <v>15173.15628821891</v>
      </c>
      <c r="G21" s="797">
        <f>'Sensitivity Analysis Price'!N164</f>
        <v>38501.731945130261</v>
      </c>
      <c r="H21" s="797">
        <f>'Sensitivity Analysis Price'!P164</f>
        <v>61830.307602041634</v>
      </c>
      <c r="I21" s="296">
        <f t="shared" si="0"/>
        <v>93314.302627645448</v>
      </c>
      <c r="J21" s="296">
        <f t="shared" si="1"/>
        <v>9</v>
      </c>
    </row>
    <row r="22" spans="2:10" x14ac:dyDescent="0.3">
      <c r="B22" s="259"/>
      <c r="C22" s="260" t="s">
        <v>289</v>
      </c>
      <c r="D22" s="798">
        <f>'Sensitivity Analysis Price'!V164</f>
        <v>-70476.584057672648</v>
      </c>
      <c r="E22" s="798">
        <f>'Sensitivity Analysis Price'!T164</f>
        <v>-35681.39018289221</v>
      </c>
      <c r="F22" s="798">
        <f>'Sensitivity Analysis Price'!R164</f>
        <v>-886.19630811177194</v>
      </c>
      <c r="G22" s="798">
        <f>'Sensitivity Analysis Price'!S164</f>
        <v>33908.997566668681</v>
      </c>
      <c r="H22" s="798">
        <f>'Sensitivity Analysis Price'!U164</f>
        <v>68704.191441449104</v>
      </c>
      <c r="I22" s="297">
        <f t="shared" si="0"/>
        <v>139180.77549912175</v>
      </c>
      <c r="J22" s="297">
        <f t="shared" si="1"/>
        <v>5</v>
      </c>
    </row>
    <row r="23" spans="2:10" x14ac:dyDescent="0.3">
      <c r="B23" s="251" t="s">
        <v>304</v>
      </c>
      <c r="C23" s="63"/>
      <c r="D23" s="799"/>
      <c r="E23" s="799"/>
      <c r="F23" s="799"/>
      <c r="G23" s="799"/>
      <c r="H23" s="799"/>
      <c r="I23" s="799"/>
      <c r="J23" s="799"/>
    </row>
    <row r="24" spans="2:10" x14ac:dyDescent="0.3">
      <c r="B24" s="251"/>
      <c r="C24" s="251" t="s">
        <v>92</v>
      </c>
      <c r="D24" s="797">
        <f>'Sensitivity Analysis Yield'!AA164</f>
        <v>-12875.288045908757</v>
      </c>
      <c r="E24" s="797">
        <f>'Sensitivity Analysis Yield'!Y164</f>
        <v>-876.61183431330937</v>
      </c>
      <c r="F24" s="797">
        <f>'Sensitivity Analysis Yield'!W164</f>
        <v>11122.064377282139</v>
      </c>
      <c r="G24" s="797">
        <f>'Sensitivity Analysis Yield'!X164</f>
        <v>23120.74058887759</v>
      </c>
      <c r="H24" s="797">
        <f>'Sensitivity Analysis Yield'!Z164</f>
        <v>35119.416800473038</v>
      </c>
      <c r="I24" s="296">
        <f t="shared" ref="I24:I29" si="2">MAX(D24:H24)-MIN(D24:H24)</f>
        <v>47994.704846381792</v>
      </c>
      <c r="J24" s="296">
        <f t="shared" si="1"/>
        <v>16</v>
      </c>
    </row>
    <row r="25" spans="2:10" x14ac:dyDescent="0.3">
      <c r="B25" s="251"/>
      <c r="C25" s="773" t="s">
        <v>93</v>
      </c>
      <c r="D25" s="797">
        <f>'Sensitivity Analysis Yield'!AF164</f>
        <v>-84026.458331653746</v>
      </c>
      <c r="E25" s="797">
        <f>'Sensitivity Analysis Yield'!AD164</f>
        <v>-66453.769635679375</v>
      </c>
      <c r="F25" s="797">
        <f>'Sensitivity Analysis Yield'!AB164</f>
        <v>-48881.080939705011</v>
      </c>
      <c r="G25" s="797">
        <f>'Sensitivity Analysis Yield'!AC164</f>
        <v>-31308.392243730646</v>
      </c>
      <c r="H25" s="797">
        <f>'Sensitivity Analysis Yield'!AE164</f>
        <v>-13735.703547756275</v>
      </c>
      <c r="I25" s="296">
        <f t="shared" si="2"/>
        <v>70290.754783897471</v>
      </c>
      <c r="J25" s="296">
        <f t="shared" si="1"/>
        <v>12</v>
      </c>
    </row>
    <row r="26" spans="2:10" x14ac:dyDescent="0.3">
      <c r="B26" s="251"/>
      <c r="C26" s="773" t="s">
        <v>258</v>
      </c>
      <c r="D26" s="797">
        <f>'Sensitivity Analysis Yield'!AK164</f>
        <v>-63368.193312787174</v>
      </c>
      <c r="E26" s="797">
        <f>'Sensitivity Analysis Yield'!AI164</f>
        <v>-10725.918307448861</v>
      </c>
      <c r="F26" s="797">
        <f>'Sensitivity Analysis Yield'!AG164</f>
        <v>41916.356697889452</v>
      </c>
      <c r="G26" s="797">
        <f>'Sensitivity Analysis Yield'!AH164</f>
        <v>94558.631703227715</v>
      </c>
      <c r="H26" s="797">
        <f>'Sensitivity Analysis Yield'!AJ164</f>
        <v>147200.90670856606</v>
      </c>
      <c r="I26" s="296">
        <f t="shared" si="2"/>
        <v>210569.10002135322</v>
      </c>
      <c r="J26" s="296">
        <f t="shared" si="1"/>
        <v>1</v>
      </c>
    </row>
    <row r="27" spans="2:10" x14ac:dyDescent="0.3">
      <c r="B27" s="105"/>
      <c r="C27" s="257" t="s">
        <v>94</v>
      </c>
      <c r="D27" s="797">
        <f>'Sensitivity Analysis Yield'!L164</f>
        <v>-44627.908037952533</v>
      </c>
      <c r="E27" s="797">
        <f>'Sensitivity Analysis Yield'!J164</f>
        <v>-27467.165095512224</v>
      </c>
      <c r="F27" s="797">
        <f>'Sensitivity Analysis Yield'!H164</f>
        <v>-10306.422153071908</v>
      </c>
      <c r="G27" s="797">
        <f>'Sensitivity Analysis Yield'!I164</f>
        <v>6854.3207893683939</v>
      </c>
      <c r="H27" s="797">
        <f>'Sensitivity Analysis Yield'!K164</f>
        <v>24015.063731808717</v>
      </c>
      <c r="I27" s="296">
        <f t="shared" si="2"/>
        <v>68642.97176976125</v>
      </c>
      <c r="J27" s="296">
        <f t="shared" si="1"/>
        <v>14</v>
      </c>
    </row>
    <row r="28" spans="2:10" x14ac:dyDescent="0.3">
      <c r="B28" s="251"/>
      <c r="C28" s="257" t="s">
        <v>95</v>
      </c>
      <c r="D28" s="797">
        <f>'Sensitivity Analysis Yield'!Q164</f>
        <v>-31483.995025603817</v>
      </c>
      <c r="E28" s="797">
        <f>'Sensitivity Analysis Yield'!O164</f>
        <v>-8155.4193686924555</v>
      </c>
      <c r="F28" s="797">
        <f>'Sensitivity Analysis Yield'!M164</f>
        <v>15173.15628821891</v>
      </c>
      <c r="G28" s="797">
        <f>'Sensitivity Analysis Yield'!N164</f>
        <v>38501.731945130261</v>
      </c>
      <c r="H28" s="797">
        <f>'Sensitivity Analysis Yield'!P164</f>
        <v>61830.307602041634</v>
      </c>
      <c r="I28" s="296">
        <f t="shared" si="2"/>
        <v>93314.302627645448</v>
      </c>
      <c r="J28" s="296">
        <f t="shared" si="1"/>
        <v>9</v>
      </c>
    </row>
    <row r="29" spans="2:10" x14ac:dyDescent="0.3">
      <c r="B29" s="249"/>
      <c r="C29" s="260" t="s">
        <v>289</v>
      </c>
      <c r="D29" s="798">
        <f>'Sensitivity Analysis Yield'!V164</f>
        <v>-70476.584057672648</v>
      </c>
      <c r="E29" s="798">
        <f>'Sensitivity Analysis Yield'!T164</f>
        <v>-35681.39018289221</v>
      </c>
      <c r="F29" s="798">
        <f>'Sensitivity Analysis Yield'!R164</f>
        <v>-886.19630811177194</v>
      </c>
      <c r="G29" s="798">
        <f>'Sensitivity Analysis Yield'!S164</f>
        <v>33908.997566668681</v>
      </c>
      <c r="H29" s="798">
        <f>'Sensitivity Analysis Yield'!U164</f>
        <v>68704.191441449104</v>
      </c>
      <c r="I29" s="297">
        <f t="shared" si="2"/>
        <v>139180.77549912175</v>
      </c>
      <c r="J29" s="297">
        <f t="shared" si="1"/>
        <v>5</v>
      </c>
    </row>
    <row r="30" spans="2:10" x14ac:dyDescent="0.3">
      <c r="B30" s="251" t="s">
        <v>305</v>
      </c>
      <c r="C30" s="63"/>
      <c r="D30" s="799"/>
      <c r="E30" s="799"/>
      <c r="F30" s="799"/>
      <c r="G30" s="799"/>
      <c r="H30" s="799"/>
      <c r="I30" s="799"/>
      <c r="J30" s="799"/>
    </row>
    <row r="31" spans="2:10" x14ac:dyDescent="0.3">
      <c r="B31" s="251"/>
      <c r="C31" s="251" t="s">
        <v>92</v>
      </c>
      <c r="D31" s="797">
        <f>'Sensitivity Analysis Costs'!AA164</f>
        <v>29712.868671698667</v>
      </c>
      <c r="E31" s="797">
        <f>'Sensitivity Analysis Costs'!Y164</f>
        <v>20417.466524490403</v>
      </c>
      <c r="F31" s="797">
        <f>'Sensitivity Analysis Costs'!W164</f>
        <v>11122.064377282139</v>
      </c>
      <c r="G31" s="797">
        <f>'Sensitivity Analysis Costs'!X164</f>
        <v>1826.6622300738782</v>
      </c>
      <c r="H31" s="797">
        <f>'Sensitivity Analysis Costs'!Z164</f>
        <v>-7468.7399171343895</v>
      </c>
      <c r="I31" s="296">
        <f t="shared" ref="I31:I36" si="3">MAX(D31:H31)-MIN(D31:H31)</f>
        <v>37181.608588833056</v>
      </c>
      <c r="J31" s="296">
        <f t="shared" si="1"/>
        <v>18</v>
      </c>
    </row>
    <row r="32" spans="2:10" x14ac:dyDescent="0.3">
      <c r="B32" s="251"/>
      <c r="C32" s="773" t="s">
        <v>93</v>
      </c>
      <c r="D32" s="797">
        <f>'Sensitivity Analysis Costs'!AF164</f>
        <v>40860.89364045651</v>
      </c>
      <c r="E32" s="797">
        <f>'Sensitivity Analysis Costs'!AD164</f>
        <v>-4010.0936496242502</v>
      </c>
      <c r="F32" s="797">
        <f>'Sensitivity Analysis Costs'!AB164</f>
        <v>-48881.080939705011</v>
      </c>
      <c r="G32" s="797">
        <f>'Sensitivity Analysis Costs'!AC164</f>
        <v>-93752.0682297858</v>
      </c>
      <c r="H32" s="797">
        <f>'Sensitivity Analysis Costs'!AE164</f>
        <v>-138623.05551986652</v>
      </c>
      <c r="I32" s="296">
        <f t="shared" si="3"/>
        <v>179483.94916032304</v>
      </c>
      <c r="J32" s="296">
        <f t="shared" si="1"/>
        <v>3</v>
      </c>
    </row>
    <row r="33" spans="2:10" x14ac:dyDescent="0.3">
      <c r="B33" s="251"/>
      <c r="C33" s="773" t="s">
        <v>258</v>
      </c>
      <c r="D33" s="797">
        <f>'Sensitivity Analysis Costs'!AK164</f>
        <v>111000.0662591844</v>
      </c>
      <c r="E33" s="797">
        <f>'Sensitivity Analysis Costs'!AI164</f>
        <v>76458.211478536919</v>
      </c>
      <c r="F33" s="797">
        <f>'Sensitivity Analysis Costs'!AG164</f>
        <v>41916.356697889452</v>
      </c>
      <c r="G33" s="797">
        <f>'Sensitivity Analysis Costs'!AH164</f>
        <v>7374.5019172419561</v>
      </c>
      <c r="H33" s="797">
        <f>'Sensitivity Analysis Costs'!AJ164</f>
        <v>-27167.352863405496</v>
      </c>
      <c r="I33" s="296">
        <f t="shared" si="3"/>
        <v>138167.4191225899</v>
      </c>
      <c r="J33" s="296">
        <f t="shared" si="1"/>
        <v>7</v>
      </c>
    </row>
    <row r="34" spans="2:10" x14ac:dyDescent="0.3">
      <c r="B34" s="105"/>
      <c r="C34" s="257" t="s">
        <v>94</v>
      </c>
      <c r="D34" s="797">
        <f>'Sensitivity Analysis Costs'!L164</f>
        <v>40037.0021333884</v>
      </c>
      <c r="E34" s="797">
        <f>'Sensitivity Analysis Costs'!J164</f>
        <v>14865.289990158246</v>
      </c>
      <c r="F34" s="797">
        <f>'Sensitivity Analysis Costs'!H164</f>
        <v>-10306.422153071908</v>
      </c>
      <c r="G34" s="797">
        <f>'Sensitivity Analysis Costs'!I164</f>
        <v>-35478.134296302051</v>
      </c>
      <c r="H34" s="797">
        <f>'Sensitivity Analysis Costs'!K164</f>
        <v>-60649.846439532215</v>
      </c>
      <c r="I34" s="296">
        <f t="shared" si="3"/>
        <v>100686.84857292061</v>
      </c>
      <c r="J34" s="296">
        <f t="shared" si="1"/>
        <v>8</v>
      </c>
    </row>
    <row r="35" spans="2:10" x14ac:dyDescent="0.3">
      <c r="B35" s="105"/>
      <c r="C35" s="257" t="s">
        <v>95</v>
      </c>
      <c r="D35" s="797">
        <f>'Sensitivity Analysis Costs'!Q164</f>
        <v>52372.667562330498</v>
      </c>
      <c r="E35" s="797">
        <f>'Sensitivity Analysis Costs'!O164</f>
        <v>33772.911925274704</v>
      </c>
      <c r="F35" s="797">
        <f>'Sensitivity Analysis Costs'!M164</f>
        <v>15173.15628821891</v>
      </c>
      <c r="G35" s="797">
        <f>'Sensitivity Analysis Costs'!N164</f>
        <v>-3426.599348836884</v>
      </c>
      <c r="H35" s="797">
        <f>'Sensitivity Analysis Costs'!P164</f>
        <v>-22026.354985892678</v>
      </c>
      <c r="I35" s="296">
        <f t="shared" si="3"/>
        <v>74399.022548223176</v>
      </c>
      <c r="J35" s="296">
        <f t="shared" si="1"/>
        <v>11</v>
      </c>
    </row>
    <row r="36" spans="2:10" x14ac:dyDescent="0.3">
      <c r="B36" s="106"/>
      <c r="C36" s="260" t="s">
        <v>289</v>
      </c>
      <c r="D36" s="798">
        <f>'Sensitivity Analysis Costs'!V164</f>
        <v>75305.90399806865</v>
      </c>
      <c r="E36" s="798">
        <f>'Sensitivity Analysis Costs'!T164</f>
        <v>37209.853844978439</v>
      </c>
      <c r="F36" s="798">
        <f>'Sensitivity Analysis Costs'!R164</f>
        <v>-886.19630811177194</v>
      </c>
      <c r="G36" s="798">
        <f>'Sensitivity Analysis Costs'!S164</f>
        <v>-38982.246461201954</v>
      </c>
      <c r="H36" s="798">
        <f>'Sensitivity Analysis Costs'!U164</f>
        <v>-77078.296614292194</v>
      </c>
      <c r="I36" s="297">
        <f t="shared" si="3"/>
        <v>152384.20061236084</v>
      </c>
      <c r="J36" s="297">
        <f t="shared" si="1"/>
        <v>4</v>
      </c>
    </row>
    <row r="37" spans="2:10" x14ac:dyDescent="0.3">
      <c r="B37" s="251" t="s">
        <v>287</v>
      </c>
      <c r="C37" s="773"/>
      <c r="D37" s="800"/>
      <c r="E37" s="800"/>
      <c r="F37" s="800"/>
      <c r="G37" s="800"/>
      <c r="H37" s="800"/>
      <c r="I37" s="800"/>
      <c r="J37" s="800"/>
    </row>
    <row r="38" spans="2:10" x14ac:dyDescent="0.3">
      <c r="B38" s="251"/>
      <c r="C38" s="251" t="s">
        <v>92</v>
      </c>
      <c r="D38" s="797">
        <f>'Sensitivity Analysis Discount R'!AA164</f>
        <v>18293.828000000009</v>
      </c>
      <c r="E38" s="797">
        <f>'Sensitivity Analysis Discount R'!Y164</f>
        <v>14313.251648804428</v>
      </c>
      <c r="F38" s="797">
        <f>'Sensitivity Analysis Discount R'!W164</f>
        <v>11122.064377282139</v>
      </c>
      <c r="G38" s="797">
        <f>'Sensitivity Analysis Discount R'!X164</f>
        <v>8540.3347135206677</v>
      </c>
      <c r="H38" s="797">
        <f>'Sensitivity Analysis Discount R'!Z164</f>
        <v>6433.2603704833255</v>
      </c>
      <c r="I38" s="296">
        <f t="shared" ref="I38:I43" si="4">MAX(D38:H38)-MIN(D38:H38)</f>
        <v>11860.567629516683</v>
      </c>
      <c r="J38" s="296">
        <f t="shared" si="1"/>
        <v>21</v>
      </c>
    </row>
    <row r="39" spans="2:10" x14ac:dyDescent="0.3">
      <c r="B39" s="251"/>
      <c r="C39" s="773" t="s">
        <v>93</v>
      </c>
      <c r="D39" s="797">
        <f>'Sensitivity Analysis Discount R'!AF164</f>
        <v>-42093.268499999962</v>
      </c>
      <c r="E39" s="797">
        <f>'Sensitivity Analysis Discount R'!AD164</f>
        <v>-45856.403848434784</v>
      </c>
      <c r="F39" s="797">
        <f>'Sensitivity Analysis Discount R'!AB164</f>
        <v>-48881.080939705011</v>
      </c>
      <c r="G39" s="797">
        <f>'Sensitivity Analysis Discount R'!AC164</f>
        <v>-51333.361119428446</v>
      </c>
      <c r="H39" s="797">
        <f>'Sensitivity Analysis Discount R'!AE164</f>
        <v>-53338.216093722272</v>
      </c>
      <c r="I39" s="296">
        <f t="shared" si="4"/>
        <v>11244.947593722311</v>
      </c>
      <c r="J39" s="296">
        <f t="shared" si="1"/>
        <v>22</v>
      </c>
    </row>
    <row r="40" spans="2:10" x14ac:dyDescent="0.3">
      <c r="B40" s="251"/>
      <c r="C40" s="773" t="s">
        <v>258</v>
      </c>
      <c r="D40" s="797">
        <f>'Sensitivity Analysis Discount R'!AK164</f>
        <v>55342.487680000006</v>
      </c>
      <c r="E40" s="797">
        <f>'Sensitivity Analysis Discount R'!AI164</f>
        <v>47903.29341609955</v>
      </c>
      <c r="F40" s="797">
        <f>'Sensitivity Analysis Discount R'!AG164</f>
        <v>41916.356697889452</v>
      </c>
      <c r="G40" s="797">
        <f>'Sensitivity Analysis Discount R'!AH164</f>
        <v>37052.656726821711</v>
      </c>
      <c r="H40" s="797">
        <f>'Sensitivity Analysis Discount R'!AJ164</f>
        <v>33065.333219611712</v>
      </c>
      <c r="I40" s="296">
        <f t="shared" si="4"/>
        <v>22277.154460388294</v>
      </c>
      <c r="J40" s="296">
        <f t="shared" si="1"/>
        <v>19</v>
      </c>
    </row>
    <row r="41" spans="2:10" x14ac:dyDescent="0.3">
      <c r="B41" s="258"/>
      <c r="C41" s="257" t="s">
        <v>94</v>
      </c>
      <c r="D41" s="797">
        <f>'Sensitivity Analysis Discount R'!L164</f>
        <v>-3609.1971666666432</v>
      </c>
      <c r="E41" s="797">
        <f>'Sensitivity Analysis Discount R'!J164</f>
        <v>-7325.6878924954508</v>
      </c>
      <c r="F41" s="797">
        <f>'Sensitivity Analysis Discount R'!$H$164</f>
        <v>-10306.422153071908</v>
      </c>
      <c r="G41" s="797">
        <f>'Sensitivity Analysis Discount R'!I164</f>
        <v>-12718.598680550262</v>
      </c>
      <c r="H41" s="797">
        <f>'Sensitivity Analysis Discount R'!K164</f>
        <v>-14687.634856922599</v>
      </c>
      <c r="I41" s="296">
        <f t="shared" si="4"/>
        <v>11078.437690255956</v>
      </c>
      <c r="J41" s="296">
        <f>RANK(I41,$I$20:$I$42)</f>
        <v>20</v>
      </c>
    </row>
    <row r="42" spans="2:10" x14ac:dyDescent="0.3">
      <c r="B42" s="258"/>
      <c r="C42" s="257" t="s">
        <v>95</v>
      </c>
      <c r="D42" s="797">
        <f>'Sensitivity Analysis Discount R'!Q164</f>
        <v>25058.081666666665</v>
      </c>
      <c r="E42" s="797">
        <f>'Sensitivity Analysis Discount R'!O164</f>
        <v>19577.817479686426</v>
      </c>
      <c r="F42" s="797">
        <f>'Sensitivity Analysis Discount R'!$M$164</f>
        <v>15173.15628821891</v>
      </c>
      <c r="G42" s="797">
        <f>'Sensitivity Analysis Discount R'!N164</f>
        <v>11601.489691565133</v>
      </c>
      <c r="H42" s="797">
        <f>'Sensitivity Analysis Discount R'!P164</f>
        <v>8680.4289236561963</v>
      </c>
      <c r="I42" s="296">
        <f t="shared" si="4"/>
        <v>16377.652743010469</v>
      </c>
      <c r="J42" s="296">
        <f>RANK(I42,$I$20:$I$43)</f>
        <v>17</v>
      </c>
    </row>
    <row r="43" spans="2:10" x14ac:dyDescent="0.3">
      <c r="B43" s="106"/>
      <c r="C43" s="774" t="s">
        <v>289</v>
      </c>
      <c r="D43" s="801">
        <f>'Sensitivity Analysis Discount R'!V164</f>
        <v>-1810.662679999994</v>
      </c>
      <c r="E43" s="801">
        <f>'Sensitivity Analysis Discount R'!T164</f>
        <v>-1269.7362256548076</v>
      </c>
      <c r="F43" s="801">
        <f>'Sensitivity Analysis Discount R'!R164</f>
        <v>-886.19630811177194</v>
      </c>
      <c r="G43" s="801">
        <f>'Sensitivity Analysis Discount R'!S164</f>
        <v>-614.69464434168185</v>
      </c>
      <c r="H43" s="801">
        <f>'Sensitivity Analysis Discount R'!U164</f>
        <v>-423.43260520110198</v>
      </c>
      <c r="I43" s="297">
        <f t="shared" si="4"/>
        <v>1387.230074798892</v>
      </c>
      <c r="J43" s="297">
        <f>RANK(I43,$I$20:$I$43)</f>
        <v>21</v>
      </c>
    </row>
  </sheetData>
  <mergeCells count="2">
    <mergeCell ref="B5:C5"/>
    <mergeCell ref="D14:G1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D193"/>
  <sheetViews>
    <sheetView zoomScaleNormal="100" workbookViewId="0">
      <selection activeCell="F182" sqref="F182"/>
    </sheetView>
  </sheetViews>
  <sheetFormatPr defaultColWidth="9" defaultRowHeight="14" x14ac:dyDescent="0.3"/>
  <cols>
    <col min="2" max="2" width="45" customWidth="1"/>
    <col min="5" max="5" width="4.08203125" customWidth="1"/>
    <col min="6" max="6" width="9" customWidth="1"/>
    <col min="7" max="7" width="8" customWidth="1"/>
    <col min="8" max="9" width="9" customWidth="1"/>
    <col min="10" max="10" width="4.08203125" customWidth="1"/>
    <col min="11" max="14" width="9" customWidth="1"/>
    <col min="15" max="15" width="4.08203125" customWidth="1"/>
    <col min="16" max="19" width="9" customWidth="1"/>
    <col min="20" max="20" width="4.08203125" customWidth="1"/>
    <col min="25" max="25" width="4.08203125" customWidth="1"/>
  </cols>
  <sheetData>
    <row r="1" spans="2:29" ht="14.5" thickBot="1" x14ac:dyDescent="0.35"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366"/>
      <c r="Y1" s="366"/>
      <c r="Z1" s="366"/>
      <c r="AA1" s="366"/>
      <c r="AB1" s="366"/>
      <c r="AC1" s="366"/>
    </row>
    <row r="2" spans="2:29" ht="14.5" thickBot="1" x14ac:dyDescent="0.35">
      <c r="B2" s="418" t="s">
        <v>570</v>
      </c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66"/>
    </row>
    <row r="3" spans="2:29" x14ac:dyDescent="0.3">
      <c r="B3" s="419"/>
      <c r="C3" s="366"/>
      <c r="D3" s="366"/>
      <c r="E3" s="366"/>
      <c r="F3" s="420"/>
      <c r="G3" s="366"/>
      <c r="H3" s="366"/>
      <c r="I3" s="366"/>
      <c r="J3" s="366"/>
      <c r="K3" s="366"/>
      <c r="L3" s="366"/>
      <c r="M3" s="420"/>
      <c r="N3" s="421"/>
      <c r="O3" s="421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66"/>
    </row>
    <row r="4" spans="2:29" x14ac:dyDescent="0.3">
      <c r="B4" s="422" t="s">
        <v>38</v>
      </c>
      <c r="C4" s="84">
        <f>'Arable Inputs'!D31</f>
        <v>17</v>
      </c>
      <c r="D4" s="366"/>
      <c r="E4" s="366"/>
      <c r="F4" s="420"/>
      <c r="G4" s="421"/>
      <c r="H4" s="366"/>
      <c r="I4" s="420"/>
      <c r="J4" s="420"/>
      <c r="K4" s="421"/>
      <c r="L4" s="366"/>
      <c r="M4" s="420"/>
      <c r="N4" s="421"/>
      <c r="O4" s="421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  <c r="AA4" s="366"/>
      <c r="AB4" s="366"/>
      <c r="AC4" s="366"/>
    </row>
    <row r="5" spans="2:29" x14ac:dyDescent="0.3">
      <c r="B5" s="366"/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366"/>
      <c r="V5" s="366"/>
      <c r="W5" s="366"/>
      <c r="X5" s="366"/>
      <c r="Y5" s="366"/>
      <c r="Z5" s="366"/>
      <c r="AA5" s="366"/>
      <c r="AB5" s="366"/>
      <c r="AC5" s="366"/>
    </row>
    <row r="6" spans="2:29" x14ac:dyDescent="0.3">
      <c r="B6" s="423"/>
      <c r="C6" s="366"/>
      <c r="D6" s="366"/>
      <c r="E6" s="366"/>
      <c r="F6" s="424"/>
      <c r="G6" s="424"/>
      <c r="H6" s="424"/>
      <c r="I6" s="424"/>
      <c r="J6" s="424"/>
      <c r="K6" s="424"/>
      <c r="L6" s="424"/>
      <c r="M6" s="424"/>
      <c r="N6" s="424"/>
      <c r="O6" s="424"/>
      <c r="P6" s="424"/>
      <c r="Q6" s="424"/>
      <c r="R6" s="424"/>
      <c r="S6" s="424"/>
      <c r="T6" s="424"/>
      <c r="U6" s="424"/>
      <c r="V6" s="424"/>
      <c r="W6" s="424"/>
      <c r="X6" s="424"/>
      <c r="Y6" s="424"/>
      <c r="Z6" s="424"/>
      <c r="AA6" s="424"/>
      <c r="AB6" s="424"/>
      <c r="AC6" s="424"/>
    </row>
    <row r="7" spans="2:29" x14ac:dyDescent="0.3">
      <c r="B7" s="425"/>
      <c r="C7" s="425"/>
      <c r="D7" s="425"/>
      <c r="E7" s="426"/>
      <c r="F7" s="427" t="s">
        <v>4</v>
      </c>
      <c r="G7" s="428"/>
      <c r="H7" s="428"/>
      <c r="I7" s="428"/>
      <c r="J7" s="426"/>
      <c r="K7" s="429" t="s">
        <v>647</v>
      </c>
      <c r="L7" s="428"/>
      <c r="M7" s="428"/>
      <c r="N7" s="430"/>
      <c r="O7" s="428"/>
      <c r="P7" s="429" t="s">
        <v>5</v>
      </c>
      <c r="Q7" s="428"/>
      <c r="R7" s="428"/>
      <c r="S7" s="430"/>
      <c r="T7" s="428"/>
      <c r="U7" s="429" t="s">
        <v>6</v>
      </c>
      <c r="V7" s="428"/>
      <c r="W7" s="428"/>
      <c r="X7" s="430"/>
      <c r="Y7" s="428"/>
      <c r="Z7" s="429" t="s">
        <v>258</v>
      </c>
      <c r="AA7" s="428"/>
      <c r="AB7" s="428"/>
      <c r="AC7" s="430"/>
    </row>
    <row r="8" spans="2:29" ht="22.5" customHeight="1" x14ac:dyDescent="0.3">
      <c r="B8" s="431"/>
      <c r="C8" s="432"/>
      <c r="D8" s="432"/>
      <c r="E8" s="433"/>
      <c r="F8" s="1024" t="s">
        <v>36</v>
      </c>
      <c r="G8" s="1032"/>
      <c r="H8" s="1031">
        <f>H35+H48+H53+H71+H81+H105+H116+H134+H141+H160</f>
        <v>16.8</v>
      </c>
      <c r="I8" s="1017"/>
      <c r="J8" s="434"/>
      <c r="K8" s="1023" t="s">
        <v>36</v>
      </c>
      <c r="L8" s="1037"/>
      <c r="M8" s="1017">
        <f>M35+M48+M53+M71+M81+M105+M116+M134+M141+M160</f>
        <v>15.2</v>
      </c>
      <c r="N8" s="1018"/>
      <c r="O8" s="435"/>
      <c r="P8" s="1023" t="s">
        <v>36</v>
      </c>
      <c r="Q8" s="1024"/>
      <c r="R8" s="1017">
        <f>R35+R48+R53+R71+R81+R105+R116+R134+R141+R160</f>
        <v>20.099999999999998</v>
      </c>
      <c r="S8" s="1018"/>
      <c r="T8" s="435"/>
      <c r="U8" s="1023" t="s">
        <v>36</v>
      </c>
      <c r="V8" s="1024"/>
      <c r="W8" s="1017">
        <f>W35+W48+W53+W71+W81+W105+W116+W134+W141+W160</f>
        <v>26.999999999999996</v>
      </c>
      <c r="X8" s="1018"/>
      <c r="Y8" s="435"/>
      <c r="Z8" s="1023" t="s">
        <v>36</v>
      </c>
      <c r="AA8" s="1024"/>
      <c r="AB8" s="1017">
        <f>AB35+AB48+AB53+AB71+AB81+AB105+AB116+AB134+AB141+AB160</f>
        <v>9.3000000000000007</v>
      </c>
      <c r="AC8" s="1018"/>
    </row>
    <row r="9" spans="2:29" ht="22.5" customHeight="1" x14ac:dyDescent="0.3">
      <c r="B9" s="436"/>
      <c r="C9" s="432"/>
      <c r="D9" s="432"/>
      <c r="E9" s="433"/>
      <c r="F9" s="1026" t="s">
        <v>35</v>
      </c>
      <c r="G9" s="1034"/>
      <c r="H9" s="1033">
        <f>I35+I48+I54+I71+I81+I105+I116+I134+I141+I160</f>
        <v>285.60000000000002</v>
      </c>
      <c r="I9" s="1019"/>
      <c r="J9" s="437"/>
      <c r="K9" s="1025" t="s">
        <v>35</v>
      </c>
      <c r="L9" s="1026"/>
      <c r="M9" s="1019">
        <f>N35+N48+N54+N71+N81+N105+N116+N134+N141+N160</f>
        <v>258.39999999999998</v>
      </c>
      <c r="N9" s="1020"/>
      <c r="O9" s="438"/>
      <c r="P9" s="1025" t="s">
        <v>35</v>
      </c>
      <c r="Q9" s="1026"/>
      <c r="R9" s="1019">
        <f>S35+S48+S54+S71+S81+S105+S116+S134+S141+S160</f>
        <v>341.7</v>
      </c>
      <c r="S9" s="1020"/>
      <c r="T9" s="438"/>
      <c r="U9" s="1025" t="s">
        <v>35</v>
      </c>
      <c r="V9" s="1026"/>
      <c r="W9" s="1019">
        <f>X35+X48+X54+X71+X81+X105+X116+X134+X141+X160</f>
        <v>459</v>
      </c>
      <c r="X9" s="1020"/>
      <c r="Y9" s="438"/>
      <c r="Z9" s="1025" t="s">
        <v>35</v>
      </c>
      <c r="AA9" s="1026"/>
      <c r="AB9" s="1019">
        <f>AC35+AC48+AC54+AC71+AC81+AC105+AC116+AC134+AC141+AC160</f>
        <v>158.1</v>
      </c>
      <c r="AC9" s="1020"/>
    </row>
    <row r="10" spans="2:29" ht="22.5" customHeight="1" x14ac:dyDescent="0.3">
      <c r="B10" s="436" t="s">
        <v>240</v>
      </c>
      <c r="C10" s="439"/>
      <c r="D10" s="432"/>
      <c r="E10" s="433"/>
      <c r="F10" s="1026" t="s">
        <v>34</v>
      </c>
      <c r="G10" s="1034"/>
      <c r="H10" s="1033">
        <f>G35+G48+G53+G71+G81+G105+G116+G134+G141+G160</f>
        <v>3688.4064000000003</v>
      </c>
      <c r="I10" s="1019"/>
      <c r="J10" s="437"/>
      <c r="K10" s="1025" t="s">
        <v>34</v>
      </c>
      <c r="L10" s="1026"/>
      <c r="M10" s="1019">
        <f>L35+L48+L53+L71+L81+L105+L116+L134+L141+L160</f>
        <v>3268.9468000000006</v>
      </c>
      <c r="N10" s="1020"/>
      <c r="O10" s="438"/>
      <c r="P10" s="1025" t="s">
        <v>34</v>
      </c>
      <c r="Q10" s="1026"/>
      <c r="R10" s="1019">
        <f>Q35+Q48+Q53+Q71+Q81+Q105+Q116+Q134+Q141+Q160</f>
        <v>2119.3676</v>
      </c>
      <c r="S10" s="1020"/>
      <c r="T10" s="438"/>
      <c r="U10" s="1025" t="s">
        <v>34</v>
      </c>
      <c r="V10" s="1026"/>
      <c r="W10" s="1019">
        <f>V35+V48+V53+V71+V81+V105+V116+V134+V141+V160</f>
        <v>2916.8132000000005</v>
      </c>
      <c r="X10" s="1020"/>
      <c r="Y10" s="438"/>
      <c r="Z10" s="1025" t="s">
        <v>34</v>
      </c>
      <c r="AA10" s="1026"/>
      <c r="AB10" s="1019">
        <f>AA35+AA48+AA53+AA71+AA81+AA105+AA116+AA134+AA141+AA160</f>
        <v>3068.2624000000001</v>
      </c>
      <c r="AC10" s="1020"/>
    </row>
    <row r="11" spans="2:29" ht="22.5" customHeight="1" x14ac:dyDescent="0.3">
      <c r="B11" s="16"/>
      <c r="C11" s="992"/>
      <c r="D11" s="425"/>
      <c r="E11" s="440"/>
      <c r="F11" s="1029" t="s">
        <v>37</v>
      </c>
      <c r="G11" s="1035"/>
      <c r="H11" s="1036">
        <f>H10-H9</f>
        <v>3402.8064000000004</v>
      </c>
      <c r="I11" s="1021"/>
      <c r="J11" s="441"/>
      <c r="K11" s="1027" t="s">
        <v>37</v>
      </c>
      <c r="L11" s="1029"/>
      <c r="M11" s="1030">
        <f>M10-M9</f>
        <v>3010.5468000000005</v>
      </c>
      <c r="N11" s="1022"/>
      <c r="O11" s="442"/>
      <c r="P11" s="1027" t="s">
        <v>37</v>
      </c>
      <c r="Q11" s="1029"/>
      <c r="R11" s="1021">
        <f>R10-R9</f>
        <v>1777.6676</v>
      </c>
      <c r="S11" s="1022"/>
      <c r="T11" s="442"/>
      <c r="U11" s="1027" t="s">
        <v>37</v>
      </c>
      <c r="V11" s="1029"/>
      <c r="W11" s="1021">
        <f>W10-W9</f>
        <v>2457.8132000000005</v>
      </c>
      <c r="X11" s="1022"/>
      <c r="Y11" s="442"/>
      <c r="Z11" s="1027" t="s">
        <v>37</v>
      </c>
      <c r="AA11" s="1028"/>
      <c r="AB11" s="1021">
        <f>AB10-AB9</f>
        <v>2910.1624000000002</v>
      </c>
      <c r="AC11" s="1022"/>
    </row>
    <row r="12" spans="2:29" x14ac:dyDescent="0.3">
      <c r="B12" s="443"/>
      <c r="C12" s="444" t="s">
        <v>98</v>
      </c>
      <c r="D12" s="445" t="s">
        <v>99</v>
      </c>
      <c r="E12" s="446" t="s">
        <v>241</v>
      </c>
      <c r="F12" s="447" t="s">
        <v>40</v>
      </c>
      <c r="G12" s="448" t="s">
        <v>41</v>
      </c>
      <c r="H12" s="447" t="s">
        <v>42</v>
      </c>
      <c r="I12" s="447" t="s">
        <v>43</v>
      </c>
      <c r="J12" s="449" t="s">
        <v>241</v>
      </c>
      <c r="K12" s="450" t="s">
        <v>40</v>
      </c>
      <c r="L12" s="448" t="s">
        <v>43</v>
      </c>
      <c r="M12" s="447" t="s">
        <v>42</v>
      </c>
      <c r="N12" s="448" t="s">
        <v>43</v>
      </c>
      <c r="O12" s="449" t="s">
        <v>241</v>
      </c>
      <c r="P12" s="450" t="s">
        <v>40</v>
      </c>
      <c r="Q12" s="448" t="s">
        <v>43</v>
      </c>
      <c r="R12" s="447" t="s">
        <v>42</v>
      </c>
      <c r="S12" s="448" t="s">
        <v>43</v>
      </c>
      <c r="T12" s="449" t="s">
        <v>241</v>
      </c>
      <c r="U12" s="450" t="s">
        <v>40</v>
      </c>
      <c r="V12" s="448" t="s">
        <v>43</v>
      </c>
      <c r="W12" s="447" t="s">
        <v>42</v>
      </c>
      <c r="X12" s="448" t="s">
        <v>43</v>
      </c>
      <c r="Y12" s="449" t="s">
        <v>241</v>
      </c>
      <c r="Z12" s="450" t="s">
        <v>40</v>
      </c>
      <c r="AA12" s="448" t="s">
        <v>43</v>
      </c>
      <c r="AB12" s="447" t="s">
        <v>42</v>
      </c>
      <c r="AC12" s="448" t="s">
        <v>43</v>
      </c>
    </row>
    <row r="13" spans="2:29" x14ac:dyDescent="0.3">
      <c r="B13" s="429" t="s">
        <v>39</v>
      </c>
      <c r="C13" s="451"/>
      <c r="D13" s="452"/>
      <c r="E13" s="452"/>
      <c r="F13" s="453"/>
      <c r="G13" s="453"/>
      <c r="H13" s="453"/>
      <c r="I13" s="453"/>
      <c r="J13" s="453"/>
      <c r="K13" s="453"/>
      <c r="L13" s="453"/>
      <c r="M13" s="453"/>
      <c r="N13" s="453"/>
      <c r="O13" s="453"/>
      <c r="P13" s="453"/>
      <c r="Q13" s="453"/>
      <c r="R13" s="453"/>
      <c r="S13" s="453"/>
      <c r="T13" s="453"/>
      <c r="U13" s="453"/>
      <c r="V13" s="453"/>
      <c r="W13" s="453"/>
      <c r="X13" s="453"/>
      <c r="Y13" s="453"/>
      <c r="Z13" s="453"/>
      <c r="AA13" s="453"/>
      <c r="AB13" s="453"/>
      <c r="AC13" s="454"/>
    </row>
    <row r="14" spans="2:29" x14ac:dyDescent="0.3">
      <c r="B14" s="16" t="s">
        <v>119</v>
      </c>
      <c r="C14" s="455">
        <f>61.38*'Arable Inputs'!$D$8</f>
        <v>300.76200000000006</v>
      </c>
      <c r="D14" s="456">
        <f>52.06*'Arable Inputs'!$D$8</f>
        <v>255.09400000000002</v>
      </c>
      <c r="E14" s="457"/>
      <c r="F14" s="432"/>
      <c r="G14" s="458"/>
      <c r="H14" s="432"/>
      <c r="I14" s="432"/>
      <c r="J14" s="457"/>
      <c r="K14" s="432"/>
      <c r="L14" s="458"/>
      <c r="M14" s="432"/>
      <c r="N14" s="432"/>
      <c r="O14" s="457"/>
      <c r="P14" s="432"/>
      <c r="Q14" s="458"/>
      <c r="R14" s="16"/>
      <c r="S14" s="432"/>
      <c r="T14" s="457"/>
      <c r="U14" s="432"/>
      <c r="V14" s="458"/>
      <c r="W14" s="432"/>
      <c r="X14" s="432"/>
      <c r="Y14" s="457"/>
      <c r="Z14" s="432"/>
      <c r="AA14" s="458"/>
      <c r="AB14" s="459"/>
      <c r="AC14" s="458"/>
    </row>
    <row r="15" spans="2:29" x14ac:dyDescent="0.3">
      <c r="B15" s="16" t="s">
        <v>120</v>
      </c>
      <c r="C15" s="455">
        <f>63.88*'Arable Inputs'!$D$8</f>
        <v>313.01200000000006</v>
      </c>
      <c r="D15" s="456">
        <f>57.54*'Arable Inputs'!$D$8</f>
        <v>281.94600000000003</v>
      </c>
      <c r="E15" s="457">
        <v>2</v>
      </c>
      <c r="F15" s="460">
        <v>1</v>
      </c>
      <c r="G15" s="993">
        <f>IF(F15&gt;=1,CHOOSE(E15,$C15,$D15)*F15)</f>
        <v>281.94600000000003</v>
      </c>
      <c r="H15" s="806">
        <v>1.4</v>
      </c>
      <c r="I15" s="576">
        <f>H15*$C$4</f>
        <v>23.799999999999997</v>
      </c>
      <c r="J15" s="457">
        <v>2</v>
      </c>
      <c r="K15" s="460">
        <v>1</v>
      </c>
      <c r="L15" s="993">
        <f>IF(K15&gt;=1,CHOOSE(J15,$C15,$D15)*K15)</f>
        <v>281.94600000000003</v>
      </c>
      <c r="M15" s="806">
        <v>1.4</v>
      </c>
      <c r="N15" s="576">
        <f>M15*$C$4</f>
        <v>23.799999999999997</v>
      </c>
      <c r="O15" s="457"/>
      <c r="P15" s="432"/>
      <c r="Q15" s="458"/>
      <c r="R15" s="810"/>
      <c r="S15" s="421"/>
      <c r="T15" s="457">
        <v>2</v>
      </c>
      <c r="U15" s="460">
        <v>1</v>
      </c>
      <c r="V15" s="993">
        <f>IF(U15&gt;=1,CHOOSE(T15,$C15,$D15)*U15)</f>
        <v>281.94600000000003</v>
      </c>
      <c r="W15" s="806">
        <v>1.4</v>
      </c>
      <c r="X15" s="576">
        <f>W15*$C$4</f>
        <v>23.799999999999997</v>
      </c>
      <c r="Y15" s="457">
        <v>2</v>
      </c>
      <c r="Z15" s="460">
        <v>1</v>
      </c>
      <c r="AA15" s="993">
        <f>IF(Z15&gt;=1,CHOOSE(Y15,$C15,$D15)*Z15)</f>
        <v>281.94600000000003</v>
      </c>
      <c r="AB15" s="855">
        <v>1.4</v>
      </c>
      <c r="AC15" s="993">
        <f>AB15*$C$4</f>
        <v>23.799999999999997</v>
      </c>
    </row>
    <row r="16" spans="2:29" x14ac:dyDescent="0.3">
      <c r="B16" s="16" t="s">
        <v>121</v>
      </c>
      <c r="C16" s="455">
        <f>(C14+6.92)*'Arable Inputs'!$D$8</f>
        <v>1507.6418000000006</v>
      </c>
      <c r="D16" s="456">
        <f>(D14+10.44)*'Arable Inputs'!$D$8</f>
        <v>1301.1166000000003</v>
      </c>
      <c r="E16" s="457"/>
      <c r="F16" s="432"/>
      <c r="G16" s="993"/>
      <c r="H16" s="432"/>
      <c r="I16" s="576"/>
      <c r="J16" s="457"/>
      <c r="K16" s="432"/>
      <c r="L16" s="993"/>
      <c r="M16" s="432"/>
      <c r="N16" s="576"/>
      <c r="O16" s="457"/>
      <c r="P16" s="432"/>
      <c r="Q16" s="458"/>
      <c r="R16" s="432"/>
      <c r="S16" s="432"/>
      <c r="T16" s="457"/>
      <c r="U16" s="432"/>
      <c r="V16" s="993"/>
      <c r="W16" s="432"/>
      <c r="X16" s="576"/>
      <c r="Y16" s="457"/>
      <c r="Z16" s="432"/>
      <c r="AA16" s="993"/>
      <c r="AB16" s="459"/>
      <c r="AC16" s="993"/>
    </row>
    <row r="17" spans="2:29" x14ac:dyDescent="0.3">
      <c r="B17" s="16" t="s">
        <v>100</v>
      </c>
      <c r="C17" s="455">
        <f>76.5*'Arable Inputs'!$D$8</f>
        <v>374.85</v>
      </c>
      <c r="D17" s="456">
        <f>68.49*'Arable Inputs'!$D$8</f>
        <v>335.601</v>
      </c>
      <c r="E17" s="457"/>
      <c r="F17" s="432"/>
      <c r="G17" s="993"/>
      <c r="H17" s="432"/>
      <c r="I17" s="576"/>
      <c r="J17" s="457"/>
      <c r="K17" s="432"/>
      <c r="L17" s="993"/>
      <c r="M17" s="432"/>
      <c r="N17" s="576"/>
      <c r="O17" s="457"/>
      <c r="P17" s="432"/>
      <c r="Q17" s="458"/>
      <c r="R17" s="432"/>
      <c r="S17" s="432"/>
      <c r="T17" s="457"/>
      <c r="U17" s="432"/>
      <c r="V17" s="993"/>
      <c r="W17" s="432"/>
      <c r="X17" s="576"/>
      <c r="Y17" s="457"/>
      <c r="Z17" s="432"/>
      <c r="AA17" s="993"/>
      <c r="AB17" s="459"/>
      <c r="AC17" s="993"/>
    </row>
    <row r="18" spans="2:29" x14ac:dyDescent="0.3">
      <c r="B18" s="16" t="s">
        <v>123</v>
      </c>
      <c r="C18" s="455">
        <f>75.12*'Arable Inputs'!$D$8</f>
        <v>368.08800000000002</v>
      </c>
      <c r="D18" s="456">
        <v>62.16</v>
      </c>
      <c r="E18" s="457"/>
      <c r="F18" s="432"/>
      <c r="G18" s="993"/>
      <c r="H18" s="432"/>
      <c r="I18" s="576"/>
      <c r="J18" s="457"/>
      <c r="K18" s="432"/>
      <c r="L18" s="993"/>
      <c r="M18" s="432"/>
      <c r="N18" s="576"/>
      <c r="O18" s="457"/>
      <c r="P18" s="432"/>
      <c r="Q18" s="458"/>
      <c r="R18" s="432"/>
      <c r="S18" s="432"/>
      <c r="T18" s="457"/>
      <c r="U18" s="432"/>
      <c r="V18" s="993"/>
      <c r="W18" s="432"/>
      <c r="X18" s="576"/>
      <c r="Y18" s="457"/>
      <c r="Z18" s="432"/>
      <c r="AA18" s="993"/>
      <c r="AB18" s="459"/>
      <c r="AC18" s="993"/>
    </row>
    <row r="19" spans="2:29" x14ac:dyDescent="0.3">
      <c r="B19" s="16" t="s">
        <v>122</v>
      </c>
      <c r="C19" s="455" t="s">
        <v>116</v>
      </c>
      <c r="D19" s="456">
        <f>88.06*'Arable Inputs'!$D$8</f>
        <v>431.49400000000003</v>
      </c>
      <c r="E19" s="457"/>
      <c r="F19" s="432"/>
      <c r="G19" s="993"/>
      <c r="H19" s="432"/>
      <c r="I19" s="576"/>
      <c r="J19" s="457"/>
      <c r="K19" s="432"/>
      <c r="L19" s="993"/>
      <c r="M19" s="432"/>
      <c r="N19" s="576"/>
      <c r="O19" s="457"/>
      <c r="P19" s="432"/>
      <c r="Q19" s="458"/>
      <c r="R19" s="432"/>
      <c r="S19" s="432"/>
      <c r="T19" s="457"/>
      <c r="U19" s="432"/>
      <c r="V19" s="993"/>
      <c r="W19" s="432"/>
      <c r="X19" s="576"/>
      <c r="Y19" s="457"/>
      <c r="Z19" s="432"/>
      <c r="AA19" s="993"/>
      <c r="AB19" s="459"/>
      <c r="AC19" s="993"/>
    </row>
    <row r="20" spans="2:29" x14ac:dyDescent="0.3">
      <c r="B20" s="16" t="s">
        <v>101</v>
      </c>
      <c r="C20" s="455">
        <f>59.3*'Arable Inputs'!$D$8</f>
        <v>290.57</v>
      </c>
      <c r="D20" s="456">
        <f>52.25*'Arable Inputs'!$D$8</f>
        <v>256.02500000000003</v>
      </c>
      <c r="E20" s="457"/>
      <c r="F20" s="432"/>
      <c r="G20" s="993"/>
      <c r="H20" s="432"/>
      <c r="I20" s="576"/>
      <c r="J20" s="457"/>
      <c r="K20" s="432"/>
      <c r="L20" s="993"/>
      <c r="M20" s="432"/>
      <c r="N20" s="576"/>
      <c r="O20" s="457"/>
      <c r="P20" s="432"/>
      <c r="Q20" s="458"/>
      <c r="R20" s="432"/>
      <c r="S20" s="432"/>
      <c r="T20" s="457"/>
      <c r="U20" s="432"/>
      <c r="V20" s="993"/>
      <c r="W20" s="432"/>
      <c r="X20" s="576"/>
      <c r="Y20" s="457"/>
      <c r="Z20" s="432"/>
      <c r="AA20" s="993"/>
      <c r="AB20" s="459"/>
      <c r="AC20" s="993"/>
    </row>
    <row r="21" spans="2:29" x14ac:dyDescent="0.3">
      <c r="B21" s="16" t="s">
        <v>102</v>
      </c>
      <c r="C21" s="455">
        <f>70.77*'Arable Inputs'!$D$8</f>
        <v>346.77300000000002</v>
      </c>
      <c r="D21" s="456">
        <f>59.72*'Arable Inputs'!$D$8</f>
        <v>292.62800000000004</v>
      </c>
      <c r="E21" s="457"/>
      <c r="F21" s="432"/>
      <c r="G21" s="993"/>
      <c r="H21" s="432"/>
      <c r="I21" s="576"/>
      <c r="J21" s="457"/>
      <c r="K21" s="432"/>
      <c r="L21" s="993"/>
      <c r="M21" s="432"/>
      <c r="N21" s="576"/>
      <c r="O21" s="457"/>
      <c r="P21" s="432"/>
      <c r="Q21" s="458"/>
      <c r="R21" s="432"/>
      <c r="S21" s="432"/>
      <c r="T21" s="457"/>
      <c r="U21" s="432"/>
      <c r="V21" s="993"/>
      <c r="W21" s="432"/>
      <c r="X21" s="576"/>
      <c r="Y21" s="457"/>
      <c r="Z21" s="432"/>
      <c r="AA21" s="993"/>
      <c r="AB21" s="459"/>
      <c r="AC21" s="993"/>
    </row>
    <row r="22" spans="2:29" x14ac:dyDescent="0.3">
      <c r="B22" s="16" t="s">
        <v>44</v>
      </c>
      <c r="C22" s="455">
        <f>18.93*'Arable Inputs'!$D$8</f>
        <v>92.757000000000005</v>
      </c>
      <c r="D22" s="456">
        <f>15.22*'Arable Inputs'!$D$8</f>
        <v>74.578000000000003</v>
      </c>
      <c r="E22" s="457"/>
      <c r="F22" s="432"/>
      <c r="G22" s="993"/>
      <c r="H22" s="432"/>
      <c r="I22" s="576"/>
      <c r="J22" s="457"/>
      <c r="K22" s="432"/>
      <c r="L22" s="993"/>
      <c r="M22" s="432"/>
      <c r="N22" s="576"/>
      <c r="O22" s="457"/>
      <c r="P22" s="432"/>
      <c r="Q22" s="458"/>
      <c r="R22" s="432"/>
      <c r="S22" s="432"/>
      <c r="T22" s="457"/>
      <c r="U22" s="432"/>
      <c r="V22" s="993"/>
      <c r="W22" s="432"/>
      <c r="X22" s="576"/>
      <c r="Y22" s="457"/>
      <c r="Z22" s="432"/>
      <c r="AA22" s="993"/>
      <c r="AB22" s="459"/>
      <c r="AC22" s="993"/>
    </row>
    <row r="23" spans="2:29" x14ac:dyDescent="0.3">
      <c r="B23" s="16" t="s">
        <v>125</v>
      </c>
      <c r="C23" s="455">
        <f>51.89*'Arable Inputs'!$D$8</f>
        <v>254.26100000000002</v>
      </c>
      <c r="D23" s="456">
        <f>33.4*'Arable Inputs'!$D$8</f>
        <v>163.66</v>
      </c>
      <c r="E23" s="457"/>
      <c r="F23" s="432"/>
      <c r="G23" s="993"/>
      <c r="H23" s="432"/>
      <c r="I23" s="576"/>
      <c r="J23" s="457"/>
      <c r="K23" s="432"/>
      <c r="L23" s="993"/>
      <c r="M23" s="432"/>
      <c r="N23" s="576"/>
      <c r="O23" s="457"/>
      <c r="P23" s="432"/>
      <c r="Q23" s="458"/>
      <c r="R23" s="432"/>
      <c r="S23" s="432"/>
      <c r="T23" s="457"/>
      <c r="U23" s="432"/>
      <c r="V23" s="993"/>
      <c r="W23" s="432"/>
      <c r="X23" s="576"/>
      <c r="Y23" s="457"/>
      <c r="Z23" s="432"/>
      <c r="AA23" s="993"/>
      <c r="AB23" s="459"/>
      <c r="AC23" s="993"/>
    </row>
    <row r="24" spans="2:29" x14ac:dyDescent="0.3">
      <c r="B24" s="16" t="s">
        <v>124</v>
      </c>
      <c r="C24" s="455">
        <f>59.3*'Arable Inputs'!$D$8</f>
        <v>290.57</v>
      </c>
      <c r="D24" s="456">
        <f>41.49*'Arable Inputs'!$D$8</f>
        <v>203.30100000000002</v>
      </c>
      <c r="E24" s="457"/>
      <c r="F24" s="432"/>
      <c r="G24" s="993"/>
      <c r="H24" s="432"/>
      <c r="I24" s="576"/>
      <c r="J24" s="457"/>
      <c r="K24" s="432"/>
      <c r="L24" s="993"/>
      <c r="M24" s="432"/>
      <c r="N24" s="576"/>
      <c r="O24" s="457"/>
      <c r="P24" s="432"/>
      <c r="Q24" s="458"/>
      <c r="R24" s="432"/>
      <c r="S24" s="432"/>
      <c r="T24" s="457"/>
      <c r="U24" s="432"/>
      <c r="V24" s="993"/>
      <c r="W24" s="432"/>
      <c r="X24" s="576"/>
      <c r="Y24" s="457"/>
      <c r="Z24" s="432"/>
      <c r="AA24" s="993"/>
      <c r="AB24" s="459"/>
      <c r="AC24" s="993"/>
    </row>
    <row r="25" spans="2:29" x14ac:dyDescent="0.3">
      <c r="B25" s="16" t="s">
        <v>126</v>
      </c>
      <c r="C25" s="455">
        <f>59.3*'Arable Inputs'!$D$8</f>
        <v>290.57</v>
      </c>
      <c r="D25" s="456">
        <f>52.41*'Arable Inputs'!$D$8</f>
        <v>256.80900000000003</v>
      </c>
      <c r="E25" s="457">
        <v>2</v>
      </c>
      <c r="F25" s="460">
        <v>1</v>
      </c>
      <c r="G25" s="993">
        <f>IF(F25&gt;=1,CHOOSE(E25,$C25,$D25)*F25)</f>
        <v>256.80900000000003</v>
      </c>
      <c r="H25" s="809">
        <f>1+1.1</f>
        <v>2.1</v>
      </c>
      <c r="I25" s="576">
        <f>H25*$C$4</f>
        <v>35.700000000000003</v>
      </c>
      <c r="J25" s="457">
        <v>2</v>
      </c>
      <c r="K25" s="460">
        <v>1</v>
      </c>
      <c r="L25" s="993">
        <f>IF(K25&gt;=1,CHOOSE(J25,$C25,$D25)*K25)</f>
        <v>256.80900000000003</v>
      </c>
      <c r="M25" s="809">
        <f>1.1</f>
        <v>1.1000000000000001</v>
      </c>
      <c r="N25" s="576">
        <f>M25*$C$4</f>
        <v>18.700000000000003</v>
      </c>
      <c r="O25" s="457"/>
      <c r="P25" s="432"/>
      <c r="Q25" s="458"/>
      <c r="R25" s="810"/>
      <c r="S25" s="421"/>
      <c r="T25" s="457"/>
      <c r="U25" s="432"/>
      <c r="V25" s="993"/>
      <c r="W25" s="432"/>
      <c r="X25" s="576"/>
      <c r="Y25" s="457">
        <v>2</v>
      </c>
      <c r="Z25" s="460">
        <v>1</v>
      </c>
      <c r="AA25" s="993">
        <f>IF(Z25&gt;=1,CHOOSE(Y25,$C25,$D25)*Z25)</f>
        <v>256.80900000000003</v>
      </c>
      <c r="AB25" s="831">
        <v>2.1</v>
      </c>
      <c r="AC25" s="993">
        <f>AB25*$C$4</f>
        <v>35.700000000000003</v>
      </c>
    </row>
    <row r="26" spans="2:29" x14ac:dyDescent="0.3">
      <c r="B26" s="16" t="s">
        <v>127</v>
      </c>
      <c r="C26" s="455">
        <f>51.89*'Arable Inputs'!$D$8</f>
        <v>254.26100000000002</v>
      </c>
      <c r="D26" s="456">
        <f>39.31*'Arable Inputs'!$D$8</f>
        <v>192.61900000000003</v>
      </c>
      <c r="E26" s="457"/>
      <c r="F26" s="432"/>
      <c r="G26" s="993"/>
      <c r="H26" s="432"/>
      <c r="I26" s="576"/>
      <c r="J26" s="457"/>
      <c r="K26" s="432"/>
      <c r="L26" s="993"/>
      <c r="M26" s="432"/>
      <c r="N26" s="576"/>
      <c r="O26" s="457"/>
      <c r="P26" s="432"/>
      <c r="Q26" s="458"/>
      <c r="R26" s="810"/>
      <c r="S26" s="421"/>
      <c r="T26" s="457"/>
      <c r="U26" s="432"/>
      <c r="V26" s="993"/>
      <c r="W26" s="810"/>
      <c r="X26" s="576"/>
      <c r="Y26" s="457"/>
      <c r="Z26" s="432"/>
      <c r="AA26" s="993"/>
      <c r="AB26" s="830"/>
      <c r="AC26" s="993"/>
    </row>
    <row r="27" spans="2:29" x14ac:dyDescent="0.3">
      <c r="B27" s="16" t="s">
        <v>103</v>
      </c>
      <c r="C27" s="455">
        <f>34.59*'Arable Inputs'!$D$8</f>
        <v>169.49100000000004</v>
      </c>
      <c r="D27" s="456">
        <f>21.76*'Arable Inputs'!$D$8</f>
        <v>106.62400000000001</v>
      </c>
      <c r="E27" s="457"/>
      <c r="F27" s="432"/>
      <c r="G27" s="993"/>
      <c r="H27" s="432"/>
      <c r="I27" s="576"/>
      <c r="J27" s="457"/>
      <c r="K27" s="432"/>
      <c r="L27" s="993"/>
      <c r="M27" s="432"/>
      <c r="N27" s="576"/>
      <c r="O27" s="457"/>
      <c r="P27" s="432"/>
      <c r="Q27" s="458"/>
      <c r="R27" s="432"/>
      <c r="S27" s="432"/>
      <c r="T27" s="457"/>
      <c r="U27" s="432"/>
      <c r="V27" s="993"/>
      <c r="W27" s="432"/>
      <c r="X27" s="576"/>
      <c r="Y27" s="457"/>
      <c r="Z27" s="432"/>
      <c r="AA27" s="993"/>
      <c r="AB27" s="459"/>
      <c r="AC27" s="993"/>
    </row>
    <row r="28" spans="2:29" x14ac:dyDescent="0.3">
      <c r="B28" s="16" t="s">
        <v>104</v>
      </c>
      <c r="C28" s="455">
        <f>37.07*'Arable Inputs'!$D$8</f>
        <v>181.643</v>
      </c>
      <c r="D28" s="456">
        <f>25.65*'Arable Inputs'!$D$8</f>
        <v>125.685</v>
      </c>
      <c r="E28" s="457"/>
      <c r="F28" s="432"/>
      <c r="G28" s="993"/>
      <c r="H28" s="432"/>
      <c r="I28" s="576"/>
      <c r="J28" s="457"/>
      <c r="K28" s="432"/>
      <c r="L28" s="993"/>
      <c r="M28" s="432"/>
      <c r="N28" s="576"/>
      <c r="O28" s="457"/>
      <c r="P28" s="432"/>
      <c r="Q28" s="458"/>
      <c r="R28" s="432"/>
      <c r="S28" s="432"/>
      <c r="T28" s="457"/>
      <c r="U28" s="432"/>
      <c r="V28" s="993"/>
      <c r="W28" s="432"/>
      <c r="X28" s="576"/>
      <c r="Y28" s="457"/>
      <c r="Z28" s="432"/>
      <c r="AA28" s="993"/>
      <c r="AB28" s="459"/>
      <c r="AC28" s="993"/>
    </row>
    <row r="29" spans="2:29" x14ac:dyDescent="0.3">
      <c r="B29" s="16" t="s">
        <v>107</v>
      </c>
      <c r="C29" s="455">
        <f>67.26*'Arable Inputs'!$D$8</f>
        <v>329.57400000000007</v>
      </c>
      <c r="D29" s="456">
        <f>52.91*'Arable Inputs'!$D$8</f>
        <v>259.25900000000001</v>
      </c>
      <c r="E29" s="457"/>
      <c r="F29" s="432"/>
      <c r="G29" s="993"/>
      <c r="H29" s="432"/>
      <c r="I29" s="576"/>
      <c r="J29" s="457"/>
      <c r="K29" s="432"/>
      <c r="L29" s="993"/>
      <c r="M29" s="432"/>
      <c r="N29" s="576"/>
      <c r="O29" s="457"/>
      <c r="P29" s="432"/>
      <c r="Q29" s="458"/>
      <c r="R29" s="432"/>
      <c r="S29" s="432"/>
      <c r="T29" s="457"/>
      <c r="U29" s="432"/>
      <c r="V29" s="993"/>
      <c r="W29" s="432"/>
      <c r="X29" s="576"/>
      <c r="Y29" s="457"/>
      <c r="Z29" s="432"/>
      <c r="AA29" s="993"/>
      <c r="AB29" s="459"/>
      <c r="AC29" s="993"/>
    </row>
    <row r="30" spans="2:29" x14ac:dyDescent="0.3">
      <c r="B30" s="16" t="s">
        <v>106</v>
      </c>
      <c r="C30" s="455">
        <f>37.07*'Arable Inputs'!$D$8</f>
        <v>181.643</v>
      </c>
      <c r="D30" s="456">
        <f>37.32*'Arable Inputs'!$D$8</f>
        <v>182.86800000000002</v>
      </c>
      <c r="E30" s="457"/>
      <c r="F30" s="432"/>
      <c r="G30" s="993"/>
      <c r="H30" s="432"/>
      <c r="I30" s="576"/>
      <c r="J30" s="457"/>
      <c r="K30" s="432"/>
      <c r="L30" s="993"/>
      <c r="M30" s="432"/>
      <c r="N30" s="576"/>
      <c r="O30" s="457">
        <v>2</v>
      </c>
      <c r="P30" s="460">
        <v>1</v>
      </c>
      <c r="Q30" s="993">
        <f>IF(P30&gt;=1,CHOOSE(O30,$C30,$D30)*P30)</f>
        <v>182.86800000000002</v>
      </c>
      <c r="R30" s="809">
        <v>1.6</v>
      </c>
      <c r="S30" s="576">
        <f>R30*$C$4</f>
        <v>27.200000000000003</v>
      </c>
      <c r="T30" s="457">
        <v>2</v>
      </c>
      <c r="U30" s="460">
        <v>1</v>
      </c>
      <c r="V30" s="993">
        <f>IF(U30&gt;=1,CHOOSE(T30,$C30,$D30)*U30)</f>
        <v>182.86800000000002</v>
      </c>
      <c r="W30" s="806">
        <v>3.2</v>
      </c>
      <c r="X30" s="576">
        <f>W30*$C$4</f>
        <v>54.400000000000006</v>
      </c>
      <c r="Y30" s="457"/>
      <c r="Z30" s="432"/>
      <c r="AA30" s="993"/>
      <c r="AB30" s="861"/>
      <c r="AC30" s="993"/>
    </row>
    <row r="31" spans="2:29" x14ac:dyDescent="0.3">
      <c r="B31" s="16" t="s">
        <v>105</v>
      </c>
      <c r="C31" s="455">
        <f>29.9*'Arable Inputs'!$D$8</f>
        <v>146.51</v>
      </c>
      <c r="D31" s="456">
        <f>16.68*'Arable Inputs'!$D$8</f>
        <v>81.731999999999999</v>
      </c>
      <c r="E31" s="457"/>
      <c r="F31" s="366"/>
      <c r="G31" s="993"/>
      <c r="H31" s="366"/>
      <c r="I31" s="576"/>
      <c r="J31" s="457"/>
      <c r="K31" s="463"/>
      <c r="L31" s="993"/>
      <c r="M31" s="432"/>
      <c r="N31" s="576"/>
      <c r="O31" s="457"/>
      <c r="P31" s="366" t="s">
        <v>532</v>
      </c>
      <c r="Q31" s="993"/>
      <c r="R31" s="366"/>
      <c r="S31" s="576"/>
      <c r="T31" s="457">
        <v>2</v>
      </c>
      <c r="U31" s="460">
        <v>1</v>
      </c>
      <c r="V31" s="993">
        <f>IF(U31&gt;=1,CHOOSE(T31,$C31,$D31)*U31)</f>
        <v>81.731999999999999</v>
      </c>
      <c r="W31" s="806">
        <v>0.8</v>
      </c>
      <c r="X31" s="576">
        <f>W31*$C$4</f>
        <v>13.600000000000001</v>
      </c>
      <c r="Y31" s="457"/>
      <c r="Z31" s="432"/>
      <c r="AA31" s="993"/>
      <c r="AB31" s="459"/>
      <c r="AC31" s="993"/>
    </row>
    <row r="32" spans="2:29" x14ac:dyDescent="0.3">
      <c r="B32" s="16" t="s">
        <v>128</v>
      </c>
      <c r="C32" s="455">
        <f>21.42*'Arable Inputs'!$D$8</f>
        <v>104.95800000000001</v>
      </c>
      <c r="D32" s="456">
        <f>8.89*'Arable Inputs'!$D$8</f>
        <v>43.561000000000007</v>
      </c>
      <c r="E32" s="457">
        <v>2</v>
      </c>
      <c r="F32" s="460">
        <v>1</v>
      </c>
      <c r="G32" s="993">
        <f>IF(F32&gt;=1,CHOOSE(E32,$C32,$D32)*F32)</f>
        <v>43.561000000000007</v>
      </c>
      <c r="H32" s="806">
        <v>1.1000000000000001</v>
      </c>
      <c r="I32" s="576">
        <f>H32*$C$4</f>
        <v>18.700000000000003</v>
      </c>
      <c r="J32" s="457">
        <v>2</v>
      </c>
      <c r="K32" s="460">
        <v>1</v>
      </c>
      <c r="L32" s="993">
        <f>IF(K32&gt;=1,CHOOSE(J32,$C32,$D32)*K32)</f>
        <v>43.561000000000007</v>
      </c>
      <c r="M32" s="806">
        <v>1.1000000000000001</v>
      </c>
      <c r="N32" s="576">
        <f>M32*$C$4</f>
        <v>18.700000000000003</v>
      </c>
      <c r="O32" s="457">
        <v>2</v>
      </c>
      <c r="P32" s="460">
        <v>1</v>
      </c>
      <c r="Q32" s="993">
        <f>IF(P32&gt;=1,CHOOSE(O32,$C32,$D32)*P32)</f>
        <v>43.561000000000007</v>
      </c>
      <c r="R32" s="806">
        <v>1.6</v>
      </c>
      <c r="S32" s="576">
        <f>R32*$C$4</f>
        <v>27.200000000000003</v>
      </c>
      <c r="T32" s="457"/>
      <c r="U32" s="432"/>
      <c r="V32" s="993"/>
      <c r="W32" s="810"/>
      <c r="X32" s="576"/>
      <c r="Y32" s="457">
        <v>2</v>
      </c>
      <c r="Z32" s="460">
        <v>1</v>
      </c>
      <c r="AA32" s="993">
        <f>IF(Z32&gt;=1,CHOOSE(Y32,$C32,$D32)*Z32)</f>
        <v>43.561000000000007</v>
      </c>
      <c r="AB32" s="831">
        <v>1.1000000000000001</v>
      </c>
      <c r="AC32" s="993">
        <f>AB32*$C$4</f>
        <v>18.700000000000003</v>
      </c>
    </row>
    <row r="33" spans="2:29" x14ac:dyDescent="0.3">
      <c r="B33" s="16" t="s">
        <v>52</v>
      </c>
      <c r="C33" s="455">
        <f>276.75*'Arable Inputs'!$D$8</f>
        <v>1356.075</v>
      </c>
      <c r="D33" s="464">
        <f>217.01*'Arable Inputs'!$D$8</f>
        <v>1063.3489999999999</v>
      </c>
      <c r="E33" s="457"/>
      <c r="F33" s="432"/>
      <c r="G33" s="993"/>
      <c r="H33" s="432"/>
      <c r="I33" s="576"/>
      <c r="J33" s="457"/>
      <c r="K33" s="432"/>
      <c r="L33" s="993"/>
      <c r="M33" s="432"/>
      <c r="N33" s="576"/>
      <c r="O33" s="457"/>
      <c r="P33" s="432"/>
      <c r="Q33" s="993"/>
      <c r="R33" s="432"/>
      <c r="S33" s="576"/>
      <c r="T33" s="457"/>
      <c r="U33" s="432"/>
      <c r="V33" s="993"/>
      <c r="W33" s="432"/>
      <c r="X33" s="576"/>
      <c r="Y33" s="457"/>
      <c r="Z33" s="432"/>
      <c r="AA33" s="993"/>
      <c r="AB33" s="459"/>
      <c r="AC33" s="993"/>
    </row>
    <row r="34" spans="2:29" x14ac:dyDescent="0.3">
      <c r="B34" s="16" t="s">
        <v>53</v>
      </c>
      <c r="C34" s="465">
        <f>85.25*'Arable Inputs'!$D$8</f>
        <v>417.72500000000002</v>
      </c>
      <c r="D34" s="464">
        <f>56.5*'Arable Inputs'!$D$8</f>
        <v>276.85000000000002</v>
      </c>
      <c r="E34" s="457"/>
      <c r="F34" s="432"/>
      <c r="G34" s="993"/>
      <c r="H34" s="432"/>
      <c r="I34" s="576"/>
      <c r="J34" s="457"/>
      <c r="K34" s="432"/>
      <c r="L34" s="993"/>
      <c r="M34" s="432"/>
      <c r="N34" s="576"/>
      <c r="O34" s="457"/>
      <c r="P34" s="432"/>
      <c r="Q34" s="993"/>
      <c r="R34" s="432"/>
      <c r="S34" s="576"/>
      <c r="T34" s="457"/>
      <c r="U34" s="432"/>
      <c r="V34" s="993"/>
      <c r="W34" s="432"/>
      <c r="X34" s="576"/>
      <c r="Y34" s="457"/>
      <c r="Z34" s="432"/>
      <c r="AA34" s="993"/>
      <c r="AB34" s="459"/>
      <c r="AC34" s="993"/>
    </row>
    <row r="35" spans="2:29" x14ac:dyDescent="0.3">
      <c r="B35" s="429" t="s">
        <v>45</v>
      </c>
      <c r="C35" s="466"/>
      <c r="D35" s="466"/>
      <c r="E35" s="467"/>
      <c r="F35" s="427" t="s">
        <v>10</v>
      </c>
      <c r="G35" s="822">
        <f>SUM(G14:G34)</f>
        <v>582.31600000000014</v>
      </c>
      <c r="H35" s="429">
        <f>SUM(H14:H34)</f>
        <v>4.5999999999999996</v>
      </c>
      <c r="I35" s="834">
        <f>SUM(I14:I34)</f>
        <v>78.2</v>
      </c>
      <c r="J35" s="470"/>
      <c r="K35" s="427"/>
      <c r="L35" s="822">
        <f>SUM(L14:L34)</f>
        <v>582.31600000000014</v>
      </c>
      <c r="M35" s="429">
        <f>SUM(M14:M34)</f>
        <v>3.6</v>
      </c>
      <c r="N35" s="834">
        <f>SUM(N14:N34)</f>
        <v>61.2</v>
      </c>
      <c r="O35" s="470"/>
      <c r="P35" s="427"/>
      <c r="Q35" s="822">
        <f>SUM(Q14:Q34)</f>
        <v>226.42900000000003</v>
      </c>
      <c r="R35" s="429">
        <f>SUM(R14:R34)</f>
        <v>3.2</v>
      </c>
      <c r="S35" s="834">
        <f>SUM(S14:S34)</f>
        <v>54.400000000000006</v>
      </c>
      <c r="T35" s="470"/>
      <c r="U35" s="427"/>
      <c r="V35" s="822">
        <f>SUM(V14:V34)</f>
        <v>546.54600000000005</v>
      </c>
      <c r="W35" s="429">
        <f>SUM(W14:W34)</f>
        <v>5.3999999999999995</v>
      </c>
      <c r="X35" s="834">
        <f>SUM(X14:X34)</f>
        <v>91.800000000000011</v>
      </c>
      <c r="Y35" s="470"/>
      <c r="Z35" s="427"/>
      <c r="AA35" s="822">
        <f>SUM(AA14:AA34)</f>
        <v>582.31600000000014</v>
      </c>
      <c r="AB35" s="429">
        <f>SUM(AB14:AB34)</f>
        <v>4.5999999999999996</v>
      </c>
      <c r="AC35" s="822">
        <f>SUM(AC14:AC34)</f>
        <v>78.2</v>
      </c>
    </row>
    <row r="36" spans="2:29" s="39" customFormat="1" x14ac:dyDescent="0.3">
      <c r="B36" s="472"/>
      <c r="C36" s="466"/>
      <c r="D36" s="466"/>
      <c r="E36" s="466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Q36" s="427"/>
      <c r="R36" s="427"/>
      <c r="S36" s="427"/>
      <c r="T36" s="427"/>
      <c r="U36" s="427"/>
      <c r="V36" s="427"/>
      <c r="W36" s="427"/>
      <c r="X36" s="427"/>
      <c r="Y36" s="427"/>
      <c r="Z36" s="427"/>
      <c r="AA36" s="427"/>
      <c r="AB36" s="427"/>
      <c r="AC36" s="468"/>
    </row>
    <row r="37" spans="2:29" x14ac:dyDescent="0.3">
      <c r="B37" s="472" t="s">
        <v>145</v>
      </c>
      <c r="C37" s="466"/>
      <c r="D37" s="466"/>
      <c r="E37" s="466"/>
      <c r="F37" s="428"/>
      <c r="G37" s="428"/>
      <c r="H37" s="428"/>
      <c r="I37" s="428"/>
      <c r="J37" s="428"/>
      <c r="K37" s="428"/>
      <c r="L37" s="428"/>
      <c r="M37" s="428"/>
      <c r="N37" s="428"/>
      <c r="O37" s="428"/>
      <c r="P37" s="428"/>
      <c r="Q37" s="428"/>
      <c r="R37" s="428"/>
      <c r="S37" s="428"/>
      <c r="T37" s="428"/>
      <c r="U37" s="428"/>
      <c r="V37" s="428"/>
      <c r="W37" s="428"/>
      <c r="X37" s="428"/>
      <c r="Y37" s="428"/>
      <c r="Z37" s="428"/>
      <c r="AA37" s="428"/>
      <c r="AB37" s="428"/>
      <c r="AC37" s="430"/>
    </row>
    <row r="38" spans="2:29" x14ac:dyDescent="0.3">
      <c r="B38" s="16" t="s">
        <v>204</v>
      </c>
      <c r="C38" s="455">
        <f>12.36*'Arable Inputs'!$D$8</f>
        <v>60.564</v>
      </c>
      <c r="D38" s="456">
        <f>6.69*'Arable Inputs'!$D$8</f>
        <v>32.781000000000006</v>
      </c>
      <c r="E38" s="457"/>
      <c r="F38" s="473"/>
      <c r="G38" s="474"/>
      <c r="H38" s="432"/>
      <c r="I38" s="432"/>
      <c r="J38" s="457"/>
      <c r="K38" s="473"/>
      <c r="L38" s="474"/>
      <c r="M38" s="432"/>
      <c r="N38" s="432"/>
      <c r="O38" s="457"/>
      <c r="P38" s="473"/>
      <c r="Q38" s="474"/>
      <c r="R38" s="432"/>
      <c r="S38" s="432"/>
      <c r="T38" s="457"/>
      <c r="U38" s="473"/>
      <c r="V38" s="474"/>
      <c r="W38" s="432"/>
      <c r="X38" s="432"/>
      <c r="Y38" s="457"/>
      <c r="Z38" s="473"/>
      <c r="AA38" s="474"/>
      <c r="AB38" s="459"/>
      <c r="AC38" s="458"/>
    </row>
    <row r="39" spans="2:29" x14ac:dyDescent="0.3">
      <c r="B39" s="16" t="s">
        <v>46</v>
      </c>
      <c r="C39" s="455">
        <f>(C38+3.71)*'Arable Inputs'!$D$8</f>
        <v>314.94260000000003</v>
      </c>
      <c r="D39" s="456" t="s">
        <v>116</v>
      </c>
      <c r="E39" s="457">
        <v>1</v>
      </c>
      <c r="F39" s="460">
        <v>4</v>
      </c>
      <c r="G39" s="993">
        <f>IF(F39&gt;=1,CHOOSE(E39,$C39,$D39)*F39)</f>
        <v>1259.7704000000001</v>
      </c>
      <c r="H39" s="806">
        <f>0.3*F39</f>
        <v>1.2</v>
      </c>
      <c r="I39" s="576">
        <f>H39*$C$4</f>
        <v>20.399999999999999</v>
      </c>
      <c r="J39" s="457">
        <v>1</v>
      </c>
      <c r="K39" s="460">
        <v>3</v>
      </c>
      <c r="L39" s="993">
        <f>IF(K39&gt;=1,CHOOSE(J39,$C39,$D39)*K39)</f>
        <v>944.82780000000002</v>
      </c>
      <c r="M39" s="806">
        <f>0.3*K39</f>
        <v>0.89999999999999991</v>
      </c>
      <c r="N39" s="576">
        <f>M39*$C$4</f>
        <v>15.299999999999999</v>
      </c>
      <c r="O39" s="457">
        <v>1</v>
      </c>
      <c r="P39" s="460">
        <v>1</v>
      </c>
      <c r="Q39" s="993">
        <f>IF(P39&gt;=1,CHOOSE(O39,$C39,$D39)*P39)</f>
        <v>314.94260000000003</v>
      </c>
      <c r="R39" s="806">
        <f>1.6*P39</f>
        <v>1.6</v>
      </c>
      <c r="S39" s="576">
        <f>R39*$C$4</f>
        <v>27.200000000000003</v>
      </c>
      <c r="T39" s="457">
        <v>1</v>
      </c>
      <c r="U39" s="460">
        <v>2</v>
      </c>
      <c r="V39" s="993">
        <f>IF(U39&gt;=1,CHOOSE(T39,$C39,$D39)*U39)</f>
        <v>629.88520000000005</v>
      </c>
      <c r="W39" s="806">
        <f>0.7*U39</f>
        <v>1.4</v>
      </c>
      <c r="X39" s="576">
        <f>W39*$C$4</f>
        <v>23.799999999999997</v>
      </c>
      <c r="Y39" s="457">
        <v>1</v>
      </c>
      <c r="Z39" s="460">
        <v>4</v>
      </c>
      <c r="AA39" s="993">
        <f>IF(Z39&gt;=1,CHOOSE(Y39,$C39,$D39)*Z39)</f>
        <v>1259.7704000000001</v>
      </c>
      <c r="AB39" s="831">
        <f>0.3*Z39</f>
        <v>1.2</v>
      </c>
      <c r="AC39" s="993">
        <f>AB39*$C$4</f>
        <v>20.399999999999999</v>
      </c>
    </row>
    <row r="40" spans="2:29" x14ac:dyDescent="0.3">
      <c r="B40" s="16" t="s">
        <v>129</v>
      </c>
      <c r="C40" s="455">
        <f>6.1*'Arable Inputs'!$D$8</f>
        <v>29.89</v>
      </c>
      <c r="D40" s="456" t="s">
        <v>116</v>
      </c>
      <c r="E40" s="457"/>
      <c r="F40" s="432"/>
      <c r="G40" s="993"/>
      <c r="H40" s="432"/>
      <c r="I40" s="576"/>
      <c r="J40" s="457"/>
      <c r="K40" s="432"/>
      <c r="L40" s="993"/>
      <c r="M40" s="432"/>
      <c r="N40" s="576"/>
      <c r="O40" s="457"/>
      <c r="P40" s="432"/>
      <c r="Q40" s="993"/>
      <c r="R40" s="432"/>
      <c r="S40" s="576"/>
      <c r="T40" s="457"/>
      <c r="U40" s="432"/>
      <c r="V40" s="993"/>
      <c r="W40" s="432"/>
      <c r="X40" s="576"/>
      <c r="Y40" s="457"/>
      <c r="Z40" s="432"/>
      <c r="AA40" s="993"/>
      <c r="AB40" s="459"/>
      <c r="AC40" s="993"/>
    </row>
    <row r="41" spans="2:29" x14ac:dyDescent="0.3">
      <c r="B41" s="16" t="s">
        <v>47</v>
      </c>
      <c r="C41" s="455">
        <f>14.83*'Arable Inputs'!$D$8</f>
        <v>72.667000000000002</v>
      </c>
      <c r="D41" s="456">
        <f>12.09*'Arable Inputs'!$D$8</f>
        <v>59.241000000000007</v>
      </c>
      <c r="E41" s="457"/>
      <c r="F41" s="432"/>
      <c r="G41" s="993"/>
      <c r="H41" s="432"/>
      <c r="I41" s="576"/>
      <c r="J41" s="457"/>
      <c r="K41" s="432"/>
      <c r="L41" s="993"/>
      <c r="M41" s="432"/>
      <c r="N41" s="576"/>
      <c r="O41" s="457"/>
      <c r="P41" s="432"/>
      <c r="Q41" s="993"/>
      <c r="R41" s="432"/>
      <c r="S41" s="576"/>
      <c r="T41" s="457"/>
      <c r="U41" s="432"/>
      <c r="V41" s="993"/>
      <c r="W41" s="432"/>
      <c r="X41" s="576"/>
      <c r="Y41" s="457"/>
      <c r="Z41" s="432"/>
      <c r="AA41" s="993"/>
      <c r="AB41" s="459"/>
      <c r="AC41" s="993"/>
    </row>
    <row r="42" spans="2:29" x14ac:dyDescent="0.3">
      <c r="B42" s="16" t="s">
        <v>174</v>
      </c>
      <c r="C42" s="455">
        <f>49.5*'Arable Inputs'!$D$8</f>
        <v>242.55</v>
      </c>
      <c r="D42" s="456">
        <f>49.64*'Arable Inputs'!$D$8</f>
        <v>243.23600000000002</v>
      </c>
      <c r="E42" s="457"/>
      <c r="F42" s="432"/>
      <c r="G42" s="993"/>
      <c r="H42" s="810"/>
      <c r="I42" s="576"/>
      <c r="J42" s="457"/>
      <c r="K42" s="432"/>
      <c r="L42" s="993"/>
      <c r="M42" s="810"/>
      <c r="N42" s="576"/>
      <c r="O42" s="457"/>
      <c r="P42" s="432"/>
      <c r="Q42" s="993"/>
      <c r="R42" s="810"/>
      <c r="S42" s="576"/>
      <c r="T42" s="457"/>
      <c r="U42" s="432"/>
      <c r="V42" s="993"/>
      <c r="W42" s="432"/>
      <c r="X42" s="576"/>
      <c r="Y42" s="457"/>
      <c r="Z42" s="432"/>
      <c r="AA42" s="993"/>
      <c r="AB42" s="811"/>
      <c r="AC42" s="993"/>
    </row>
    <row r="43" spans="2:29" x14ac:dyDescent="0.3">
      <c r="B43" s="16" t="s">
        <v>175</v>
      </c>
      <c r="C43" s="455">
        <f>44.5*'Arable Inputs'!$D$8</f>
        <v>218.05</v>
      </c>
      <c r="D43" s="456" t="s">
        <v>116</v>
      </c>
      <c r="E43" s="457"/>
      <c r="F43" s="432"/>
      <c r="G43" s="993"/>
      <c r="H43" s="432"/>
      <c r="I43" s="576"/>
      <c r="J43" s="457"/>
      <c r="K43" s="432"/>
      <c r="L43" s="993"/>
      <c r="M43" s="432"/>
      <c r="N43" s="576"/>
      <c r="O43" s="457"/>
      <c r="P43" s="432"/>
      <c r="Q43" s="993"/>
      <c r="R43" s="432"/>
      <c r="S43" s="576"/>
      <c r="T43" s="457"/>
      <c r="U43" s="432"/>
      <c r="V43" s="993"/>
      <c r="W43" s="432"/>
      <c r="X43" s="576"/>
      <c r="Y43" s="457"/>
      <c r="Z43" s="432"/>
      <c r="AA43" s="993"/>
      <c r="AB43" s="459"/>
      <c r="AC43" s="993"/>
    </row>
    <row r="44" spans="2:29" x14ac:dyDescent="0.3">
      <c r="B44" s="16" t="s">
        <v>176</v>
      </c>
      <c r="C44" s="455">
        <f>50*'Arable Inputs'!$D$8</f>
        <v>245.00000000000003</v>
      </c>
      <c r="D44" s="456">
        <f>54.11*'Arable Inputs'!$D$8</f>
        <v>265.13900000000001</v>
      </c>
      <c r="E44" s="457"/>
      <c r="F44" s="432"/>
      <c r="G44" s="993"/>
      <c r="H44" s="432"/>
      <c r="I44" s="576"/>
      <c r="J44" s="457"/>
      <c r="K44" s="432"/>
      <c r="L44" s="993"/>
      <c r="M44" s="432"/>
      <c r="N44" s="576"/>
      <c r="O44" s="457"/>
      <c r="P44" s="432"/>
      <c r="Q44" s="993"/>
      <c r="R44" s="432"/>
      <c r="S44" s="576"/>
      <c r="T44" s="457"/>
      <c r="U44" s="432"/>
      <c r="V44" s="993"/>
      <c r="W44" s="432"/>
      <c r="X44" s="576"/>
      <c r="Y44" s="457"/>
      <c r="Z44" s="432"/>
      <c r="AA44" s="993"/>
      <c r="AB44" s="459"/>
      <c r="AC44" s="993"/>
    </row>
    <row r="45" spans="2:29" x14ac:dyDescent="0.3">
      <c r="B45" s="16" t="s">
        <v>177</v>
      </c>
      <c r="C45" s="455">
        <f>78.2*'Arable Inputs'!$D$8</f>
        <v>383.18000000000006</v>
      </c>
      <c r="D45" s="456" t="s">
        <v>116</v>
      </c>
      <c r="E45" s="457"/>
      <c r="F45" s="432"/>
      <c r="G45" s="993"/>
      <c r="H45" s="432"/>
      <c r="I45" s="576"/>
      <c r="J45" s="457"/>
      <c r="K45" s="432"/>
      <c r="L45" s="993"/>
      <c r="M45" s="432"/>
      <c r="N45" s="576"/>
      <c r="O45" s="457"/>
      <c r="P45" s="432"/>
      <c r="Q45" s="993"/>
      <c r="R45" s="432"/>
      <c r="S45" s="576"/>
      <c r="T45" s="457"/>
      <c r="U45" s="432"/>
      <c r="V45" s="993"/>
      <c r="W45" s="432"/>
      <c r="X45" s="576"/>
      <c r="Y45" s="457"/>
      <c r="Z45" s="432"/>
      <c r="AA45" s="993"/>
      <c r="AB45" s="459"/>
      <c r="AC45" s="993"/>
    </row>
    <row r="46" spans="2:29" x14ac:dyDescent="0.3">
      <c r="B46" s="16" t="s">
        <v>178</v>
      </c>
      <c r="C46" s="455">
        <f>40*'Arable Inputs'!$D$8</f>
        <v>196</v>
      </c>
      <c r="D46" s="456" t="s">
        <v>116</v>
      </c>
      <c r="E46" s="457"/>
      <c r="F46" s="432"/>
      <c r="G46" s="993"/>
      <c r="H46" s="432"/>
      <c r="I46" s="576"/>
      <c r="J46" s="457"/>
      <c r="K46" s="432"/>
      <c r="L46" s="993"/>
      <c r="M46" s="432"/>
      <c r="N46" s="576"/>
      <c r="O46" s="457"/>
      <c r="P46" s="432"/>
      <c r="Q46" s="993"/>
      <c r="R46" s="432"/>
      <c r="S46" s="576"/>
      <c r="T46" s="457"/>
      <c r="U46" s="432"/>
      <c r="V46" s="993"/>
      <c r="W46" s="432"/>
      <c r="X46" s="576"/>
      <c r="Y46" s="457"/>
      <c r="Z46" s="432"/>
      <c r="AA46" s="993"/>
      <c r="AB46" s="459"/>
      <c r="AC46" s="993"/>
    </row>
    <row r="47" spans="2:29" x14ac:dyDescent="0.3">
      <c r="B47" s="16" t="s">
        <v>179</v>
      </c>
      <c r="C47" s="465">
        <f>54.83*'Arable Inputs'!$D$8</f>
        <v>268.66700000000003</v>
      </c>
      <c r="D47" s="475" t="s">
        <v>116</v>
      </c>
      <c r="E47" s="476"/>
      <c r="F47" s="425"/>
      <c r="G47" s="994"/>
      <c r="H47" s="432"/>
      <c r="I47" s="576"/>
      <c r="J47" s="457"/>
      <c r="K47" s="425"/>
      <c r="L47" s="994"/>
      <c r="M47" s="432"/>
      <c r="N47" s="576"/>
      <c r="O47" s="457"/>
      <c r="P47" s="425"/>
      <c r="Q47" s="994"/>
      <c r="R47" s="432"/>
      <c r="S47" s="576"/>
      <c r="T47" s="457"/>
      <c r="U47" s="425"/>
      <c r="V47" s="994"/>
      <c r="W47" s="432"/>
      <c r="X47" s="576"/>
      <c r="Y47" s="457"/>
      <c r="Z47" s="425"/>
      <c r="AA47" s="994"/>
      <c r="AB47" s="459"/>
      <c r="AC47" s="993"/>
    </row>
    <row r="48" spans="2:29" s="39" customFormat="1" x14ac:dyDescent="0.3">
      <c r="B48" s="429" t="s">
        <v>48</v>
      </c>
      <c r="C48" s="466"/>
      <c r="D48" s="466"/>
      <c r="E48" s="467"/>
      <c r="F48" s="427" t="s">
        <v>10</v>
      </c>
      <c r="G48" s="834">
        <f>SUM(G38:G47)</f>
        <v>1259.7704000000001</v>
      </c>
      <c r="H48" s="478">
        <f>SUM(H38:H47)</f>
        <v>1.2</v>
      </c>
      <c r="I48" s="834">
        <f>SUM(I38:I47)</f>
        <v>20.399999999999999</v>
      </c>
      <c r="J48" s="470"/>
      <c r="K48" s="427"/>
      <c r="L48" s="834">
        <f>SUM(L38:L47)</f>
        <v>944.82780000000002</v>
      </c>
      <c r="M48" s="478">
        <f>SUM(M38:M47)</f>
        <v>0.89999999999999991</v>
      </c>
      <c r="N48" s="834">
        <f>SUM(N38:N47)</f>
        <v>15.299999999999999</v>
      </c>
      <c r="O48" s="470"/>
      <c r="P48" s="427"/>
      <c r="Q48" s="834">
        <f>SUM(Q38:Q47)</f>
        <v>314.94260000000003</v>
      </c>
      <c r="R48" s="478">
        <f>SUM(R38:R47)</f>
        <v>1.6</v>
      </c>
      <c r="S48" s="834">
        <f>SUM(S38:S47)</f>
        <v>27.200000000000003</v>
      </c>
      <c r="T48" s="470"/>
      <c r="U48" s="427"/>
      <c r="V48" s="834">
        <f>SUM(V38:V47)</f>
        <v>629.88520000000005</v>
      </c>
      <c r="W48" s="478">
        <f>SUM(W38:W47)</f>
        <v>1.4</v>
      </c>
      <c r="X48" s="834">
        <f>SUM(X38:X47)</f>
        <v>23.799999999999997</v>
      </c>
      <c r="Y48" s="470"/>
      <c r="Z48" s="427"/>
      <c r="AA48" s="834">
        <f>SUM(AA38:AA47)</f>
        <v>1259.7704000000001</v>
      </c>
      <c r="AB48" s="478">
        <f>SUM(AB38:AB47)</f>
        <v>1.2</v>
      </c>
      <c r="AC48" s="822">
        <f>SUM(AC38:AC47)</f>
        <v>20.399999999999999</v>
      </c>
    </row>
    <row r="49" spans="2:30" s="39" customFormat="1" x14ac:dyDescent="0.3">
      <c r="B49" s="429"/>
      <c r="C49" s="466"/>
      <c r="D49" s="466"/>
      <c r="E49" s="466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427"/>
      <c r="Q49" s="427"/>
      <c r="R49" s="427"/>
      <c r="S49" s="427"/>
      <c r="T49" s="427"/>
      <c r="U49" s="427"/>
      <c r="V49" s="427"/>
      <c r="W49" s="427"/>
      <c r="X49" s="427"/>
      <c r="Y49" s="427"/>
      <c r="Z49" s="427"/>
      <c r="AA49" s="427"/>
      <c r="AB49" s="427"/>
      <c r="AC49" s="468"/>
    </row>
    <row r="50" spans="2:30" x14ac:dyDescent="0.3">
      <c r="B50" s="429" t="s">
        <v>130</v>
      </c>
      <c r="C50" s="479"/>
      <c r="D50" s="479"/>
      <c r="E50" s="479"/>
      <c r="F50" s="428"/>
      <c r="G50" s="428"/>
      <c r="H50" s="428"/>
      <c r="I50" s="428"/>
      <c r="J50" s="428"/>
      <c r="K50" s="428"/>
      <c r="L50" s="428"/>
      <c r="M50" s="428"/>
      <c r="N50" s="428"/>
      <c r="O50" s="428"/>
      <c r="P50" s="428"/>
      <c r="Q50" s="428"/>
      <c r="R50" s="428"/>
      <c r="S50" s="428"/>
      <c r="T50" s="428"/>
      <c r="U50" s="428"/>
      <c r="V50" s="428"/>
      <c r="W50" s="428"/>
      <c r="X50" s="428"/>
      <c r="Y50" s="428"/>
      <c r="Z50" s="428"/>
      <c r="AA50" s="428"/>
      <c r="AB50" s="428"/>
      <c r="AC50" s="430"/>
    </row>
    <row r="51" spans="2:30" x14ac:dyDescent="0.3">
      <c r="B51" s="480" t="s">
        <v>131</v>
      </c>
      <c r="C51" s="455">
        <f>98.84*'Arable Inputs'!$D$8</f>
        <v>484.31600000000003</v>
      </c>
      <c r="D51" s="456" t="s">
        <v>116</v>
      </c>
      <c r="E51" s="481"/>
      <c r="F51" s="432"/>
      <c r="G51" s="458"/>
      <c r="H51" s="432"/>
      <c r="I51" s="473"/>
      <c r="J51" s="457"/>
      <c r="K51" s="432"/>
      <c r="L51" s="458"/>
      <c r="M51" s="432"/>
      <c r="N51" s="432"/>
      <c r="O51" s="457"/>
      <c r="P51" s="432"/>
      <c r="Q51" s="458"/>
      <c r="R51" s="432"/>
      <c r="S51" s="432"/>
      <c r="T51" s="457"/>
      <c r="U51" s="432"/>
      <c r="V51" s="458"/>
      <c r="W51" s="432"/>
      <c r="X51" s="432"/>
      <c r="Y51" s="457"/>
      <c r="Z51" s="432"/>
      <c r="AA51" s="458"/>
      <c r="AB51" s="432"/>
      <c r="AC51" s="458"/>
      <c r="AD51" s="64"/>
    </row>
    <row r="52" spans="2:30" x14ac:dyDescent="0.3">
      <c r="B52" s="77" t="s">
        <v>173</v>
      </c>
      <c r="C52" s="465">
        <f>98*'Arable Inputs'!$D$8</f>
        <v>480.20000000000005</v>
      </c>
      <c r="D52" s="475" t="s">
        <v>116</v>
      </c>
      <c r="E52" s="482"/>
      <c r="F52" s="425"/>
      <c r="G52" s="477"/>
      <c r="H52" s="425"/>
      <c r="I52" s="425"/>
      <c r="J52" s="476"/>
      <c r="K52" s="425"/>
      <c r="L52" s="477"/>
      <c r="M52" s="425"/>
      <c r="N52" s="425"/>
      <c r="O52" s="476"/>
      <c r="P52" s="425"/>
      <c r="Q52" s="477"/>
      <c r="R52" s="425"/>
      <c r="S52" s="425"/>
      <c r="T52" s="476"/>
      <c r="U52" s="425"/>
      <c r="V52" s="477"/>
      <c r="W52" s="425"/>
      <c r="X52" s="425"/>
      <c r="Y52" s="476"/>
      <c r="Z52" s="425"/>
      <c r="AA52" s="477"/>
      <c r="AB52" s="425"/>
      <c r="AC52" s="477"/>
      <c r="AD52" s="63"/>
    </row>
    <row r="53" spans="2:30" x14ac:dyDescent="0.3">
      <c r="B53" s="429" t="s">
        <v>132</v>
      </c>
      <c r="C53" s="479"/>
      <c r="D53" s="479"/>
      <c r="E53" s="483"/>
      <c r="F53" s="427" t="s">
        <v>10</v>
      </c>
      <c r="G53" s="468"/>
      <c r="H53" s="427"/>
      <c r="I53" s="427"/>
      <c r="J53" s="470"/>
      <c r="K53" s="427"/>
      <c r="L53" s="468"/>
      <c r="M53" s="427"/>
      <c r="N53" s="427"/>
      <c r="O53" s="470"/>
      <c r="P53" s="427"/>
      <c r="Q53" s="468"/>
      <c r="R53" s="427"/>
      <c r="S53" s="427"/>
      <c r="T53" s="470"/>
      <c r="U53" s="427"/>
      <c r="V53" s="468"/>
      <c r="W53" s="427"/>
      <c r="X53" s="427"/>
      <c r="Y53" s="470"/>
      <c r="Z53" s="427"/>
      <c r="AA53" s="468"/>
      <c r="AB53" s="427"/>
      <c r="AC53" s="468"/>
    </row>
    <row r="54" spans="2:30" s="39" customFormat="1" x14ac:dyDescent="0.3">
      <c r="B54" s="96"/>
      <c r="C54" s="484"/>
      <c r="D54" s="484"/>
      <c r="E54" s="485"/>
      <c r="F54" s="432"/>
      <c r="G54" s="432"/>
      <c r="H54" s="432"/>
      <c r="I54" s="432"/>
      <c r="J54" s="432"/>
      <c r="K54" s="432"/>
      <c r="L54" s="432"/>
      <c r="M54" s="432"/>
      <c r="N54" s="432"/>
      <c r="O54" s="432"/>
      <c r="P54" s="432"/>
      <c r="Q54" s="432"/>
      <c r="R54" s="432"/>
      <c r="S54" s="432"/>
      <c r="T54" s="432"/>
      <c r="U54" s="432"/>
      <c r="V54" s="432"/>
      <c r="W54" s="432"/>
      <c r="X54" s="432"/>
      <c r="Y54" s="432"/>
      <c r="Z54" s="432"/>
      <c r="AA54" s="432"/>
      <c r="AB54" s="459"/>
      <c r="AC54" s="458"/>
    </row>
    <row r="55" spans="2:30" s="39" customFormat="1" x14ac:dyDescent="0.3">
      <c r="B55" s="429" t="s">
        <v>185</v>
      </c>
      <c r="C55" s="466"/>
      <c r="D55" s="466"/>
      <c r="E55" s="466"/>
      <c r="F55" s="428"/>
      <c r="G55" s="428"/>
      <c r="H55" s="428"/>
      <c r="I55" s="428"/>
      <c r="J55" s="428"/>
      <c r="K55" s="428"/>
      <c r="L55" s="428"/>
      <c r="M55" s="428"/>
      <c r="N55" s="428"/>
      <c r="O55" s="428"/>
      <c r="P55" s="428"/>
      <c r="Q55" s="428"/>
      <c r="R55" s="428"/>
      <c r="S55" s="428"/>
      <c r="T55" s="428"/>
      <c r="U55" s="428"/>
      <c r="V55" s="428"/>
      <c r="W55" s="428"/>
      <c r="X55" s="428"/>
      <c r="Y55" s="428"/>
      <c r="Z55" s="428"/>
      <c r="AA55" s="428"/>
      <c r="AB55" s="428"/>
      <c r="AC55" s="430"/>
    </row>
    <row r="56" spans="2:30" x14ac:dyDescent="0.3">
      <c r="B56" s="16" t="s">
        <v>108</v>
      </c>
      <c r="C56" s="455">
        <f>67.78*'Arable Inputs'!$D$8</f>
        <v>332.12200000000001</v>
      </c>
      <c r="D56" s="456">
        <f>57.48*'Arable Inputs'!$D$8</f>
        <v>281.65199999999999</v>
      </c>
      <c r="E56" s="488"/>
      <c r="F56" s="432"/>
      <c r="G56" s="458"/>
      <c r="H56" s="432"/>
      <c r="I56" s="432"/>
      <c r="J56" s="457"/>
      <c r="K56" s="432"/>
      <c r="L56" s="458"/>
      <c r="M56" s="432"/>
      <c r="N56" s="432"/>
      <c r="O56" s="457">
        <v>2</v>
      </c>
      <c r="P56" s="460">
        <v>1</v>
      </c>
      <c r="Q56" s="993">
        <f>IF(P56&gt;=1,CHOOSE(O56,$C56,$D56)*P56)</f>
        <v>281.65199999999999</v>
      </c>
      <c r="R56" s="809">
        <v>1.6</v>
      </c>
      <c r="S56" s="576">
        <f>R56*$C$4</f>
        <v>27.200000000000003</v>
      </c>
      <c r="T56" s="457"/>
      <c r="U56" s="432"/>
      <c r="V56" s="458"/>
      <c r="W56" s="432"/>
      <c r="X56" s="432"/>
      <c r="Y56" s="457"/>
      <c r="Z56" s="432"/>
      <c r="AA56" s="458"/>
      <c r="AB56" s="432"/>
      <c r="AC56" s="458"/>
    </row>
    <row r="57" spans="2:30" x14ac:dyDescent="0.3">
      <c r="B57" s="16" t="s">
        <v>109</v>
      </c>
      <c r="C57" s="455">
        <f>50.14*'Arable Inputs'!$D$8</f>
        <v>245.68600000000001</v>
      </c>
      <c r="D57" s="456">
        <f>27.04*'Arable Inputs'!$D$8</f>
        <v>132.49600000000001</v>
      </c>
      <c r="E57" s="457">
        <v>2</v>
      </c>
      <c r="F57" s="460">
        <v>1</v>
      </c>
      <c r="G57" s="993">
        <f>IF(F57&gt;=1,CHOOSE(E57,$C57,$D57)*F57)</f>
        <v>132.49600000000001</v>
      </c>
      <c r="H57" s="806">
        <v>1.1000000000000001</v>
      </c>
      <c r="I57" s="576">
        <f>H57*$C$4</f>
        <v>18.700000000000003</v>
      </c>
      <c r="J57" s="457">
        <v>2</v>
      </c>
      <c r="K57" s="460">
        <v>1</v>
      </c>
      <c r="L57" s="993">
        <f>IF(K57&gt;=1,CHOOSE(J57,$C57,$D57)*K57)</f>
        <v>132.49600000000001</v>
      </c>
      <c r="M57" s="806">
        <v>1.1000000000000001</v>
      </c>
      <c r="N57" s="576">
        <f>M57*$C$4</f>
        <v>18.700000000000003</v>
      </c>
      <c r="O57" s="457"/>
      <c r="P57" s="366"/>
      <c r="Q57" s="993"/>
      <c r="R57" s="366"/>
      <c r="S57" s="576"/>
      <c r="T57" s="457"/>
      <c r="U57" s="432"/>
      <c r="V57" s="458"/>
      <c r="W57" s="432"/>
      <c r="X57" s="432"/>
      <c r="Y57" s="457"/>
      <c r="Z57" s="432"/>
      <c r="AA57" s="458"/>
      <c r="AB57" s="459"/>
      <c r="AC57" s="458"/>
    </row>
    <row r="58" spans="2:30" x14ac:dyDescent="0.3">
      <c r="B58" s="16" t="s">
        <v>110</v>
      </c>
      <c r="C58" s="455">
        <f>61.78*'Arable Inputs'!$D$8</f>
        <v>302.72200000000004</v>
      </c>
      <c r="D58" s="456">
        <f>58.52*'Arable Inputs'!$D$8</f>
        <v>286.74800000000005</v>
      </c>
      <c r="E58" s="481"/>
      <c r="F58" s="432"/>
      <c r="G58" s="993"/>
      <c r="H58" s="432"/>
      <c r="I58" s="576"/>
      <c r="J58" s="457"/>
      <c r="K58" s="432"/>
      <c r="L58" s="993"/>
      <c r="M58" s="432"/>
      <c r="N58" s="576"/>
      <c r="O58" s="457"/>
      <c r="P58" s="432"/>
      <c r="Q58" s="993"/>
      <c r="R58" s="432"/>
      <c r="S58" s="576"/>
      <c r="T58" s="457"/>
      <c r="U58" s="432"/>
      <c r="V58" s="458"/>
      <c r="W58" s="432"/>
      <c r="X58" s="432"/>
      <c r="Y58" s="457"/>
      <c r="Z58" s="432"/>
      <c r="AA58" s="458"/>
      <c r="AB58" s="459"/>
      <c r="AC58" s="458"/>
    </row>
    <row r="59" spans="2:30" x14ac:dyDescent="0.3">
      <c r="B59" s="16" t="s">
        <v>111</v>
      </c>
      <c r="C59" s="455">
        <f>51.89*'Arable Inputs'!$D$8</f>
        <v>254.26100000000002</v>
      </c>
      <c r="D59" s="456">
        <f>50.58*'Arable Inputs'!$D$8</f>
        <v>247.84200000000001</v>
      </c>
      <c r="E59" s="481"/>
      <c r="F59" s="432"/>
      <c r="G59" s="993"/>
      <c r="H59" s="432"/>
      <c r="I59" s="576"/>
      <c r="J59" s="457"/>
      <c r="K59" s="432"/>
      <c r="L59" s="993"/>
      <c r="M59" s="432"/>
      <c r="N59" s="576"/>
      <c r="O59" s="457"/>
      <c r="P59" s="432"/>
      <c r="Q59" s="993"/>
      <c r="R59" s="432"/>
      <c r="S59" s="576"/>
      <c r="T59" s="457"/>
      <c r="U59" s="432"/>
      <c r="V59" s="458"/>
      <c r="W59" s="432"/>
      <c r="X59" s="432"/>
      <c r="Y59" s="457"/>
      <c r="Z59" s="432"/>
      <c r="AA59" s="458"/>
      <c r="AB59" s="459"/>
      <c r="AC59" s="458"/>
    </row>
    <row r="60" spans="2:30" x14ac:dyDescent="0.3">
      <c r="B60" s="16" t="s">
        <v>112</v>
      </c>
      <c r="C60" s="455">
        <f>58.71*'Arable Inputs'!$D$8</f>
        <v>287.67900000000003</v>
      </c>
      <c r="D60" s="456">
        <f>61.14*'Arable Inputs'!$D$8</f>
        <v>299.58600000000001</v>
      </c>
      <c r="E60" s="481"/>
      <c r="F60" s="432"/>
      <c r="G60" s="993"/>
      <c r="H60" s="432"/>
      <c r="I60" s="576"/>
      <c r="J60" s="457"/>
      <c r="K60" s="432"/>
      <c r="L60" s="993"/>
      <c r="M60" s="432"/>
      <c r="N60" s="576"/>
      <c r="O60" s="457"/>
      <c r="P60" s="432"/>
      <c r="Q60" s="993"/>
      <c r="R60" s="432"/>
      <c r="S60" s="576"/>
      <c r="T60" s="457"/>
      <c r="U60" s="432"/>
      <c r="V60" s="458"/>
      <c r="W60" s="432"/>
      <c r="X60" s="432"/>
      <c r="Y60" s="457"/>
      <c r="Z60" s="432"/>
      <c r="AA60" s="458"/>
      <c r="AB60" s="459"/>
      <c r="AC60" s="458"/>
    </row>
    <row r="61" spans="2:30" x14ac:dyDescent="0.3">
      <c r="B61" s="16" t="s">
        <v>51</v>
      </c>
      <c r="C61" s="455">
        <f>51.97*'Arable Inputs'!$D$8</f>
        <v>254.65300000000002</v>
      </c>
      <c r="D61" s="456">
        <f>57.16*'Arable Inputs'!$D$8</f>
        <v>280.084</v>
      </c>
      <c r="E61" s="481"/>
      <c r="F61" s="432"/>
      <c r="G61" s="993"/>
      <c r="H61" s="432"/>
      <c r="I61" s="576"/>
      <c r="J61" s="457"/>
      <c r="K61" s="432"/>
      <c r="L61" s="993"/>
      <c r="M61" s="432"/>
      <c r="N61" s="576"/>
      <c r="O61" s="457"/>
      <c r="P61" s="432"/>
      <c r="Q61" s="993"/>
      <c r="R61" s="432"/>
      <c r="S61" s="576"/>
      <c r="T61" s="457">
        <v>2</v>
      </c>
      <c r="U61" s="460">
        <v>1</v>
      </c>
      <c r="V61" s="993">
        <f>IF(U61&gt;=1,CHOOSE(T61,$C61,$D61)*U61)</f>
        <v>280.084</v>
      </c>
      <c r="W61" s="806">
        <v>1</v>
      </c>
      <c r="X61" s="576">
        <f>W61*$C$4</f>
        <v>17</v>
      </c>
      <c r="Y61" s="457"/>
      <c r="Z61" s="432"/>
      <c r="AA61" s="458"/>
      <c r="AB61" s="459"/>
      <c r="AC61" s="458"/>
    </row>
    <row r="62" spans="2:30" x14ac:dyDescent="0.3">
      <c r="B62" s="16" t="s">
        <v>113</v>
      </c>
      <c r="C62" s="455">
        <f>78.26*'Arable Inputs'!$D$8</f>
        <v>383.47400000000005</v>
      </c>
      <c r="D62" s="456" t="s">
        <v>116</v>
      </c>
      <c r="E62" s="481"/>
      <c r="F62" s="432"/>
      <c r="G62" s="993"/>
      <c r="H62" s="432"/>
      <c r="I62" s="576"/>
      <c r="J62" s="457"/>
      <c r="K62" s="432"/>
      <c r="L62" s="993"/>
      <c r="M62" s="432"/>
      <c r="N62" s="576"/>
      <c r="O62" s="457"/>
      <c r="P62" s="432"/>
      <c r="Q62" s="993"/>
      <c r="R62" s="432"/>
      <c r="S62" s="576"/>
      <c r="T62" s="457"/>
      <c r="U62" s="432"/>
      <c r="V62" s="993"/>
      <c r="W62" s="432"/>
      <c r="X62" s="576"/>
      <c r="Y62" s="457"/>
      <c r="Z62" s="432"/>
      <c r="AA62" s="458"/>
      <c r="AB62" s="459"/>
      <c r="AC62" s="458"/>
    </row>
    <row r="63" spans="2:30" x14ac:dyDescent="0.3">
      <c r="B63" s="16" t="s">
        <v>49</v>
      </c>
      <c r="C63" s="455">
        <f>29.31*'Arable Inputs'!$D$8</f>
        <v>143.619</v>
      </c>
      <c r="D63" s="456">
        <f>20*'Arable Inputs'!$D$8</f>
        <v>98</v>
      </c>
      <c r="E63" s="481"/>
      <c r="F63" s="432"/>
      <c r="G63" s="993"/>
      <c r="H63" s="432"/>
      <c r="I63" s="576"/>
      <c r="J63" s="457"/>
      <c r="K63" s="432"/>
      <c r="L63" s="993"/>
      <c r="M63" s="432"/>
      <c r="N63" s="576"/>
      <c r="O63" s="457"/>
      <c r="P63" s="432"/>
      <c r="Q63" s="993"/>
      <c r="R63" s="432"/>
      <c r="S63" s="576"/>
      <c r="T63" s="457"/>
      <c r="U63" s="432"/>
      <c r="V63" s="993"/>
      <c r="W63" s="432"/>
      <c r="X63" s="576"/>
      <c r="Y63" s="457"/>
      <c r="Z63" s="432"/>
      <c r="AA63" s="458"/>
      <c r="AB63" s="459"/>
      <c r="AC63" s="458"/>
    </row>
    <row r="64" spans="2:30" x14ac:dyDescent="0.3">
      <c r="B64" s="16" t="s">
        <v>114</v>
      </c>
      <c r="C64" s="455">
        <f>31.16*'Arable Inputs'!$D$8</f>
        <v>152.68400000000003</v>
      </c>
      <c r="D64" s="456">
        <f>20.54*'Arable Inputs'!$D$8</f>
        <v>100.646</v>
      </c>
      <c r="E64" s="481"/>
      <c r="F64" s="432"/>
      <c r="G64" s="993"/>
      <c r="H64" s="432"/>
      <c r="I64" s="576"/>
      <c r="J64" s="457"/>
      <c r="K64" s="432"/>
      <c r="L64" s="993"/>
      <c r="M64" s="432"/>
      <c r="N64" s="576"/>
      <c r="O64" s="457"/>
      <c r="P64" s="432"/>
      <c r="Q64" s="993"/>
      <c r="R64" s="432"/>
      <c r="S64" s="576"/>
      <c r="T64" s="457"/>
      <c r="U64" s="432"/>
      <c r="V64" s="993"/>
      <c r="W64" s="432"/>
      <c r="X64" s="576"/>
      <c r="Y64" s="457"/>
      <c r="Z64" s="432"/>
      <c r="AA64" s="458"/>
      <c r="AB64" s="459"/>
      <c r="AC64" s="458"/>
    </row>
    <row r="65" spans="2:29" x14ac:dyDescent="0.3">
      <c r="B65" s="16" t="s">
        <v>115</v>
      </c>
      <c r="C65" s="455">
        <f>74.13*'Arable Inputs'!$D$8</f>
        <v>363.23700000000002</v>
      </c>
      <c r="D65" s="456" t="s">
        <v>116</v>
      </c>
      <c r="E65" s="481"/>
      <c r="F65" s="432"/>
      <c r="G65" s="993"/>
      <c r="H65" s="432"/>
      <c r="I65" s="576"/>
      <c r="J65" s="457"/>
      <c r="K65" s="432"/>
      <c r="L65" s="993"/>
      <c r="M65" s="432"/>
      <c r="N65" s="576"/>
      <c r="O65" s="457"/>
      <c r="P65" s="432"/>
      <c r="Q65" s="993"/>
      <c r="R65" s="432"/>
      <c r="S65" s="576"/>
      <c r="T65" s="457"/>
      <c r="U65" s="432"/>
      <c r="V65" s="993"/>
      <c r="W65" s="432"/>
      <c r="X65" s="576"/>
      <c r="Y65" s="457"/>
      <c r="Z65" s="432"/>
      <c r="AA65" s="458"/>
      <c r="AB65" s="459"/>
      <c r="AC65" s="458"/>
    </row>
    <row r="66" spans="2:29" x14ac:dyDescent="0.3">
      <c r="B66" s="16" t="s">
        <v>117</v>
      </c>
      <c r="C66" s="455">
        <f>23.3*'Arable Inputs'!$D$8</f>
        <v>114.17000000000002</v>
      </c>
      <c r="D66" s="456">
        <f>14.67*'Arable Inputs'!$D$8</f>
        <v>71.88300000000001</v>
      </c>
      <c r="E66" s="481"/>
      <c r="F66" s="432"/>
      <c r="G66" s="993"/>
      <c r="H66" s="432"/>
      <c r="I66" s="576"/>
      <c r="J66" s="457"/>
      <c r="K66" s="432"/>
      <c r="L66" s="993"/>
      <c r="M66" s="432"/>
      <c r="N66" s="576"/>
      <c r="O66" s="457"/>
      <c r="P66" s="432"/>
      <c r="Q66" s="993"/>
      <c r="R66" s="432"/>
      <c r="S66" s="576"/>
      <c r="T66" s="457"/>
      <c r="U66" s="432"/>
      <c r="V66" s="993"/>
      <c r="W66" s="432"/>
      <c r="X66" s="576"/>
      <c r="Y66" s="457"/>
      <c r="Z66" s="432"/>
      <c r="AA66" s="458"/>
      <c r="AB66" s="459"/>
      <c r="AC66" s="458"/>
    </row>
    <row r="67" spans="2:29" x14ac:dyDescent="0.3">
      <c r="B67" s="16" t="s">
        <v>50</v>
      </c>
      <c r="C67" s="455">
        <f>46.55*'Arable Inputs'!$D$8</f>
        <v>228.095</v>
      </c>
      <c r="D67" s="456" t="s">
        <v>116</v>
      </c>
      <c r="E67" s="481"/>
      <c r="F67" s="432"/>
      <c r="G67" s="993"/>
      <c r="H67" s="432"/>
      <c r="I67" s="576"/>
      <c r="J67" s="457"/>
      <c r="K67" s="432"/>
      <c r="L67" s="993"/>
      <c r="M67" s="432"/>
      <c r="N67" s="576"/>
      <c r="O67" s="457"/>
      <c r="P67" s="432"/>
      <c r="Q67" s="993"/>
      <c r="R67" s="432"/>
      <c r="S67" s="576"/>
      <c r="T67" s="457"/>
      <c r="U67" s="432"/>
      <c r="V67" s="993"/>
      <c r="W67" s="432"/>
      <c r="X67" s="576"/>
      <c r="Y67" s="457"/>
      <c r="Z67" s="432"/>
      <c r="AA67" s="993"/>
      <c r="AB67" s="831">
        <v>1.1000000000000001</v>
      </c>
      <c r="AC67" s="993">
        <f>AB67*$C$4</f>
        <v>18.700000000000003</v>
      </c>
    </row>
    <row r="68" spans="2:29" x14ac:dyDescent="0.3">
      <c r="B68" s="16" t="s">
        <v>118</v>
      </c>
      <c r="C68" s="455">
        <f>123.87*'Arable Inputs'!$D$8</f>
        <v>606.96300000000008</v>
      </c>
      <c r="D68" s="456" t="s">
        <v>116</v>
      </c>
      <c r="E68" s="481"/>
      <c r="F68" s="489"/>
      <c r="G68" s="995"/>
      <c r="H68" s="491"/>
      <c r="I68" s="996"/>
      <c r="J68" s="492"/>
      <c r="K68" s="489"/>
      <c r="L68" s="995"/>
      <c r="M68" s="491"/>
      <c r="N68" s="996"/>
      <c r="O68" s="492"/>
      <c r="P68" s="489"/>
      <c r="Q68" s="995"/>
      <c r="R68" s="491"/>
      <c r="S68" s="996"/>
      <c r="T68" s="492"/>
      <c r="U68" s="489"/>
      <c r="V68" s="995"/>
      <c r="W68" s="493"/>
      <c r="X68" s="997"/>
      <c r="Y68" s="457"/>
      <c r="Z68" s="432"/>
      <c r="AA68" s="993"/>
      <c r="AB68" s="860"/>
      <c r="AC68" s="993"/>
    </row>
    <row r="69" spans="2:29" x14ac:dyDescent="0.3">
      <c r="B69" s="16" t="s">
        <v>54</v>
      </c>
      <c r="C69" s="455">
        <f>187.8*'Arable Inputs'!$D$8</f>
        <v>920.22000000000014</v>
      </c>
      <c r="D69" s="456">
        <f>126.29*'Arable Inputs'!$D$8</f>
        <v>618.82100000000003</v>
      </c>
      <c r="E69" s="481"/>
      <c r="F69" s="432"/>
      <c r="G69" s="993"/>
      <c r="H69" s="432"/>
      <c r="I69" s="576"/>
      <c r="J69" s="457"/>
      <c r="K69" s="432"/>
      <c r="L69" s="993"/>
      <c r="M69" s="432"/>
      <c r="N69" s="576"/>
      <c r="O69" s="457"/>
      <c r="P69" s="432"/>
      <c r="Q69" s="993"/>
      <c r="R69" s="432"/>
      <c r="S69" s="576"/>
      <c r="T69" s="457"/>
      <c r="U69" s="432"/>
      <c r="V69" s="993"/>
      <c r="W69" s="432"/>
      <c r="X69" s="576"/>
      <c r="Y69" s="457"/>
      <c r="Z69" s="432"/>
      <c r="AA69" s="993"/>
      <c r="AB69" s="459"/>
      <c r="AC69" s="993"/>
    </row>
    <row r="70" spans="2:29" x14ac:dyDescent="0.3">
      <c r="B70" s="16" t="s">
        <v>206</v>
      </c>
      <c r="C70" s="455">
        <f>42*'Arable Inputs'!$D$8</f>
        <v>205.8</v>
      </c>
      <c r="D70" s="456">
        <f>35.63*'Arable Inputs'!$D$8</f>
        <v>174.58700000000002</v>
      </c>
      <c r="E70" s="481"/>
      <c r="F70" s="432"/>
      <c r="G70" s="993"/>
      <c r="H70" s="432"/>
      <c r="I70" s="576"/>
      <c r="J70" s="457"/>
      <c r="K70" s="432"/>
      <c r="L70" s="993"/>
      <c r="M70" s="432"/>
      <c r="N70" s="576"/>
      <c r="O70" s="457"/>
      <c r="P70" s="432"/>
      <c r="Q70" s="993"/>
      <c r="R70" s="810"/>
      <c r="S70" s="576"/>
      <c r="T70" s="457"/>
      <c r="U70" s="432"/>
      <c r="V70" s="993"/>
      <c r="W70" s="432"/>
      <c r="X70" s="576"/>
      <c r="Y70" s="457"/>
      <c r="Z70" s="425"/>
      <c r="AA70" s="993"/>
      <c r="AB70" s="459"/>
      <c r="AC70" s="993"/>
    </row>
    <row r="71" spans="2:29" s="39" customFormat="1" x14ac:dyDescent="0.3">
      <c r="B71" s="429" t="s">
        <v>55</v>
      </c>
      <c r="C71" s="466"/>
      <c r="D71" s="466"/>
      <c r="E71" s="467"/>
      <c r="F71" s="427" t="s">
        <v>10</v>
      </c>
      <c r="G71" s="822">
        <f>SUM(G56:G70)</f>
        <v>132.49600000000001</v>
      </c>
      <c r="H71" s="429">
        <f>SUM(H56:H70)</f>
        <v>1.1000000000000001</v>
      </c>
      <c r="I71" s="834">
        <f>SUM(I56:I70)</f>
        <v>18.700000000000003</v>
      </c>
      <c r="J71" s="470"/>
      <c r="K71" s="427"/>
      <c r="L71" s="822">
        <f>SUM(L56:L70)</f>
        <v>132.49600000000001</v>
      </c>
      <c r="M71" s="429">
        <f>SUM(M56:M70)</f>
        <v>1.1000000000000001</v>
      </c>
      <c r="N71" s="834">
        <f>SUM(N56:N70)</f>
        <v>18.700000000000003</v>
      </c>
      <c r="O71" s="470"/>
      <c r="P71" s="427"/>
      <c r="Q71" s="822">
        <f>SUM(Q56:Q70)</f>
        <v>281.65199999999999</v>
      </c>
      <c r="R71" s="429">
        <f>SUM(R56:R70)</f>
        <v>1.6</v>
      </c>
      <c r="S71" s="834">
        <f>SUM(S56:S70)</f>
        <v>27.200000000000003</v>
      </c>
      <c r="T71" s="470"/>
      <c r="U71" s="427"/>
      <c r="V71" s="822">
        <f>SUM(V56:V70)</f>
        <v>280.084</v>
      </c>
      <c r="W71" s="429">
        <f>SUM(W56:W70)</f>
        <v>1</v>
      </c>
      <c r="X71" s="834">
        <f>SUM(X56:X70)</f>
        <v>17</v>
      </c>
      <c r="Y71" s="470"/>
      <c r="Z71" s="427"/>
      <c r="AA71" s="838">
        <f>45*'Arable Inputs'!D8</f>
        <v>220.50000000000003</v>
      </c>
      <c r="AB71" s="429">
        <f>SUM(AB56:AB70)</f>
        <v>1.1000000000000001</v>
      </c>
      <c r="AC71" s="822">
        <f>SUM(AC56:AC70)</f>
        <v>18.700000000000003</v>
      </c>
    </row>
    <row r="72" spans="2:29" s="39" customFormat="1" x14ac:dyDescent="0.3">
      <c r="B72" s="429"/>
      <c r="C72" s="466"/>
      <c r="D72" s="466"/>
      <c r="E72" s="466"/>
      <c r="F72" s="427"/>
      <c r="G72" s="427"/>
      <c r="H72" s="427"/>
      <c r="I72" s="427"/>
      <c r="J72" s="427"/>
      <c r="K72" s="427"/>
      <c r="L72" s="427"/>
      <c r="M72" s="427"/>
      <c r="N72" s="427"/>
      <c r="O72" s="427"/>
      <c r="P72" s="427"/>
      <c r="Q72" s="427"/>
      <c r="R72" s="427"/>
      <c r="S72" s="427"/>
      <c r="T72" s="427"/>
      <c r="U72" s="427"/>
      <c r="V72" s="427"/>
      <c r="W72" s="427"/>
      <c r="X72" s="427"/>
      <c r="Y72" s="427"/>
      <c r="Z72" s="427"/>
      <c r="AA72" s="427"/>
      <c r="AB72" s="427"/>
      <c r="AC72" s="468"/>
    </row>
    <row r="73" spans="2:29" x14ac:dyDescent="0.3">
      <c r="B73" s="429" t="s">
        <v>33</v>
      </c>
      <c r="C73" s="466"/>
      <c r="D73" s="466"/>
      <c r="E73" s="466"/>
      <c r="F73" s="428"/>
      <c r="G73" s="428"/>
      <c r="H73" s="428"/>
      <c r="I73" s="428"/>
      <c r="J73" s="428"/>
      <c r="K73" s="428"/>
      <c r="L73" s="428"/>
      <c r="M73" s="428"/>
      <c r="N73" s="428"/>
      <c r="O73" s="428"/>
      <c r="P73" s="428"/>
      <c r="Q73" s="428"/>
      <c r="R73" s="428"/>
      <c r="S73" s="428"/>
      <c r="T73" s="428"/>
      <c r="U73" s="428"/>
      <c r="V73" s="428"/>
      <c r="W73" s="428"/>
      <c r="X73" s="428"/>
      <c r="Y73" s="428"/>
      <c r="Z73" s="428"/>
      <c r="AA73" s="428"/>
      <c r="AB73" s="428"/>
      <c r="AC73" s="430"/>
    </row>
    <row r="74" spans="2:29" x14ac:dyDescent="0.3">
      <c r="B74" s="16" t="s">
        <v>58</v>
      </c>
      <c r="C74" s="455">
        <f>12.63*'Arable Inputs'!$D$8</f>
        <v>61.887000000000008</v>
      </c>
      <c r="D74" s="494">
        <f>10.08*'Arable Inputs'!$D$8</f>
        <v>49.392000000000003</v>
      </c>
      <c r="E74" s="457">
        <v>2</v>
      </c>
      <c r="F74" s="495">
        <f>'Arable Inputs'!D56</f>
        <v>3</v>
      </c>
      <c r="G74" s="993">
        <f>IF(F74&gt;=1,CHOOSE(E74,$C74,$D74)*F74)</f>
        <v>148.17600000000002</v>
      </c>
      <c r="H74" s="807">
        <f>0.3*F74</f>
        <v>0.89999999999999991</v>
      </c>
      <c r="I74" s="576">
        <f>H74*$C$4</f>
        <v>15.299999999999999</v>
      </c>
      <c r="J74" s="457">
        <v>2</v>
      </c>
      <c r="K74" s="495">
        <f>'Arable Inputs'!E56</f>
        <v>2</v>
      </c>
      <c r="L74" s="993">
        <f>IF(K74&gt;=1,CHOOSE(J74,$C74,$D74)*K74)</f>
        <v>98.784000000000006</v>
      </c>
      <c r="M74" s="807">
        <f>0.3*K74</f>
        <v>0.6</v>
      </c>
      <c r="N74" s="576">
        <f>M74*$C$4</f>
        <v>10.199999999999999</v>
      </c>
      <c r="O74" s="457">
        <v>2</v>
      </c>
      <c r="P74" s="496">
        <f>'Arable Inputs'!F56</f>
        <v>5</v>
      </c>
      <c r="Q74" s="993">
        <f>IF(P74&gt;=1,CHOOSE(O74,$C74,$D74)*P74)</f>
        <v>246.96</v>
      </c>
      <c r="R74" s="807">
        <f>0.6*P74</f>
        <v>3</v>
      </c>
      <c r="S74" s="576">
        <f>R74*$C$4</f>
        <v>51</v>
      </c>
      <c r="T74" s="457">
        <v>2</v>
      </c>
      <c r="U74" s="496">
        <f>'Arable Inputs'!G56</f>
        <v>2</v>
      </c>
      <c r="V74" s="993">
        <f>IF(U74&gt;=1,CHOOSE(T74,$C74,$D74)*U74)</f>
        <v>98.784000000000006</v>
      </c>
      <c r="W74" s="807">
        <f>(0.6+0.3)*U74</f>
        <v>1.7999999999999998</v>
      </c>
      <c r="X74" s="576">
        <f>W74*$C$4</f>
        <v>30.599999999999998</v>
      </c>
      <c r="Y74" s="457">
        <v>2</v>
      </c>
      <c r="Z74" s="496">
        <f>'Arable Inputs'!H56</f>
        <v>3</v>
      </c>
      <c r="AA74" s="993">
        <f>IF(Z74&gt;=1,CHOOSE(Y74,$C74,$D74)*Z74)</f>
        <v>148.17600000000002</v>
      </c>
      <c r="AB74" s="856">
        <f>0.3*Z74</f>
        <v>0.89999999999999991</v>
      </c>
      <c r="AC74" s="993">
        <f>AB74*$C$4</f>
        <v>15.299999999999999</v>
      </c>
    </row>
    <row r="75" spans="2:29" x14ac:dyDescent="0.3">
      <c r="B75" s="16" t="s">
        <v>57</v>
      </c>
      <c r="C75" s="455" t="s">
        <v>116</v>
      </c>
      <c r="D75" s="456">
        <f>8.16*'Arable Inputs'!$D$8</f>
        <v>39.984000000000002</v>
      </c>
      <c r="E75" s="457"/>
      <c r="F75" s="432"/>
      <c r="G75" s="576"/>
      <c r="H75" s="16"/>
      <c r="I75" s="576"/>
      <c r="J75" s="457"/>
      <c r="K75" s="432"/>
      <c r="L75" s="576"/>
      <c r="M75" s="16"/>
      <c r="N75" s="576"/>
      <c r="O75" s="457"/>
      <c r="P75" s="432"/>
      <c r="Q75" s="576"/>
      <c r="R75" s="16"/>
      <c r="S75" s="576"/>
      <c r="T75" s="457"/>
      <c r="U75" s="432"/>
      <c r="V75" s="576"/>
      <c r="W75" s="16"/>
      <c r="X75" s="576"/>
      <c r="Y75" s="457"/>
      <c r="Z75" s="432"/>
      <c r="AA75" s="576"/>
      <c r="AB75" s="16"/>
      <c r="AC75" s="993"/>
    </row>
    <row r="76" spans="2:29" x14ac:dyDescent="0.3">
      <c r="B76" s="10" t="s">
        <v>56</v>
      </c>
      <c r="C76" s="497">
        <f>(C74+4.32)*'Arable Inputs'!$D$8</f>
        <v>324.41430000000008</v>
      </c>
      <c r="D76" s="456" t="s">
        <v>116</v>
      </c>
      <c r="E76" s="457"/>
      <c r="F76" s="432"/>
      <c r="G76" s="576"/>
      <c r="H76" s="16"/>
      <c r="I76" s="576"/>
      <c r="J76" s="457"/>
      <c r="K76" s="432"/>
      <c r="L76" s="576"/>
      <c r="M76" s="16"/>
      <c r="N76" s="576"/>
      <c r="O76" s="457"/>
      <c r="P76" s="432"/>
      <c r="Q76" s="576"/>
      <c r="R76" s="16"/>
      <c r="S76" s="576"/>
      <c r="T76" s="457"/>
      <c r="U76" s="432"/>
      <c r="V76" s="576"/>
      <c r="W76" s="16"/>
      <c r="X76" s="576"/>
      <c r="Y76" s="457"/>
      <c r="Z76" s="432"/>
      <c r="AA76" s="576"/>
      <c r="AB76" s="16"/>
      <c r="AC76" s="993"/>
    </row>
    <row r="77" spans="2:29" x14ac:dyDescent="0.3">
      <c r="B77" s="16" t="s">
        <v>133</v>
      </c>
      <c r="C77" s="455">
        <f>12.36*'Arable Inputs'!$D$8</f>
        <v>60.564</v>
      </c>
      <c r="D77" s="456" t="s">
        <v>116</v>
      </c>
      <c r="E77" s="457"/>
      <c r="F77" s="491"/>
      <c r="G77" s="996"/>
      <c r="H77" s="493"/>
      <c r="I77" s="997"/>
      <c r="J77" s="492"/>
      <c r="K77" s="491"/>
      <c r="L77" s="996"/>
      <c r="M77" s="493"/>
      <c r="N77" s="996"/>
      <c r="O77" s="492"/>
      <c r="P77" s="489"/>
      <c r="Q77" s="996"/>
      <c r="R77" s="493"/>
      <c r="S77" s="996"/>
      <c r="T77" s="492"/>
      <c r="U77" s="489"/>
      <c r="V77" s="996"/>
      <c r="W77" s="493"/>
      <c r="X77" s="996"/>
      <c r="Y77" s="492"/>
      <c r="Z77" s="489"/>
      <c r="AA77" s="996"/>
      <c r="AB77" s="493"/>
      <c r="AC77" s="995"/>
    </row>
    <row r="78" spans="2:29" x14ac:dyDescent="0.3">
      <c r="B78" s="16" t="s">
        <v>134</v>
      </c>
      <c r="C78" s="455">
        <f>8.9*'Arable Inputs'!$D$8</f>
        <v>43.610000000000007</v>
      </c>
      <c r="D78" s="456">
        <f>2.89*'Arable Inputs'!$D$8</f>
        <v>14.161000000000001</v>
      </c>
      <c r="E78" s="457"/>
      <c r="F78" s="491"/>
      <c r="G78" s="996"/>
      <c r="H78" s="493"/>
      <c r="I78" s="997"/>
      <c r="J78" s="492"/>
      <c r="K78" s="491"/>
      <c r="L78" s="996"/>
      <c r="M78" s="493"/>
      <c r="N78" s="996"/>
      <c r="O78" s="492"/>
      <c r="P78" s="489"/>
      <c r="Q78" s="996"/>
      <c r="R78" s="493"/>
      <c r="S78" s="996"/>
      <c r="T78" s="492"/>
      <c r="U78" s="489"/>
      <c r="V78" s="996"/>
      <c r="W78" s="493"/>
      <c r="X78" s="996"/>
      <c r="Y78" s="492"/>
      <c r="Z78" s="489"/>
      <c r="AA78" s="996"/>
      <c r="AB78" s="493"/>
      <c r="AC78" s="995"/>
    </row>
    <row r="79" spans="2:29" x14ac:dyDescent="0.3">
      <c r="B79" s="16" t="s">
        <v>59</v>
      </c>
      <c r="C79" s="455">
        <f>25.95*'Arable Inputs'!$D$8</f>
        <v>127.155</v>
      </c>
      <c r="D79" s="456" t="s">
        <v>116</v>
      </c>
      <c r="E79" s="457"/>
      <c r="F79" s="432"/>
      <c r="G79" s="576"/>
      <c r="H79" s="16"/>
      <c r="I79" s="576"/>
      <c r="J79" s="457"/>
      <c r="K79" s="432"/>
      <c r="L79" s="576"/>
      <c r="M79" s="16"/>
      <c r="N79" s="576"/>
      <c r="O79" s="457"/>
      <c r="P79" s="432"/>
      <c r="Q79" s="576"/>
      <c r="R79" s="16"/>
      <c r="S79" s="576"/>
      <c r="T79" s="457"/>
      <c r="U79" s="432"/>
      <c r="V79" s="576"/>
      <c r="W79" s="16"/>
      <c r="X79" s="576"/>
      <c r="Y79" s="457"/>
      <c r="Z79" s="432"/>
      <c r="AA79" s="576"/>
      <c r="AB79" s="16"/>
      <c r="AC79" s="993"/>
    </row>
    <row r="80" spans="2:29" x14ac:dyDescent="0.3">
      <c r="B80" s="16" t="s">
        <v>135</v>
      </c>
      <c r="C80" s="455">
        <f>19.77*'Arable Inputs'!$D$8</f>
        <v>96.873000000000005</v>
      </c>
      <c r="D80" s="456" t="s">
        <v>116</v>
      </c>
      <c r="E80" s="457">
        <v>1</v>
      </c>
      <c r="F80" s="460">
        <v>1</v>
      </c>
      <c r="G80" s="993">
        <f>IF(F80&gt;=1,CHOOSE(E80,$C80,$D80)*F80)</f>
        <v>96.873000000000005</v>
      </c>
      <c r="H80" s="808">
        <v>1</v>
      </c>
      <c r="I80" s="576">
        <f>H80*$C$4</f>
        <v>17</v>
      </c>
      <c r="J80" s="457">
        <v>1</v>
      </c>
      <c r="K80" s="498">
        <v>1</v>
      </c>
      <c r="L80" s="993">
        <f>IF(K80&gt;=1,CHOOSE(J80,$C80,$D80)*K80)</f>
        <v>96.873000000000005</v>
      </c>
      <c r="M80" s="808">
        <v>1</v>
      </c>
      <c r="N80" s="576">
        <f>M80*$C$4</f>
        <v>17</v>
      </c>
      <c r="O80" s="457"/>
      <c r="P80" s="425"/>
      <c r="Q80" s="993"/>
      <c r="R80" s="998"/>
      <c r="S80" s="576"/>
      <c r="T80" s="457"/>
      <c r="U80" s="425"/>
      <c r="V80" s="993"/>
      <c r="W80" s="823"/>
      <c r="X80" s="576"/>
      <c r="Y80" s="457"/>
      <c r="Z80" s="425"/>
      <c r="AA80" s="993"/>
      <c r="AB80" s="999"/>
      <c r="AC80" s="993"/>
    </row>
    <row r="81" spans="2:29" s="39" customFormat="1" x14ac:dyDescent="0.3">
      <c r="B81" s="429" t="s">
        <v>60</v>
      </c>
      <c r="C81" s="466"/>
      <c r="D81" s="466"/>
      <c r="E81" s="467"/>
      <c r="F81" s="427" t="s">
        <v>10</v>
      </c>
      <c r="G81" s="822">
        <f>SUM(G74:G80)</f>
        <v>245.04900000000004</v>
      </c>
      <c r="H81" s="805">
        <f>SUM(H74:H80)</f>
        <v>1.9</v>
      </c>
      <c r="I81" s="834">
        <f>SUM(I74:I80)</f>
        <v>32.299999999999997</v>
      </c>
      <c r="J81" s="470"/>
      <c r="K81" s="427"/>
      <c r="L81" s="822">
        <f>SUM(L74:L80)</f>
        <v>195.65700000000001</v>
      </c>
      <c r="M81" s="805">
        <f>SUM(M74:M80)</f>
        <v>1.6</v>
      </c>
      <c r="N81" s="834">
        <f>SUM(N74:N80)</f>
        <v>27.2</v>
      </c>
      <c r="O81" s="470"/>
      <c r="P81" s="427"/>
      <c r="Q81" s="822">
        <f>SUM(Q74:Q80)</f>
        <v>246.96</v>
      </c>
      <c r="R81" s="429">
        <f>SUM(R74:R80)</f>
        <v>3</v>
      </c>
      <c r="S81" s="834">
        <f>SUM(S74:S80)</f>
        <v>51</v>
      </c>
      <c r="T81" s="470"/>
      <c r="U81" s="427"/>
      <c r="V81" s="822">
        <f>SUM(V74:V80)</f>
        <v>98.784000000000006</v>
      </c>
      <c r="W81" s="805">
        <f>SUM(W74:W80)</f>
        <v>1.7999999999999998</v>
      </c>
      <c r="X81" s="834">
        <f>SUM(X74:X80)</f>
        <v>30.599999999999998</v>
      </c>
      <c r="Y81" s="470"/>
      <c r="Z81" s="427"/>
      <c r="AA81" s="822">
        <f>SUM(AA74:AA80)</f>
        <v>148.17600000000002</v>
      </c>
      <c r="AB81" s="429">
        <f>SUM(AB74:AB80)</f>
        <v>0.89999999999999991</v>
      </c>
      <c r="AC81" s="822">
        <f>SUM(AC74:AC80)</f>
        <v>15.299999999999999</v>
      </c>
    </row>
    <row r="82" spans="2:29" s="39" customFormat="1" x14ac:dyDescent="0.3">
      <c r="B82" s="429"/>
      <c r="C82" s="466"/>
      <c r="D82" s="466"/>
      <c r="E82" s="466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  <c r="S82" s="427"/>
      <c r="T82" s="427"/>
      <c r="U82" s="427"/>
      <c r="V82" s="427"/>
      <c r="W82" s="427"/>
      <c r="X82" s="427"/>
      <c r="Y82" s="427"/>
      <c r="Z82" s="427"/>
      <c r="AA82" s="427"/>
      <c r="AB82" s="427"/>
      <c r="AC82" s="468"/>
    </row>
    <row r="83" spans="2:29" s="39" customFormat="1" x14ac:dyDescent="0.3">
      <c r="B83" s="429" t="s">
        <v>180</v>
      </c>
      <c r="C83" s="466"/>
      <c r="D83" s="466"/>
      <c r="E83" s="466"/>
      <c r="F83" s="428"/>
      <c r="G83" s="428"/>
      <c r="H83" s="428"/>
      <c r="I83" s="428"/>
      <c r="J83" s="428"/>
      <c r="K83" s="428"/>
      <c r="L83" s="428"/>
      <c r="M83" s="428"/>
      <c r="N83" s="428"/>
      <c r="O83" s="428"/>
      <c r="P83" s="428"/>
      <c r="Q83" s="428"/>
      <c r="R83" s="428"/>
      <c r="S83" s="428"/>
      <c r="T83" s="428"/>
      <c r="U83" s="428"/>
      <c r="V83" s="428"/>
      <c r="W83" s="428"/>
      <c r="X83" s="428"/>
      <c r="Y83" s="428"/>
      <c r="Z83" s="428"/>
      <c r="AA83" s="428"/>
      <c r="AB83" s="428"/>
      <c r="AC83" s="430"/>
    </row>
    <row r="84" spans="2:29" x14ac:dyDescent="0.3">
      <c r="B84" s="16" t="s">
        <v>62</v>
      </c>
      <c r="C84" s="455">
        <f>89.13*'Arable Inputs'!$D$8</f>
        <v>436.73700000000002</v>
      </c>
      <c r="D84" s="494">
        <f>90.1*'Arable Inputs'!$D$8</f>
        <v>441.49</v>
      </c>
      <c r="E84" s="457">
        <v>2</v>
      </c>
      <c r="F84" s="460">
        <v>1</v>
      </c>
      <c r="G84" s="993">
        <f>IF(F84&gt;=1,CHOOSE(E84,$C84,$D84)*F84)</f>
        <v>441.49</v>
      </c>
      <c r="H84" s="809">
        <v>1.5</v>
      </c>
      <c r="I84" s="576">
        <f>H84*$C$4</f>
        <v>25.5</v>
      </c>
      <c r="J84" s="457">
        <v>2</v>
      </c>
      <c r="K84" s="460">
        <v>1</v>
      </c>
      <c r="L84" s="993">
        <f>IF(K84&gt;=1,CHOOSE(J84,$C84,$D84)*K84)</f>
        <v>441.49</v>
      </c>
      <c r="M84" s="809">
        <v>1.5</v>
      </c>
      <c r="N84" s="576">
        <f>M84*$C$4</f>
        <v>25.5</v>
      </c>
      <c r="O84" s="457"/>
      <c r="P84" s="432"/>
      <c r="Q84" s="458"/>
      <c r="R84" s="432"/>
      <c r="S84" s="432"/>
      <c r="T84" s="457"/>
      <c r="U84" s="432"/>
      <c r="V84" s="458"/>
      <c r="W84" s="432"/>
      <c r="X84" s="432"/>
      <c r="Y84" s="457"/>
      <c r="Z84" s="432"/>
      <c r="AA84" s="458"/>
      <c r="AB84" s="459"/>
      <c r="AC84" s="458"/>
    </row>
    <row r="85" spans="2:29" x14ac:dyDescent="0.3">
      <c r="B85" s="16" t="s">
        <v>136</v>
      </c>
      <c r="C85" s="455">
        <f>(C84+6.35)*'Arable Inputs'!$D$8</f>
        <v>2171.1263000000004</v>
      </c>
      <c r="D85" s="456">
        <f>90.1*'Arable Inputs'!$D$8</f>
        <v>441.49</v>
      </c>
      <c r="E85" s="457"/>
      <c r="F85" s="432"/>
      <c r="G85" s="993"/>
      <c r="H85" s="432"/>
      <c r="I85" s="576"/>
      <c r="J85" s="457"/>
      <c r="K85" s="432"/>
      <c r="L85" s="993"/>
      <c r="M85" s="432"/>
      <c r="N85" s="576"/>
      <c r="O85" s="457"/>
      <c r="P85" s="432"/>
      <c r="Q85" s="458"/>
      <c r="R85" s="432"/>
      <c r="S85" s="432"/>
      <c r="T85" s="457"/>
      <c r="U85" s="432"/>
      <c r="V85" s="458"/>
      <c r="W85" s="432"/>
      <c r="X85" s="432"/>
      <c r="Y85" s="457"/>
      <c r="Z85" s="432"/>
      <c r="AA85" s="458"/>
      <c r="AB85" s="459"/>
      <c r="AC85" s="458"/>
    </row>
    <row r="86" spans="2:29" x14ac:dyDescent="0.3">
      <c r="B86" s="16" t="s">
        <v>137</v>
      </c>
      <c r="C86" s="455">
        <f>(C84+0.02)*'Arable Inputs'!$D$8</f>
        <v>2140.1093000000001</v>
      </c>
      <c r="D86" s="456">
        <f>90.1*'Arable Inputs'!$D$8</f>
        <v>441.49</v>
      </c>
      <c r="E86" s="457"/>
      <c r="F86" s="432"/>
      <c r="G86" s="993"/>
      <c r="H86" s="432"/>
      <c r="I86" s="576"/>
      <c r="J86" s="457"/>
      <c r="K86" s="432"/>
      <c r="L86" s="993"/>
      <c r="M86" s="432"/>
      <c r="N86" s="576"/>
      <c r="O86" s="457"/>
      <c r="P86" s="432"/>
      <c r="Q86" s="458"/>
      <c r="R86" s="432"/>
      <c r="S86" s="432"/>
      <c r="T86" s="457"/>
      <c r="U86" s="432"/>
      <c r="V86" s="458"/>
      <c r="W86" s="432"/>
      <c r="X86" s="432"/>
      <c r="Y86" s="457"/>
      <c r="Z86" s="432"/>
      <c r="AA86" s="458"/>
      <c r="AB86" s="459"/>
      <c r="AC86" s="458"/>
    </row>
    <row r="87" spans="2:29" x14ac:dyDescent="0.3">
      <c r="B87" s="16" t="s">
        <v>138</v>
      </c>
      <c r="C87" s="455">
        <f>(C84+2.47)*'Arable Inputs'!$D$8</f>
        <v>2152.1143000000002</v>
      </c>
      <c r="D87" s="456">
        <f>90.1*'Arable Inputs'!$D$8</f>
        <v>441.49</v>
      </c>
      <c r="E87" s="457"/>
      <c r="F87" s="432"/>
      <c r="G87" s="993"/>
      <c r="H87" s="432"/>
      <c r="I87" s="576"/>
      <c r="J87" s="457"/>
      <c r="K87" s="432"/>
      <c r="L87" s="993"/>
      <c r="M87" s="432"/>
      <c r="N87" s="576"/>
      <c r="O87" s="457"/>
      <c r="P87" s="432"/>
      <c r="Q87" s="458"/>
      <c r="R87" s="432"/>
      <c r="S87" s="432"/>
      <c r="T87" s="457"/>
      <c r="U87" s="432"/>
      <c r="V87" s="458"/>
      <c r="W87" s="432"/>
      <c r="X87" s="432"/>
      <c r="Y87" s="457"/>
      <c r="Z87" s="432"/>
      <c r="AA87" s="458"/>
      <c r="AB87" s="459"/>
      <c r="AC87" s="458"/>
    </row>
    <row r="88" spans="2:29" x14ac:dyDescent="0.3">
      <c r="B88" s="16" t="s">
        <v>139</v>
      </c>
      <c r="C88" s="455">
        <f>86.49*'Arable Inputs'!$D$8</f>
        <v>423.80099999999999</v>
      </c>
      <c r="D88" s="456" t="s">
        <v>116</v>
      </c>
      <c r="E88" s="457"/>
      <c r="F88" s="432"/>
      <c r="G88" s="993"/>
      <c r="H88" s="432"/>
      <c r="I88" s="576"/>
      <c r="J88" s="457"/>
      <c r="K88" s="432"/>
      <c r="L88" s="993"/>
      <c r="M88" s="432"/>
      <c r="N88" s="576"/>
      <c r="O88" s="457"/>
      <c r="P88" s="432"/>
      <c r="Q88" s="458"/>
      <c r="R88" s="432"/>
      <c r="S88" s="432"/>
      <c r="T88" s="457"/>
      <c r="U88" s="432"/>
      <c r="V88" s="458"/>
      <c r="W88" s="432"/>
      <c r="X88" s="432"/>
      <c r="Y88" s="457"/>
      <c r="Z88" s="432"/>
      <c r="AA88" s="458"/>
      <c r="AB88" s="459"/>
      <c r="AC88" s="458"/>
    </row>
    <row r="89" spans="2:29" x14ac:dyDescent="0.3">
      <c r="B89" s="16" t="s">
        <v>140</v>
      </c>
      <c r="C89" s="455">
        <f>89.6*'Arable Inputs'!$D$8</f>
        <v>439.04</v>
      </c>
      <c r="D89" s="456">
        <f>90.1*'Arable Inputs'!$D$8</f>
        <v>441.49</v>
      </c>
      <c r="E89" s="457"/>
      <c r="F89" s="432"/>
      <c r="G89" s="993"/>
      <c r="H89" s="432"/>
      <c r="I89" s="576"/>
      <c r="J89" s="457"/>
      <c r="K89" s="432"/>
      <c r="L89" s="993"/>
      <c r="M89" s="432"/>
      <c r="N89" s="576"/>
      <c r="O89" s="457">
        <v>2</v>
      </c>
      <c r="P89" s="460">
        <v>1</v>
      </c>
      <c r="Q89" s="993">
        <f>IF(P89&gt;=1,CHOOSE(O89,$C89,$D89)*P89)</f>
        <v>441.49</v>
      </c>
      <c r="R89" s="806">
        <v>2.4</v>
      </c>
      <c r="S89" s="576">
        <f>R89*$C$4</f>
        <v>40.799999999999997</v>
      </c>
      <c r="T89" s="457"/>
      <c r="U89" s="432"/>
      <c r="V89" s="458"/>
      <c r="W89" s="432"/>
      <c r="X89" s="421"/>
      <c r="Y89" s="457"/>
      <c r="Z89" s="432"/>
      <c r="AA89" s="458"/>
      <c r="AB89" s="459"/>
      <c r="AC89" s="458"/>
    </row>
    <row r="90" spans="2:29" x14ac:dyDescent="0.3">
      <c r="B90" s="16" t="s">
        <v>141</v>
      </c>
      <c r="C90" s="455">
        <f>93.16*'Arable Inputs'!$D$8</f>
        <v>456.48400000000004</v>
      </c>
      <c r="D90" s="456">
        <f>90.1*'Arable Inputs'!$D$8</f>
        <v>441.49</v>
      </c>
      <c r="E90" s="457"/>
      <c r="F90" s="432"/>
      <c r="G90" s="993"/>
      <c r="H90" s="432"/>
      <c r="I90" s="576"/>
      <c r="J90" s="457"/>
      <c r="K90" s="432"/>
      <c r="L90" s="993"/>
      <c r="M90" s="432"/>
      <c r="N90" s="576"/>
      <c r="O90" s="457"/>
      <c r="P90" s="432"/>
      <c r="Q90" s="993"/>
      <c r="R90" s="432"/>
      <c r="S90" s="576"/>
      <c r="T90" s="457"/>
      <c r="U90" s="432"/>
      <c r="V90" s="458"/>
      <c r="W90" s="432"/>
      <c r="X90" s="432"/>
      <c r="Y90" s="457"/>
      <c r="Z90" s="432"/>
      <c r="AA90" s="458"/>
      <c r="AB90" s="459"/>
      <c r="AC90" s="458"/>
    </row>
    <row r="91" spans="2:29" x14ac:dyDescent="0.3">
      <c r="B91" s="16" t="s">
        <v>142</v>
      </c>
      <c r="C91" s="455">
        <f>106.45*'Arable Inputs'!$D$8</f>
        <v>521.60500000000002</v>
      </c>
      <c r="D91" s="456" t="s">
        <v>116</v>
      </c>
      <c r="E91" s="457"/>
      <c r="F91" s="432"/>
      <c r="G91" s="993"/>
      <c r="H91" s="432"/>
      <c r="I91" s="576"/>
      <c r="J91" s="457"/>
      <c r="K91" s="432"/>
      <c r="L91" s="993"/>
      <c r="M91" s="432"/>
      <c r="N91" s="576"/>
      <c r="O91" s="457"/>
      <c r="P91" s="432"/>
      <c r="Q91" s="993"/>
      <c r="R91" s="432"/>
      <c r="S91" s="576"/>
      <c r="T91" s="457"/>
      <c r="U91" s="432"/>
      <c r="V91" s="458"/>
      <c r="W91" s="432"/>
      <c r="X91" s="432"/>
      <c r="Y91" s="457"/>
      <c r="Z91" s="432"/>
      <c r="AA91" s="458"/>
      <c r="AB91" s="459"/>
      <c r="AC91" s="461"/>
    </row>
    <row r="92" spans="2:29" x14ac:dyDescent="0.3">
      <c r="B92" s="16" t="s">
        <v>143</v>
      </c>
      <c r="C92" s="455">
        <f>44.48*'Arable Inputs'!$D$8</f>
        <v>217.952</v>
      </c>
      <c r="D92" s="456" t="s">
        <v>116</v>
      </c>
      <c r="E92" s="457"/>
      <c r="F92" s="432"/>
      <c r="G92" s="993"/>
      <c r="H92" s="432"/>
      <c r="I92" s="576"/>
      <c r="J92" s="457"/>
      <c r="K92" s="432"/>
      <c r="L92" s="993"/>
      <c r="M92" s="432"/>
      <c r="N92" s="576"/>
      <c r="O92" s="457"/>
      <c r="P92" s="432"/>
      <c r="Q92" s="993"/>
      <c r="R92" s="432"/>
      <c r="S92" s="576"/>
      <c r="T92" s="457"/>
      <c r="U92" s="432"/>
      <c r="V92" s="458"/>
      <c r="W92" s="432"/>
      <c r="X92" s="432"/>
      <c r="Y92" s="457"/>
      <c r="Z92" s="432"/>
      <c r="AA92" s="458"/>
      <c r="AB92" s="459"/>
      <c r="AC92" s="458"/>
    </row>
    <row r="93" spans="2:29" x14ac:dyDescent="0.3">
      <c r="B93" s="16" t="s">
        <v>144</v>
      </c>
      <c r="C93" s="455">
        <f>42*'Arable Inputs'!$D$8</f>
        <v>205.8</v>
      </c>
      <c r="D93" s="456">
        <f>35.63*'Arable Inputs'!$D$8</f>
        <v>174.58700000000002</v>
      </c>
      <c r="E93" s="457"/>
      <c r="F93" s="432"/>
      <c r="G93" s="993"/>
      <c r="H93" s="432"/>
      <c r="I93" s="576"/>
      <c r="J93" s="457"/>
      <c r="K93" s="432"/>
      <c r="L93" s="993"/>
      <c r="M93" s="432"/>
      <c r="N93" s="576"/>
      <c r="O93" s="457"/>
      <c r="P93" s="432"/>
      <c r="Q93" s="993"/>
      <c r="R93" s="432"/>
      <c r="S93" s="576"/>
      <c r="T93" s="457"/>
      <c r="U93" s="432"/>
      <c r="V93" s="458"/>
      <c r="W93" s="432"/>
      <c r="X93" s="432"/>
      <c r="Y93" s="457"/>
      <c r="Z93" s="432"/>
      <c r="AA93" s="458"/>
      <c r="AB93" s="459"/>
      <c r="AC93" s="458"/>
    </row>
    <row r="94" spans="2:29" x14ac:dyDescent="0.3">
      <c r="B94" s="10" t="s">
        <v>169</v>
      </c>
      <c r="C94" s="455">
        <f>778.37*'Arable Inputs'!$D$8</f>
        <v>3814.0130000000004</v>
      </c>
      <c r="D94" s="456">
        <f>602.86*'Arable Inputs'!$D$8</f>
        <v>2954.0140000000001</v>
      </c>
      <c r="E94" s="457"/>
      <c r="F94" s="432"/>
      <c r="G94" s="993"/>
      <c r="H94" s="432"/>
      <c r="I94" s="576"/>
      <c r="J94" s="457"/>
      <c r="K94" s="432"/>
      <c r="L94" s="993"/>
      <c r="M94" s="432"/>
      <c r="N94" s="576"/>
      <c r="O94" s="457"/>
      <c r="P94" s="432"/>
      <c r="Q94" s="993"/>
      <c r="R94" s="432"/>
      <c r="S94" s="576"/>
      <c r="T94" s="457"/>
      <c r="U94" s="432"/>
      <c r="V94" s="458"/>
      <c r="W94" s="432"/>
      <c r="X94" s="432"/>
      <c r="Y94" s="457"/>
      <c r="Z94" s="432"/>
      <c r="AA94" s="458"/>
      <c r="AB94" s="459"/>
      <c r="AC94" s="458"/>
    </row>
    <row r="95" spans="2:29" x14ac:dyDescent="0.3">
      <c r="B95" s="16" t="s">
        <v>170</v>
      </c>
      <c r="C95" s="455">
        <f>998.28*'Arable Inputs'!$D$8</f>
        <v>4891.5720000000001</v>
      </c>
      <c r="D95" s="456">
        <f>830.86*'Arable Inputs'!$D$8</f>
        <v>4071.2140000000004</v>
      </c>
      <c r="E95" s="457"/>
      <c r="F95" s="432"/>
      <c r="G95" s="993"/>
      <c r="H95" s="432"/>
      <c r="I95" s="576"/>
      <c r="J95" s="457"/>
      <c r="K95" s="432"/>
      <c r="L95" s="993"/>
      <c r="M95" s="432"/>
      <c r="N95" s="576"/>
      <c r="O95" s="457"/>
      <c r="P95" s="432"/>
      <c r="Q95" s="993"/>
      <c r="R95" s="432"/>
      <c r="S95" s="576"/>
      <c r="T95" s="457"/>
      <c r="U95" s="432"/>
      <c r="V95" s="458"/>
      <c r="W95" s="432"/>
      <c r="X95" s="432"/>
      <c r="Y95" s="457"/>
      <c r="Z95" s="432"/>
      <c r="AA95" s="458"/>
      <c r="AB95" s="459"/>
      <c r="AC95" s="458"/>
    </row>
    <row r="96" spans="2:29" x14ac:dyDescent="0.3">
      <c r="B96" s="16" t="s">
        <v>171</v>
      </c>
      <c r="C96" s="455">
        <f>242.23*'Arable Inputs'!$D$8</f>
        <v>1186.9270000000001</v>
      </c>
      <c r="D96" s="456">
        <f>280.99*'Arable Inputs'!$D$8</f>
        <v>1376.8510000000001</v>
      </c>
      <c r="E96" s="457"/>
      <c r="F96" s="432"/>
      <c r="G96" s="993"/>
      <c r="H96" s="432"/>
      <c r="I96" s="576"/>
      <c r="J96" s="457"/>
      <c r="K96" s="432"/>
      <c r="L96" s="993"/>
      <c r="M96" s="432"/>
      <c r="N96" s="576"/>
      <c r="O96" s="457"/>
      <c r="P96" s="432"/>
      <c r="Q96" s="993"/>
      <c r="R96" s="432"/>
      <c r="S96" s="576"/>
      <c r="T96" s="457">
        <v>1</v>
      </c>
      <c r="U96" s="460">
        <v>1</v>
      </c>
      <c r="V96" s="993">
        <f>IF(U96&gt;=1,CHOOSE(T96,$C96,$D96)*U96)</f>
        <v>1186.9270000000001</v>
      </c>
      <c r="W96" s="806">
        <v>14</v>
      </c>
      <c r="X96" s="576">
        <f>W96*$C$4</f>
        <v>238</v>
      </c>
      <c r="Y96" s="457"/>
      <c r="Z96" s="432"/>
      <c r="AA96" s="458"/>
      <c r="AB96" s="459"/>
      <c r="AC96" s="458"/>
    </row>
    <row r="97" spans="2:29" x14ac:dyDescent="0.3">
      <c r="B97" s="16" t="s">
        <v>172</v>
      </c>
      <c r="C97" s="455">
        <f>276.75*'Arable Inputs'!$D$8</f>
        <v>1356.075</v>
      </c>
      <c r="D97" s="456" t="s">
        <v>116</v>
      </c>
      <c r="E97" s="457"/>
      <c r="F97" s="432"/>
      <c r="G97" s="993"/>
      <c r="H97" s="432"/>
      <c r="I97" s="576"/>
      <c r="J97" s="457"/>
      <c r="K97" s="432"/>
      <c r="L97" s="993"/>
      <c r="M97" s="432"/>
      <c r="N97" s="576"/>
      <c r="O97" s="457"/>
      <c r="P97" s="432"/>
      <c r="Q97" s="993"/>
      <c r="R97" s="432"/>
      <c r="S97" s="576"/>
      <c r="T97" s="457"/>
      <c r="U97" s="432"/>
      <c r="V97" s="993"/>
      <c r="W97" s="432"/>
      <c r="X97" s="576"/>
      <c r="Y97" s="457"/>
      <c r="Z97" s="432"/>
      <c r="AA97" s="458"/>
      <c r="AB97" s="459"/>
      <c r="AC97" s="458"/>
    </row>
    <row r="98" spans="2:29" x14ac:dyDescent="0.3">
      <c r="B98" s="16" t="s">
        <v>61</v>
      </c>
      <c r="C98" s="455">
        <f>64.99*'Arable Inputs'!$D$8</f>
        <v>318.45100000000002</v>
      </c>
      <c r="D98" s="456">
        <f>59.25*'Arable Inputs'!$D$8</f>
        <v>290.32500000000005</v>
      </c>
      <c r="E98" s="457"/>
      <c r="F98" s="432"/>
      <c r="G98" s="993"/>
      <c r="H98" s="432"/>
      <c r="I98" s="576"/>
      <c r="J98" s="457"/>
      <c r="K98" s="432"/>
      <c r="L98" s="993"/>
      <c r="M98" s="432"/>
      <c r="N98" s="576"/>
      <c r="O98" s="457"/>
      <c r="P98" s="432"/>
      <c r="Q98" s="993"/>
      <c r="R98" s="432"/>
      <c r="S98" s="576"/>
      <c r="T98" s="457"/>
      <c r="U98" s="432"/>
      <c r="V98" s="993"/>
      <c r="W98" s="432"/>
      <c r="X98" s="576"/>
      <c r="Y98" s="457"/>
      <c r="Z98" s="432"/>
      <c r="AA98" s="458"/>
      <c r="AB98" s="459"/>
      <c r="AC98" s="458"/>
    </row>
    <row r="99" spans="2:29" x14ac:dyDescent="0.3">
      <c r="B99" s="16" t="s">
        <v>146</v>
      </c>
      <c r="C99" s="455">
        <f>58.07*'Arable Inputs'!$D$8</f>
        <v>284.54300000000001</v>
      </c>
      <c r="D99" s="456">
        <f>45.57*'Arable Inputs'!$D$8</f>
        <v>223.29300000000001</v>
      </c>
      <c r="E99" s="457"/>
      <c r="F99" s="432"/>
      <c r="G99" s="993"/>
      <c r="H99" s="432"/>
      <c r="I99" s="576"/>
      <c r="J99" s="457"/>
      <c r="K99" s="432"/>
      <c r="L99" s="993"/>
      <c r="M99" s="432"/>
      <c r="N99" s="576"/>
      <c r="O99" s="457"/>
      <c r="P99" s="432"/>
      <c r="Q99" s="993"/>
      <c r="R99" s="432"/>
      <c r="S99" s="576"/>
      <c r="T99" s="457"/>
      <c r="U99" s="432"/>
      <c r="V99" s="993"/>
      <c r="W99" s="432"/>
      <c r="X99" s="576"/>
      <c r="Y99" s="457"/>
      <c r="Z99" s="432"/>
      <c r="AA99" s="458"/>
      <c r="AB99" s="459"/>
      <c r="AC99" s="458"/>
    </row>
    <row r="100" spans="2:29" x14ac:dyDescent="0.3">
      <c r="B100" s="16" t="s">
        <v>147</v>
      </c>
      <c r="C100" s="455">
        <f>145.29*'Arable Inputs'!$D$8</f>
        <v>711.92100000000005</v>
      </c>
      <c r="D100" s="456" t="s">
        <v>116</v>
      </c>
      <c r="E100" s="457"/>
      <c r="F100" s="432"/>
      <c r="G100" s="993"/>
      <c r="H100" s="432"/>
      <c r="I100" s="576"/>
      <c r="J100" s="457"/>
      <c r="K100" s="432"/>
      <c r="L100" s="993"/>
      <c r="M100" s="432"/>
      <c r="N100" s="576"/>
      <c r="O100" s="457"/>
      <c r="P100" s="432"/>
      <c r="Q100" s="993"/>
      <c r="R100" s="432"/>
      <c r="S100" s="576"/>
      <c r="T100" s="457"/>
      <c r="U100" s="432"/>
      <c r="V100" s="993"/>
      <c r="W100" s="432"/>
      <c r="X100" s="576"/>
      <c r="Y100" s="457"/>
      <c r="Z100" s="432"/>
      <c r="AA100" s="458"/>
      <c r="AB100" s="459"/>
      <c r="AC100" s="458"/>
    </row>
    <row r="101" spans="2:29" x14ac:dyDescent="0.3">
      <c r="B101" s="16" t="s">
        <v>148</v>
      </c>
      <c r="C101" s="455">
        <f>168.03*'Arable Inputs'!$D$8</f>
        <v>823.34700000000009</v>
      </c>
      <c r="D101" s="487" t="s">
        <v>116</v>
      </c>
      <c r="E101" s="457"/>
      <c r="F101" s="432"/>
      <c r="G101" s="993"/>
      <c r="H101" s="432"/>
      <c r="I101" s="576"/>
      <c r="J101" s="457"/>
      <c r="K101" s="432"/>
      <c r="L101" s="993"/>
      <c r="M101" s="432"/>
      <c r="N101" s="576"/>
      <c r="O101" s="457"/>
      <c r="P101" s="432"/>
      <c r="Q101" s="993"/>
      <c r="R101" s="432"/>
      <c r="S101" s="576"/>
      <c r="T101" s="457"/>
      <c r="U101" s="432"/>
      <c r="V101" s="993"/>
      <c r="W101" s="432"/>
      <c r="X101" s="576"/>
      <c r="Y101" s="457"/>
      <c r="Z101" s="432"/>
      <c r="AA101" s="458"/>
      <c r="AB101" s="459"/>
      <c r="AC101" s="458"/>
    </row>
    <row r="102" spans="2:29" x14ac:dyDescent="0.3">
      <c r="B102" s="16" t="s">
        <v>182</v>
      </c>
      <c r="C102" s="455">
        <f>168.03*'Arable Inputs'!$D$8</f>
        <v>823.34700000000009</v>
      </c>
      <c r="D102" s="487" t="s">
        <v>116</v>
      </c>
      <c r="E102" s="457"/>
      <c r="F102" s="432"/>
      <c r="G102" s="993"/>
      <c r="H102" s="432"/>
      <c r="I102" s="576"/>
      <c r="J102" s="457"/>
      <c r="K102" s="432"/>
      <c r="L102" s="993"/>
      <c r="M102" s="432"/>
      <c r="N102" s="576"/>
      <c r="O102" s="457"/>
      <c r="P102" s="432"/>
      <c r="Q102" s="993"/>
      <c r="R102" s="432"/>
      <c r="S102" s="576"/>
      <c r="T102" s="457"/>
      <c r="U102" s="432"/>
      <c r="V102" s="993"/>
      <c r="W102" s="432"/>
      <c r="X102" s="576"/>
      <c r="Y102" s="457"/>
      <c r="Z102" s="432"/>
      <c r="AA102" s="993"/>
      <c r="AB102" s="831">
        <v>1.5</v>
      </c>
      <c r="AC102" s="993">
        <f>AB102*$C$4</f>
        <v>25.5</v>
      </c>
    </row>
    <row r="103" spans="2:29" x14ac:dyDescent="0.3">
      <c r="B103" s="16" t="s">
        <v>205</v>
      </c>
      <c r="C103" s="499">
        <f>42.05*'Arable Inputs'!$D$8</f>
        <v>206.04499999999999</v>
      </c>
      <c r="D103" s="500">
        <f>35.63*'Arable Inputs'!$D$8</f>
        <v>174.58700000000002</v>
      </c>
      <c r="E103" s="457">
        <v>2</v>
      </c>
      <c r="F103" s="460">
        <v>1</v>
      </c>
      <c r="G103" s="993">
        <f>IF(F103&gt;=1,CHOOSE(E103,$C103,$D103)*F103)</f>
        <v>174.58700000000002</v>
      </c>
      <c r="H103" s="806">
        <v>1</v>
      </c>
      <c r="I103" s="576">
        <f>H103*$C$4</f>
        <v>17</v>
      </c>
      <c r="J103" s="457">
        <v>2</v>
      </c>
      <c r="K103" s="460">
        <v>1</v>
      </c>
      <c r="L103" s="993">
        <f>IF(K103&gt;=1,CHOOSE(J103,$C103,$D103)*K103)</f>
        <v>174.58700000000002</v>
      </c>
      <c r="M103" s="806">
        <v>1</v>
      </c>
      <c r="N103" s="576">
        <f>M103*$C$4</f>
        <v>17</v>
      </c>
      <c r="O103" s="457"/>
      <c r="P103" s="432"/>
      <c r="Q103" s="993"/>
      <c r="R103" s="432"/>
      <c r="S103" s="576"/>
      <c r="T103" s="457">
        <v>2</v>
      </c>
      <c r="U103" s="460">
        <v>1</v>
      </c>
      <c r="V103" s="993">
        <f>IF(U103&gt;=1,CHOOSE(T103,$C103,$D103)*U103)</f>
        <v>174.58700000000002</v>
      </c>
      <c r="W103" s="806">
        <v>3.4</v>
      </c>
      <c r="X103" s="576">
        <f>W103*$C$4</f>
        <v>57.8</v>
      </c>
      <c r="Y103" s="457"/>
      <c r="Z103" s="432"/>
      <c r="AA103" s="993"/>
      <c r="AB103" s="459"/>
      <c r="AC103" s="993"/>
    </row>
    <row r="104" spans="2:29" x14ac:dyDescent="0.3">
      <c r="B104" s="16" t="s">
        <v>96</v>
      </c>
      <c r="C104" s="499">
        <f>42.05*'Arable Inputs'!$D$8</f>
        <v>206.04499999999999</v>
      </c>
      <c r="D104" s="500">
        <f>35.63*'Arable Inputs'!$D$8</f>
        <v>174.58700000000002</v>
      </c>
      <c r="E104" s="457">
        <v>2</v>
      </c>
      <c r="F104" s="460">
        <v>3</v>
      </c>
      <c r="G104" s="993">
        <f>IF(F104&gt;=1,CHOOSE(E104,$C104,$D104)*F104)</f>
        <v>523.76100000000008</v>
      </c>
      <c r="H104" s="809">
        <v>0.7</v>
      </c>
      <c r="I104" s="576">
        <f>H104*$C$4</f>
        <v>11.899999999999999</v>
      </c>
      <c r="J104" s="457">
        <v>2</v>
      </c>
      <c r="K104" s="498">
        <v>3</v>
      </c>
      <c r="L104" s="993">
        <f>IF(K104&gt;=1,CHOOSE(J104,$C104,$D104)*K104)</f>
        <v>523.76100000000008</v>
      </c>
      <c r="M104" s="809">
        <v>0.7</v>
      </c>
      <c r="N104" s="576">
        <f>M104*$C$4</f>
        <v>11.899999999999999</v>
      </c>
      <c r="O104" s="457">
        <v>2</v>
      </c>
      <c r="P104" s="498">
        <v>1</v>
      </c>
      <c r="Q104" s="993">
        <f>IF(P104&gt;=1,CHOOSE(O104,$C104,$D104)*P104)</f>
        <v>174.58700000000002</v>
      </c>
      <c r="R104" s="809">
        <f>1.6+0.5</f>
        <v>2.1</v>
      </c>
      <c r="S104" s="576">
        <f>R104*$C$4</f>
        <v>35.700000000000003</v>
      </c>
      <c r="T104" s="457"/>
      <c r="U104" s="432"/>
      <c r="V104" s="993"/>
      <c r="W104" s="432"/>
      <c r="X104" s="576"/>
      <c r="Y104" s="457"/>
      <c r="Z104" s="432"/>
      <c r="AA104" s="993"/>
      <c r="AB104" s="459"/>
      <c r="AC104" s="993"/>
    </row>
    <row r="105" spans="2:29" x14ac:dyDescent="0.3">
      <c r="B105" s="429" t="s">
        <v>181</v>
      </c>
      <c r="C105" s="466"/>
      <c r="D105" s="466"/>
      <c r="E105" s="467"/>
      <c r="F105" s="427" t="s">
        <v>10</v>
      </c>
      <c r="G105" s="822">
        <f>SUM(G84:G104)</f>
        <v>1139.8380000000002</v>
      </c>
      <c r="H105" s="429">
        <f>SUM(H84:H104)</f>
        <v>3.2</v>
      </c>
      <c r="I105" s="834">
        <f>SUM(I84:I104)</f>
        <v>54.4</v>
      </c>
      <c r="J105" s="470"/>
      <c r="K105" s="427"/>
      <c r="L105" s="822">
        <f>SUM(L84:L104)</f>
        <v>1139.8380000000002</v>
      </c>
      <c r="M105" s="429">
        <f>SUM(M84:M104)</f>
        <v>3.2</v>
      </c>
      <c r="N105" s="834">
        <f>SUM(N84:N104)</f>
        <v>54.4</v>
      </c>
      <c r="O105" s="470"/>
      <c r="P105" s="427"/>
      <c r="Q105" s="822">
        <f>SUM(Q84:Q104)</f>
        <v>616.077</v>
      </c>
      <c r="R105" s="429">
        <f>SUM(R84:R104)</f>
        <v>4.5</v>
      </c>
      <c r="S105" s="834">
        <f>SUM(S84:S104)</f>
        <v>76.5</v>
      </c>
      <c r="T105" s="470"/>
      <c r="U105" s="427"/>
      <c r="V105" s="822">
        <f>SUM(V84:V104)</f>
        <v>1361.5140000000001</v>
      </c>
      <c r="W105" s="429">
        <f>SUM(W84:W104)</f>
        <v>17.399999999999999</v>
      </c>
      <c r="X105" s="834">
        <f>SUM(X84:X104)</f>
        <v>295.8</v>
      </c>
      <c r="Y105" s="470"/>
      <c r="Z105" s="427"/>
      <c r="AA105" s="838">
        <f>175*'Arable Inputs'!D8</f>
        <v>857.50000000000011</v>
      </c>
      <c r="AB105" s="429">
        <f>SUM(AB84:AB104)</f>
        <v>1.5</v>
      </c>
      <c r="AC105" s="822">
        <f>SUM(AC84:AC104)</f>
        <v>25.5</v>
      </c>
    </row>
    <row r="106" spans="2:29" s="39" customFormat="1" x14ac:dyDescent="0.3">
      <c r="B106" s="96"/>
      <c r="C106" s="501"/>
      <c r="D106" s="501"/>
      <c r="E106" s="502"/>
      <c r="F106" s="503"/>
      <c r="G106" s="503"/>
      <c r="H106" s="503"/>
      <c r="I106" s="503"/>
      <c r="J106" s="503"/>
      <c r="K106" s="503"/>
      <c r="L106" s="503"/>
      <c r="M106" s="503"/>
      <c r="N106" s="503"/>
      <c r="O106" s="503"/>
      <c r="P106" s="503"/>
      <c r="Q106" s="503"/>
      <c r="R106" s="503"/>
      <c r="S106" s="503"/>
      <c r="T106" s="503"/>
      <c r="U106" s="503"/>
      <c r="V106" s="503"/>
      <c r="W106" s="503"/>
      <c r="X106" s="503"/>
      <c r="Y106" s="503"/>
      <c r="Z106" s="503"/>
      <c r="AA106" s="503"/>
      <c r="AB106" s="503"/>
      <c r="AC106" s="504"/>
    </row>
    <row r="107" spans="2:29" x14ac:dyDescent="0.3">
      <c r="B107" s="429" t="s">
        <v>183</v>
      </c>
      <c r="C107" s="466"/>
      <c r="D107" s="466"/>
      <c r="E107" s="466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  <c r="S107" s="427"/>
      <c r="T107" s="427"/>
      <c r="U107" s="427"/>
      <c r="V107" s="427"/>
      <c r="W107" s="427"/>
      <c r="X107" s="427"/>
      <c r="Y107" s="427"/>
      <c r="Z107" s="427"/>
      <c r="AA107" s="427"/>
      <c r="AB107" s="427"/>
      <c r="AC107" s="468"/>
    </row>
    <row r="108" spans="2:29" x14ac:dyDescent="0.3">
      <c r="B108" s="16" t="s">
        <v>151</v>
      </c>
      <c r="C108" s="455">
        <f>44.88*'Arable Inputs'!$D$8</f>
        <v>219.91200000000003</v>
      </c>
      <c r="D108" s="487" t="s">
        <v>116</v>
      </c>
      <c r="E108" s="488"/>
      <c r="F108" s="503"/>
      <c r="G108" s="505"/>
      <c r="H108" s="503"/>
      <c r="I108" s="503"/>
      <c r="J108" s="506"/>
      <c r="K108" s="503"/>
      <c r="L108" s="505"/>
      <c r="M108" s="503"/>
      <c r="N108" s="503"/>
      <c r="O108" s="506"/>
      <c r="P108" s="503"/>
      <c r="Q108" s="505"/>
      <c r="R108" s="503"/>
      <c r="S108" s="503"/>
      <c r="T108" s="506"/>
      <c r="U108" s="503"/>
      <c r="V108" s="505"/>
      <c r="W108" s="503"/>
      <c r="X108" s="503"/>
      <c r="Y108" s="506"/>
      <c r="Z108" s="503"/>
      <c r="AA108" s="505"/>
      <c r="AB108" s="503"/>
      <c r="AC108" s="504"/>
    </row>
    <row r="109" spans="2:29" x14ac:dyDescent="0.3">
      <c r="B109" s="16" t="s">
        <v>64</v>
      </c>
      <c r="C109" s="455">
        <f>32.27*'Arable Inputs'!$D$8</f>
        <v>158.12300000000002</v>
      </c>
      <c r="D109" s="456">
        <f>21.44*'Arable Inputs'!$D$8</f>
        <v>105.05600000000001</v>
      </c>
      <c r="E109" s="488"/>
      <c r="F109" s="503"/>
      <c r="G109" s="504"/>
      <c r="H109" s="503"/>
      <c r="I109" s="503"/>
      <c r="J109" s="506"/>
      <c r="K109" s="503"/>
      <c r="L109" s="504"/>
      <c r="M109" s="503"/>
      <c r="N109" s="503"/>
      <c r="O109" s="506"/>
      <c r="P109" s="503"/>
      <c r="Q109" s="504"/>
      <c r="R109" s="503"/>
      <c r="S109" s="503"/>
      <c r="T109" s="506"/>
      <c r="U109" s="503"/>
      <c r="V109" s="504"/>
      <c r="W109" s="503"/>
      <c r="X109" s="503"/>
      <c r="Y109" s="506"/>
      <c r="Z109" s="503"/>
      <c r="AA109" s="504"/>
      <c r="AB109" s="503"/>
      <c r="AC109" s="504"/>
    </row>
    <row r="110" spans="2:29" x14ac:dyDescent="0.3">
      <c r="B110" s="16" t="s">
        <v>65</v>
      </c>
      <c r="C110" s="455">
        <f>29.18*'Arable Inputs'!$D$8</f>
        <v>142.982</v>
      </c>
      <c r="D110" s="456">
        <f>30.24*'Arable Inputs'!$D$8</f>
        <v>148.17600000000002</v>
      </c>
      <c r="E110" s="488"/>
      <c r="F110" s="503"/>
      <c r="G110" s="504"/>
      <c r="H110" s="503"/>
      <c r="I110" s="503"/>
      <c r="J110" s="506"/>
      <c r="K110" s="503"/>
      <c r="L110" s="504"/>
      <c r="M110" s="503"/>
      <c r="N110" s="503"/>
      <c r="O110" s="506"/>
      <c r="P110" s="503"/>
      <c r="Q110" s="504"/>
      <c r="R110" s="503"/>
      <c r="S110" s="503"/>
      <c r="T110" s="506"/>
      <c r="U110" s="503"/>
      <c r="V110" s="504"/>
      <c r="W110" s="503"/>
      <c r="X110" s="503"/>
      <c r="Y110" s="506"/>
      <c r="Z110" s="503"/>
      <c r="AA110" s="504"/>
      <c r="AB110" s="503"/>
      <c r="AC110" s="504"/>
    </row>
    <row r="111" spans="2:29" x14ac:dyDescent="0.3">
      <c r="B111" s="16" t="s">
        <v>66</v>
      </c>
      <c r="C111" s="455">
        <f>16.58*'Arable Inputs'!$D$8</f>
        <v>81.242000000000004</v>
      </c>
      <c r="D111" s="456">
        <f>14.51*'Arable Inputs'!$D$8</f>
        <v>71.099000000000004</v>
      </c>
      <c r="E111" s="488"/>
      <c r="F111" s="503"/>
      <c r="G111" s="504"/>
      <c r="H111" s="503"/>
      <c r="I111" s="503"/>
      <c r="J111" s="506"/>
      <c r="K111" s="503"/>
      <c r="L111" s="504"/>
      <c r="M111" s="503"/>
      <c r="N111" s="503"/>
      <c r="O111" s="506"/>
      <c r="P111" s="503"/>
      <c r="Q111" s="504"/>
      <c r="R111" s="503"/>
      <c r="S111" s="503"/>
      <c r="T111" s="506"/>
      <c r="U111" s="503"/>
      <c r="V111" s="504"/>
      <c r="W111" s="503"/>
      <c r="X111" s="503"/>
      <c r="Y111" s="506"/>
      <c r="Z111" s="503"/>
      <c r="AA111" s="504"/>
      <c r="AB111" s="503"/>
      <c r="AC111" s="504"/>
    </row>
    <row r="112" spans="2:29" x14ac:dyDescent="0.3">
      <c r="B112" s="16" t="s">
        <v>67</v>
      </c>
      <c r="C112" s="455">
        <f>19.94*'Arable Inputs'!$D$8</f>
        <v>97.706000000000017</v>
      </c>
      <c r="D112" s="456">
        <f>20.13*'Arable Inputs'!$D$8</f>
        <v>98.637</v>
      </c>
      <c r="E112" s="488"/>
      <c r="F112" s="503"/>
      <c r="G112" s="504"/>
      <c r="H112" s="503"/>
      <c r="I112" s="503"/>
      <c r="J112" s="506"/>
      <c r="K112" s="503"/>
      <c r="L112" s="504"/>
      <c r="M112" s="503"/>
      <c r="N112" s="503"/>
      <c r="O112" s="506"/>
      <c r="P112" s="503"/>
      <c r="Q112" s="504"/>
      <c r="R112" s="503"/>
      <c r="S112" s="503"/>
      <c r="T112" s="506"/>
      <c r="U112" s="503"/>
      <c r="V112" s="504"/>
      <c r="W112" s="503"/>
      <c r="X112" s="503"/>
      <c r="Y112" s="506"/>
      <c r="Z112" s="503"/>
      <c r="AA112" s="504"/>
      <c r="AB112" s="503"/>
      <c r="AC112" s="504"/>
    </row>
    <row r="113" spans="2:29" x14ac:dyDescent="0.3">
      <c r="B113" s="16" t="s">
        <v>149</v>
      </c>
      <c r="C113" s="455">
        <f>160.62*'Arable Inputs'!$D$8</f>
        <v>787.03800000000012</v>
      </c>
      <c r="D113" s="487" t="s">
        <v>116</v>
      </c>
      <c r="E113" s="488"/>
      <c r="F113" s="432"/>
      <c r="G113" s="458"/>
      <c r="H113" s="432"/>
      <c r="I113" s="432"/>
      <c r="J113" s="457"/>
      <c r="K113" s="432"/>
      <c r="L113" s="458"/>
      <c r="M113" s="432"/>
      <c r="N113" s="432"/>
      <c r="O113" s="457"/>
      <c r="P113" s="432"/>
      <c r="Q113" s="458"/>
      <c r="R113" s="432"/>
      <c r="S113" s="432"/>
      <c r="T113" s="457"/>
      <c r="U113" s="432"/>
      <c r="V113" s="458"/>
      <c r="W113" s="432"/>
      <c r="X113" s="432"/>
      <c r="Y113" s="457"/>
      <c r="Z113" s="432"/>
      <c r="AA113" s="458"/>
      <c r="AB113" s="459"/>
      <c r="AC113" s="458"/>
    </row>
    <row r="114" spans="2:29" x14ac:dyDescent="0.3">
      <c r="B114" s="16" t="s">
        <v>150</v>
      </c>
      <c r="C114" s="486">
        <f>40.5*'Arable Inputs'!$D$8</f>
        <v>198.45000000000002</v>
      </c>
      <c r="D114" s="487" t="s">
        <v>116</v>
      </c>
      <c r="E114" s="488"/>
      <c r="F114" s="503"/>
      <c r="G114" s="504"/>
      <c r="H114" s="503"/>
      <c r="I114" s="503"/>
      <c r="J114" s="506"/>
      <c r="K114" s="503"/>
      <c r="L114" s="504"/>
      <c r="M114" s="503"/>
      <c r="N114" s="503"/>
      <c r="O114" s="506"/>
      <c r="P114" s="503"/>
      <c r="Q114" s="504"/>
      <c r="R114" s="503"/>
      <c r="S114" s="503"/>
      <c r="T114" s="506"/>
      <c r="U114" s="503"/>
      <c r="V114" s="504"/>
      <c r="W114" s="503"/>
      <c r="X114" s="503"/>
      <c r="Y114" s="506"/>
      <c r="Z114" s="503"/>
      <c r="AA114" s="504"/>
      <c r="AB114" s="503"/>
      <c r="AC114" s="504"/>
    </row>
    <row r="115" spans="2:29" x14ac:dyDescent="0.3">
      <c r="B115" s="16" t="s">
        <v>152</v>
      </c>
      <c r="C115" s="486">
        <f>110*'Arable Inputs'!$D$8</f>
        <v>539</v>
      </c>
      <c r="D115" s="487" t="s">
        <v>116</v>
      </c>
      <c r="E115" s="488"/>
      <c r="F115" s="503"/>
      <c r="G115" s="507"/>
      <c r="H115" s="503"/>
      <c r="I115" s="503"/>
      <c r="J115" s="506"/>
      <c r="K115" s="503"/>
      <c r="L115" s="507"/>
      <c r="M115" s="503"/>
      <c r="N115" s="503"/>
      <c r="O115" s="506"/>
      <c r="P115" s="503"/>
      <c r="Q115" s="507"/>
      <c r="R115" s="503"/>
      <c r="S115" s="503"/>
      <c r="T115" s="506"/>
      <c r="U115" s="503"/>
      <c r="V115" s="507"/>
      <c r="W115" s="503"/>
      <c r="X115" s="503"/>
      <c r="Y115" s="506"/>
      <c r="Z115" s="503"/>
      <c r="AA115" s="507"/>
      <c r="AB115" s="503"/>
      <c r="AC115" s="504"/>
    </row>
    <row r="116" spans="2:29" x14ac:dyDescent="0.3">
      <c r="B116" s="429" t="s">
        <v>184</v>
      </c>
      <c r="C116" s="479"/>
      <c r="D116" s="479"/>
      <c r="E116" s="483"/>
      <c r="F116" s="427" t="s">
        <v>10</v>
      </c>
      <c r="G116" s="468"/>
      <c r="H116" s="427"/>
      <c r="I116" s="427"/>
      <c r="J116" s="470"/>
      <c r="K116" s="427"/>
      <c r="L116" s="468"/>
      <c r="M116" s="427"/>
      <c r="N116" s="427"/>
      <c r="O116" s="470"/>
      <c r="P116" s="427"/>
      <c r="Q116" s="468"/>
      <c r="R116" s="427"/>
      <c r="S116" s="427"/>
      <c r="T116" s="470"/>
      <c r="U116" s="427"/>
      <c r="V116" s="468"/>
      <c r="W116" s="427"/>
      <c r="X116" s="427"/>
      <c r="Y116" s="470"/>
      <c r="Z116" s="427"/>
      <c r="AA116" s="468"/>
      <c r="AB116" s="427"/>
      <c r="AC116" s="468"/>
    </row>
    <row r="117" spans="2:29" x14ac:dyDescent="0.3">
      <c r="B117" s="429"/>
      <c r="C117" s="466"/>
      <c r="D117" s="466"/>
      <c r="E117" s="466"/>
      <c r="F117" s="427"/>
      <c r="G117" s="427"/>
      <c r="H117" s="427"/>
      <c r="I117" s="427"/>
      <c r="J117" s="427"/>
      <c r="K117" s="427"/>
      <c r="L117" s="427"/>
      <c r="M117" s="427"/>
      <c r="N117" s="427"/>
      <c r="O117" s="427"/>
      <c r="P117" s="427"/>
      <c r="Q117" s="427"/>
      <c r="R117" s="427"/>
      <c r="S117" s="427"/>
      <c r="T117" s="427"/>
      <c r="U117" s="427"/>
      <c r="V117" s="427"/>
      <c r="W117" s="427"/>
      <c r="X117" s="427"/>
      <c r="Y117" s="427"/>
      <c r="Z117" s="427"/>
      <c r="AA117" s="427"/>
      <c r="AB117" s="427"/>
      <c r="AC117" s="468"/>
    </row>
    <row r="118" spans="2:29" s="39" customFormat="1" x14ac:dyDescent="0.3">
      <c r="B118" s="429" t="s">
        <v>153</v>
      </c>
      <c r="C118" s="466"/>
      <c r="D118" s="466"/>
      <c r="E118" s="466"/>
      <c r="F118" s="428"/>
      <c r="G118" s="428"/>
      <c r="H118" s="428"/>
      <c r="I118" s="428"/>
      <c r="J118" s="428"/>
      <c r="K118" s="428"/>
      <c r="L118" s="428"/>
      <c r="M118" s="428"/>
      <c r="N118" s="428"/>
      <c r="O118" s="428"/>
      <c r="P118" s="428"/>
      <c r="Q118" s="428"/>
      <c r="R118" s="428"/>
      <c r="S118" s="428"/>
      <c r="T118" s="428"/>
      <c r="U118" s="428"/>
      <c r="V118" s="428"/>
      <c r="W118" s="428"/>
      <c r="X118" s="428"/>
      <c r="Y118" s="428"/>
      <c r="Z118" s="428"/>
      <c r="AA118" s="428"/>
      <c r="AB118" s="428"/>
      <c r="AC118" s="430"/>
    </row>
    <row r="119" spans="2:29" x14ac:dyDescent="0.3">
      <c r="B119" s="16" t="s">
        <v>154</v>
      </c>
      <c r="C119" s="455">
        <f>0.73*'Arable Inputs'!$D$8</f>
        <v>3.577</v>
      </c>
      <c r="D119" s="456">
        <f>0.29*'Arable Inputs'!$D$8</f>
        <v>1.421</v>
      </c>
      <c r="E119" s="457"/>
      <c r="F119" s="432"/>
      <c r="G119" s="458"/>
      <c r="H119" s="432"/>
      <c r="I119" s="432"/>
      <c r="J119" s="457"/>
      <c r="K119" s="432"/>
      <c r="L119" s="458"/>
      <c r="M119" s="432"/>
      <c r="N119" s="432"/>
      <c r="O119" s="457"/>
      <c r="P119" s="432"/>
      <c r="Q119" s="458"/>
      <c r="R119" s="432"/>
      <c r="S119" s="432"/>
      <c r="T119" s="457"/>
      <c r="U119" s="432"/>
      <c r="V119" s="458"/>
      <c r="W119" s="432"/>
      <c r="X119" s="432"/>
      <c r="Y119" s="457"/>
      <c r="Z119" s="432"/>
      <c r="AA119" s="458"/>
      <c r="AB119" s="459"/>
      <c r="AC119" s="458"/>
    </row>
    <row r="120" spans="2:29" x14ac:dyDescent="0.3">
      <c r="B120" s="16" t="s">
        <v>155</v>
      </c>
      <c r="C120" s="455">
        <f>3.97*'Arable Inputs'!$D$8</f>
        <v>19.453000000000003</v>
      </c>
      <c r="D120" s="456" t="s">
        <v>116</v>
      </c>
      <c r="E120" s="457"/>
      <c r="F120" s="432"/>
      <c r="G120" s="458"/>
      <c r="H120" s="432"/>
      <c r="I120" s="432"/>
      <c r="J120" s="457"/>
      <c r="K120" s="432"/>
      <c r="L120" s="458"/>
      <c r="M120" s="432"/>
      <c r="N120" s="432"/>
      <c r="O120" s="457"/>
      <c r="P120" s="432"/>
      <c r="Q120" s="458"/>
      <c r="R120" s="432"/>
      <c r="S120" s="432"/>
      <c r="T120" s="457"/>
      <c r="U120" s="432"/>
      <c r="V120" s="458"/>
      <c r="W120" s="432"/>
      <c r="X120" s="432"/>
      <c r="Y120" s="457"/>
      <c r="Z120" s="432"/>
      <c r="AA120" s="458"/>
      <c r="AB120" s="459"/>
      <c r="AC120" s="458"/>
    </row>
    <row r="121" spans="2:29" x14ac:dyDescent="0.3">
      <c r="B121" s="16" t="s">
        <v>156</v>
      </c>
      <c r="C121" s="455">
        <f>4.66*'Arable Inputs'!$D$8</f>
        <v>22.834000000000003</v>
      </c>
      <c r="D121" s="456">
        <f>3.53*'Arable Inputs'!$D$8</f>
        <v>17.297000000000001</v>
      </c>
      <c r="E121" s="457"/>
      <c r="F121" s="432"/>
      <c r="G121" s="458"/>
      <c r="H121" s="432"/>
      <c r="I121" s="432"/>
      <c r="J121" s="457"/>
      <c r="K121" s="432"/>
      <c r="L121" s="458"/>
      <c r="M121" s="432"/>
      <c r="N121" s="432"/>
      <c r="O121" s="457"/>
      <c r="P121" s="432"/>
      <c r="Q121" s="458"/>
      <c r="R121" s="432"/>
      <c r="S121" s="432"/>
      <c r="T121" s="457"/>
      <c r="U121" s="432"/>
      <c r="V121" s="458"/>
      <c r="W121" s="432"/>
      <c r="X121" s="432"/>
      <c r="Y121" s="457"/>
      <c r="Z121" s="432"/>
      <c r="AA121" s="458"/>
      <c r="AB121" s="459"/>
      <c r="AC121" s="458"/>
    </row>
    <row r="122" spans="2:29" x14ac:dyDescent="0.3">
      <c r="B122" s="16" t="s">
        <v>157</v>
      </c>
      <c r="C122" s="455">
        <f>5.6*'Arable Inputs'!$D$8</f>
        <v>27.44</v>
      </c>
      <c r="D122" s="456" t="s">
        <v>116</v>
      </c>
      <c r="E122" s="457"/>
      <c r="F122" s="432"/>
      <c r="G122" s="458"/>
      <c r="H122" s="432"/>
      <c r="I122" s="432"/>
      <c r="J122" s="457"/>
      <c r="K122" s="432"/>
      <c r="L122" s="458"/>
      <c r="M122" s="432"/>
      <c r="N122" s="432"/>
      <c r="O122" s="457"/>
      <c r="P122" s="432"/>
      <c r="Q122" s="458"/>
      <c r="R122" s="432"/>
      <c r="S122" s="432"/>
      <c r="T122" s="457"/>
      <c r="U122" s="432"/>
      <c r="V122" s="458"/>
      <c r="W122" s="432"/>
      <c r="X122" s="432"/>
      <c r="Y122" s="457"/>
      <c r="Z122" s="432"/>
      <c r="AA122" s="458"/>
      <c r="AB122" s="459"/>
      <c r="AC122" s="458"/>
    </row>
    <row r="123" spans="2:29" x14ac:dyDescent="0.3">
      <c r="B123" s="16" t="s">
        <v>158</v>
      </c>
      <c r="C123" s="455">
        <f>7.25*'Arable Inputs'!$D$8</f>
        <v>35.525000000000006</v>
      </c>
      <c r="D123" s="456" t="s">
        <v>116</v>
      </c>
      <c r="E123" s="457"/>
      <c r="F123" s="432"/>
      <c r="G123" s="458"/>
      <c r="H123" s="432"/>
      <c r="I123" s="432"/>
      <c r="J123" s="457"/>
      <c r="K123" s="432"/>
      <c r="L123" s="458"/>
      <c r="M123" s="432"/>
      <c r="N123" s="432"/>
      <c r="O123" s="457"/>
      <c r="P123" s="432"/>
      <c r="Q123" s="458"/>
      <c r="R123" s="432"/>
      <c r="S123" s="432"/>
      <c r="T123" s="457"/>
      <c r="U123" s="432"/>
      <c r="V123" s="458"/>
      <c r="W123" s="432"/>
      <c r="X123" s="432"/>
      <c r="Y123" s="457"/>
      <c r="Z123" s="432"/>
      <c r="AA123" s="458"/>
      <c r="AB123" s="459"/>
      <c r="AC123" s="458"/>
    </row>
    <row r="124" spans="2:29" x14ac:dyDescent="0.3">
      <c r="B124" s="16" t="s">
        <v>159</v>
      </c>
      <c r="C124" s="455">
        <f>2.98*'Arable Inputs'!$D$8</f>
        <v>14.602</v>
      </c>
      <c r="D124" s="456" t="s">
        <v>116</v>
      </c>
      <c r="E124" s="457"/>
      <c r="F124" s="432"/>
      <c r="G124" s="458"/>
      <c r="H124" s="432"/>
      <c r="I124" s="432"/>
      <c r="J124" s="457"/>
      <c r="K124" s="432"/>
      <c r="L124" s="458"/>
      <c r="M124" s="432"/>
      <c r="N124" s="432"/>
      <c r="O124" s="457"/>
      <c r="P124" s="432"/>
      <c r="Q124" s="458"/>
      <c r="R124" s="432"/>
      <c r="S124" s="432"/>
      <c r="T124" s="457"/>
      <c r="U124" s="432"/>
      <c r="V124" s="458"/>
      <c r="W124" s="432"/>
      <c r="X124" s="432"/>
      <c r="Y124" s="457"/>
      <c r="Z124" s="432"/>
      <c r="AA124" s="458"/>
      <c r="AB124" s="459"/>
      <c r="AC124" s="458"/>
    </row>
    <row r="125" spans="2:29" x14ac:dyDescent="0.3">
      <c r="B125" s="16" t="s">
        <v>160</v>
      </c>
      <c r="C125" s="455">
        <f>3.48*'Arable Inputs'!$D$8</f>
        <v>17.052</v>
      </c>
      <c r="D125" s="456">
        <f>2.25*'Arable Inputs'!$D$8</f>
        <v>11.025</v>
      </c>
      <c r="E125" s="457">
        <v>2</v>
      </c>
      <c r="F125" s="462">
        <v>14</v>
      </c>
      <c r="G125" s="993">
        <f>IF(F125&gt;=1,CHOOSE(E125,$C125,$D125)*F125)</f>
        <v>154.35</v>
      </c>
      <c r="H125" s="806">
        <v>1.3</v>
      </c>
      <c r="I125" s="576">
        <f>H125*$C$4</f>
        <v>22.1</v>
      </c>
      <c r="J125" s="457">
        <v>2</v>
      </c>
      <c r="K125" s="462">
        <v>9</v>
      </c>
      <c r="L125" s="993">
        <f>IF(K125&gt;=1,CHOOSE(J125,$C125,$D125)*K125)</f>
        <v>99.225000000000009</v>
      </c>
      <c r="M125" s="806">
        <v>1.3</v>
      </c>
      <c r="N125" s="576">
        <f>M125*$C$4</f>
        <v>22.1</v>
      </c>
      <c r="O125" s="457">
        <v>2</v>
      </c>
      <c r="P125" s="462">
        <v>16</v>
      </c>
      <c r="Q125" s="993">
        <f>IF(P125&gt;=1,CHOOSE(O125,$C125,$D125)*P125)</f>
        <v>176.4</v>
      </c>
      <c r="R125" s="809">
        <f>1.3</f>
        <v>1.3</v>
      </c>
      <c r="S125" s="576">
        <f>R125*$C$4</f>
        <v>22.1</v>
      </c>
      <c r="T125" s="457"/>
      <c r="U125" s="432"/>
      <c r="V125" s="458"/>
      <c r="W125" s="432"/>
      <c r="X125" s="432"/>
      <c r="Y125" s="457"/>
      <c r="Z125" s="432"/>
      <c r="AA125" s="458"/>
      <c r="AB125" s="432"/>
      <c r="AC125" s="458"/>
    </row>
    <row r="126" spans="2:29" x14ac:dyDescent="0.3">
      <c r="B126" s="16" t="s">
        <v>161</v>
      </c>
      <c r="C126" s="455">
        <f>5.49*'Arable Inputs'!$D$8</f>
        <v>26.901000000000003</v>
      </c>
      <c r="D126" s="456" t="s">
        <v>116</v>
      </c>
      <c r="E126" s="457"/>
      <c r="F126" s="432"/>
      <c r="G126" s="993"/>
      <c r="H126" s="432"/>
      <c r="I126" s="576"/>
      <c r="J126" s="457"/>
      <c r="K126" s="432"/>
      <c r="L126" s="993"/>
      <c r="M126" s="432"/>
      <c r="N126" s="576"/>
      <c r="O126" s="457"/>
      <c r="P126" s="432"/>
      <c r="Q126" s="993"/>
      <c r="R126" s="432"/>
      <c r="S126" s="576"/>
      <c r="T126" s="457"/>
      <c r="U126" s="432"/>
      <c r="V126" s="458"/>
      <c r="W126" s="432"/>
      <c r="X126" s="432"/>
      <c r="Y126" s="457"/>
      <c r="Z126" s="432"/>
      <c r="AA126" s="458"/>
      <c r="AB126" s="459"/>
      <c r="AC126" s="458"/>
    </row>
    <row r="127" spans="2:29" x14ac:dyDescent="0.3">
      <c r="B127" s="16" t="s">
        <v>162</v>
      </c>
      <c r="C127" s="455">
        <f>4.89*'Arable Inputs'!$D$8</f>
        <v>23.960999999999999</v>
      </c>
      <c r="D127" s="456" t="s">
        <v>116</v>
      </c>
      <c r="E127" s="457"/>
      <c r="F127" s="432"/>
      <c r="G127" s="993"/>
      <c r="H127" s="432"/>
      <c r="I127" s="576"/>
      <c r="J127" s="457"/>
      <c r="K127" s="432"/>
      <c r="L127" s="993"/>
      <c r="M127" s="432"/>
      <c r="N127" s="576"/>
      <c r="O127" s="457"/>
      <c r="P127" s="432"/>
      <c r="Q127" s="993"/>
      <c r="R127" s="432"/>
      <c r="S127" s="576"/>
      <c r="T127" s="457"/>
      <c r="U127" s="432"/>
      <c r="V127" s="458"/>
      <c r="W127" s="432"/>
      <c r="X127" s="432"/>
      <c r="Y127" s="457"/>
      <c r="Z127" s="432"/>
      <c r="AA127" s="458"/>
      <c r="AB127" s="459"/>
      <c r="AC127" s="458"/>
    </row>
    <row r="128" spans="2:29" x14ac:dyDescent="0.3">
      <c r="B128" s="16" t="s">
        <v>163</v>
      </c>
      <c r="C128" s="455">
        <f>2.53*'Arable Inputs'!$D$8</f>
        <v>12.397</v>
      </c>
      <c r="D128" s="456" t="s">
        <v>116</v>
      </c>
      <c r="E128" s="457"/>
      <c r="F128" s="432"/>
      <c r="G128" s="993"/>
      <c r="H128" s="432"/>
      <c r="I128" s="576"/>
      <c r="J128" s="457"/>
      <c r="K128" s="432"/>
      <c r="L128" s="993"/>
      <c r="M128" s="432"/>
      <c r="N128" s="576"/>
      <c r="O128" s="457"/>
      <c r="P128" s="432"/>
      <c r="Q128" s="993"/>
      <c r="R128" s="432"/>
      <c r="S128" s="576"/>
      <c r="T128" s="457"/>
      <c r="U128" s="432"/>
      <c r="V128" s="458"/>
      <c r="W128" s="432"/>
      <c r="X128" s="432"/>
      <c r="Y128" s="457"/>
      <c r="Z128" s="432"/>
      <c r="AA128" s="458"/>
      <c r="AB128" s="459"/>
      <c r="AC128" s="458"/>
    </row>
    <row r="129" spans="2:29" x14ac:dyDescent="0.3">
      <c r="B129" s="16" t="s">
        <v>164</v>
      </c>
      <c r="C129" s="455">
        <f>7*'Arable Inputs'!$D$8</f>
        <v>34.300000000000004</v>
      </c>
      <c r="D129" s="456" t="s">
        <v>116</v>
      </c>
      <c r="E129" s="457"/>
      <c r="F129" s="432"/>
      <c r="G129" s="993"/>
      <c r="H129" s="432"/>
      <c r="I129" s="576"/>
      <c r="J129" s="457"/>
      <c r="K129" s="432"/>
      <c r="L129" s="993"/>
      <c r="M129" s="432"/>
      <c r="N129" s="576"/>
      <c r="O129" s="457"/>
      <c r="P129" s="432"/>
      <c r="Q129" s="993"/>
      <c r="R129" s="432"/>
      <c r="S129" s="576"/>
      <c r="T129" s="457"/>
      <c r="U129" s="432"/>
      <c r="V129" s="458"/>
      <c r="W129" s="432"/>
      <c r="X129" s="432"/>
      <c r="Y129" s="457"/>
      <c r="Z129" s="432"/>
      <c r="AA129" s="458"/>
      <c r="AB129" s="459"/>
      <c r="AC129" s="458"/>
    </row>
    <row r="130" spans="2:29" x14ac:dyDescent="0.3">
      <c r="B130" s="16" t="s">
        <v>165</v>
      </c>
      <c r="C130" s="455">
        <f>5.66*'Arable Inputs'!$D$8</f>
        <v>27.734000000000002</v>
      </c>
      <c r="D130" s="456" t="s">
        <v>116</v>
      </c>
      <c r="E130" s="457"/>
      <c r="F130" s="432"/>
      <c r="G130" s="993"/>
      <c r="H130" s="432"/>
      <c r="I130" s="576"/>
      <c r="J130" s="457"/>
      <c r="K130" s="432"/>
      <c r="L130" s="993"/>
      <c r="M130" s="432"/>
      <c r="N130" s="576"/>
      <c r="O130" s="457"/>
      <c r="P130" s="432"/>
      <c r="Q130" s="993"/>
      <c r="R130" s="432"/>
      <c r="S130" s="576"/>
      <c r="T130" s="457"/>
      <c r="U130" s="432"/>
      <c r="V130" s="458"/>
      <c r="W130" s="432"/>
      <c r="X130" s="432"/>
      <c r="Y130" s="457"/>
      <c r="Z130" s="432"/>
      <c r="AA130" s="458"/>
      <c r="AB130" s="459"/>
      <c r="AC130" s="458"/>
    </row>
    <row r="131" spans="2:29" x14ac:dyDescent="0.3">
      <c r="B131" s="16" t="s">
        <v>166</v>
      </c>
      <c r="C131" s="455">
        <f>2.89*'Arable Inputs'!$D$8</f>
        <v>14.161000000000001</v>
      </c>
      <c r="D131" s="456" t="s">
        <v>116</v>
      </c>
      <c r="E131" s="457"/>
      <c r="F131" s="432"/>
      <c r="G131" s="993"/>
      <c r="H131" s="432"/>
      <c r="I131" s="576"/>
      <c r="J131" s="457"/>
      <c r="K131" s="432"/>
      <c r="L131" s="993"/>
      <c r="M131" s="432"/>
      <c r="N131" s="576"/>
      <c r="O131" s="457"/>
      <c r="P131" s="432"/>
      <c r="Q131" s="993"/>
      <c r="R131" s="432"/>
      <c r="S131" s="576"/>
      <c r="T131" s="457"/>
      <c r="U131" s="432"/>
      <c r="V131" s="458"/>
      <c r="W131" s="432"/>
      <c r="X131" s="432"/>
      <c r="Y131" s="457"/>
      <c r="Z131" s="432"/>
      <c r="AA131" s="458"/>
      <c r="AB131" s="459"/>
      <c r="AC131" s="458"/>
    </row>
    <row r="132" spans="2:29" x14ac:dyDescent="0.3">
      <c r="B132" s="16" t="s">
        <v>167</v>
      </c>
      <c r="C132" s="455">
        <f>60*'Arable Inputs'!$D$8</f>
        <v>294</v>
      </c>
      <c r="D132" s="456" t="s">
        <v>116</v>
      </c>
      <c r="E132" s="457"/>
      <c r="F132" s="432"/>
      <c r="G132" s="993"/>
      <c r="H132" s="432"/>
      <c r="I132" s="576"/>
      <c r="J132" s="457"/>
      <c r="K132" s="432"/>
      <c r="L132" s="993"/>
      <c r="M132" s="432"/>
      <c r="N132" s="576"/>
      <c r="O132" s="457"/>
      <c r="P132" s="432"/>
      <c r="Q132" s="993"/>
      <c r="R132" s="432"/>
      <c r="S132" s="576"/>
      <c r="T132" s="457"/>
      <c r="U132" s="432"/>
      <c r="V132" s="458"/>
      <c r="W132" s="432"/>
      <c r="X132" s="432"/>
      <c r="Y132" s="457"/>
      <c r="Z132" s="432"/>
      <c r="AA132" s="458"/>
      <c r="AB132" s="459"/>
      <c r="AC132" s="458"/>
    </row>
    <row r="133" spans="2:29" x14ac:dyDescent="0.3">
      <c r="B133" s="16" t="s">
        <v>205</v>
      </c>
      <c r="C133" s="499">
        <f>42.05*'Arable Inputs'!$D$8</f>
        <v>206.04499999999999</v>
      </c>
      <c r="D133" s="500">
        <f>35.63*'Arable Inputs'!$D$8</f>
        <v>174.58700000000002</v>
      </c>
      <c r="E133" s="457">
        <v>2</v>
      </c>
      <c r="F133" s="460">
        <v>1</v>
      </c>
      <c r="G133" s="993">
        <f>IF(F133&gt;=1,CHOOSE(E133,$C133,$D133)*F133)</f>
        <v>174.58700000000002</v>
      </c>
      <c r="H133" s="806">
        <v>3.5</v>
      </c>
      <c r="I133" s="576">
        <f>H133*$C$4</f>
        <v>59.5</v>
      </c>
      <c r="J133" s="457">
        <v>2</v>
      </c>
      <c r="K133" s="460">
        <v>1</v>
      </c>
      <c r="L133" s="993">
        <f>IF(K133&gt;=1,CHOOSE(J133,$C133,$D133)*K133)</f>
        <v>174.58700000000002</v>
      </c>
      <c r="M133" s="806">
        <v>3.5</v>
      </c>
      <c r="N133" s="576">
        <f>M133*$C$4</f>
        <v>59.5</v>
      </c>
      <c r="O133" s="457">
        <v>2</v>
      </c>
      <c r="P133" s="460">
        <v>1</v>
      </c>
      <c r="Q133" s="993">
        <f>IF(P133&gt;=1,CHOOSE(O133,$C133,$D133)*P133)</f>
        <v>174.58700000000002</v>
      </c>
      <c r="R133" s="806">
        <v>3.5</v>
      </c>
      <c r="S133" s="576">
        <f>R133*$C$4</f>
        <v>59.5</v>
      </c>
      <c r="T133" s="457"/>
      <c r="U133" s="432"/>
      <c r="V133" s="458"/>
      <c r="W133" s="432"/>
      <c r="X133" s="432"/>
      <c r="Y133" s="457"/>
      <c r="Z133" s="432"/>
      <c r="AA133" s="458"/>
      <c r="AB133" s="459"/>
      <c r="AC133" s="458"/>
    </row>
    <row r="134" spans="2:29" x14ac:dyDescent="0.3">
      <c r="B134" s="178" t="s">
        <v>168</v>
      </c>
      <c r="C134" s="466"/>
      <c r="D134" s="466"/>
      <c r="E134" s="467"/>
      <c r="F134" s="427" t="s">
        <v>10</v>
      </c>
      <c r="G134" s="822">
        <f>SUM(G119:G133)</f>
        <v>328.93700000000001</v>
      </c>
      <c r="H134" s="429">
        <f>SUM(H119:H133)</f>
        <v>4.8</v>
      </c>
      <c r="I134" s="834">
        <f>SUM(I119:I133)</f>
        <v>81.599999999999994</v>
      </c>
      <c r="J134" s="470"/>
      <c r="K134" s="427"/>
      <c r="L134" s="822">
        <f>SUM(L119:L133)</f>
        <v>273.81200000000001</v>
      </c>
      <c r="M134" s="429">
        <f>SUM(M119:M133)</f>
        <v>4.8</v>
      </c>
      <c r="N134" s="834">
        <f>SUM(N119:N133)</f>
        <v>81.599999999999994</v>
      </c>
      <c r="O134" s="470"/>
      <c r="P134" s="427"/>
      <c r="Q134" s="822">
        <f>SUM(Q119:Q133)</f>
        <v>350.98700000000002</v>
      </c>
      <c r="R134" s="805">
        <f>SUM(R119:R133)</f>
        <v>4.8</v>
      </c>
      <c r="S134" s="834">
        <f>SUM(S119:S133)</f>
        <v>81.599999999999994</v>
      </c>
      <c r="T134" s="470"/>
      <c r="U134" s="427"/>
      <c r="V134" s="468"/>
      <c r="W134" s="427"/>
      <c r="X134" s="427"/>
      <c r="Y134" s="470"/>
      <c r="Z134" s="427"/>
      <c r="AA134" s="468"/>
      <c r="AB134" s="427"/>
      <c r="AC134" s="468"/>
    </row>
    <row r="135" spans="2:29" s="39" customFormat="1" ht="15" customHeight="1" x14ac:dyDescent="0.3">
      <c r="B135" s="178"/>
      <c r="C135" s="466"/>
      <c r="D135" s="466"/>
      <c r="E135" s="466"/>
      <c r="F135" s="427"/>
      <c r="G135" s="427"/>
      <c r="H135" s="427"/>
      <c r="I135" s="427"/>
      <c r="J135" s="427"/>
      <c r="K135" s="427"/>
      <c r="L135" s="427"/>
      <c r="M135" s="427"/>
      <c r="N135" s="427"/>
      <c r="O135" s="427"/>
      <c r="P135" s="427"/>
      <c r="Q135" s="427"/>
      <c r="R135" s="427"/>
      <c r="S135" s="427"/>
      <c r="T135" s="427"/>
      <c r="U135" s="427"/>
      <c r="V135" s="427"/>
      <c r="W135" s="427"/>
      <c r="X135" s="427"/>
      <c r="Y135" s="427"/>
      <c r="Z135" s="427"/>
      <c r="AA135" s="427"/>
      <c r="AB135" s="427"/>
      <c r="AC135" s="468"/>
    </row>
    <row r="136" spans="2:29" s="39" customFormat="1" x14ac:dyDescent="0.3">
      <c r="B136" s="429" t="s">
        <v>63</v>
      </c>
      <c r="C136" s="466"/>
      <c r="D136" s="466"/>
      <c r="E136" s="466"/>
      <c r="F136" s="428"/>
      <c r="G136" s="428"/>
      <c r="H136" s="428"/>
      <c r="I136" s="428"/>
      <c r="J136" s="428"/>
      <c r="K136" s="428"/>
      <c r="L136" s="428"/>
      <c r="M136" s="428"/>
      <c r="N136" s="428"/>
      <c r="O136" s="428"/>
      <c r="P136" s="428"/>
      <c r="Q136" s="428"/>
      <c r="R136" s="428"/>
      <c r="S136" s="428"/>
      <c r="T136" s="428"/>
      <c r="U136" s="428"/>
      <c r="V136" s="428"/>
      <c r="W136" s="428"/>
      <c r="X136" s="428"/>
      <c r="Y136" s="428"/>
      <c r="Z136" s="428"/>
      <c r="AA136" s="428"/>
      <c r="AB136" s="428"/>
      <c r="AC136" s="430"/>
    </row>
    <row r="137" spans="2:29" x14ac:dyDescent="0.3">
      <c r="B137" s="16" t="s">
        <v>68</v>
      </c>
      <c r="C137" s="455">
        <f>(AVERAGE(1.5,2.5))*'Arable Inputs'!$D$8</f>
        <v>9.8000000000000007</v>
      </c>
      <c r="D137" s="456">
        <f>(AVERAGE(10/4,8,10))*'Arable Inputs'!$D$8</f>
        <v>33.483333333333334</v>
      </c>
      <c r="E137" s="481"/>
      <c r="F137" s="432"/>
      <c r="G137" s="458"/>
      <c r="H137" s="432"/>
      <c r="I137" s="432"/>
      <c r="J137" s="457"/>
      <c r="K137" s="432"/>
      <c r="L137" s="458"/>
      <c r="M137" s="432"/>
      <c r="N137" s="432"/>
      <c r="O137" s="457"/>
      <c r="P137" s="432"/>
      <c r="Q137" s="458"/>
      <c r="R137" s="432"/>
      <c r="S137" s="432"/>
      <c r="T137" s="457"/>
      <c r="U137" s="432"/>
      <c r="V137" s="458"/>
      <c r="W137" s="432"/>
      <c r="X137" s="432"/>
      <c r="Y137" s="457"/>
      <c r="Z137" s="432"/>
      <c r="AA137" s="458"/>
      <c r="AB137" s="459"/>
      <c r="AC137" s="458"/>
    </row>
    <row r="138" spans="2:29" x14ac:dyDescent="0.3">
      <c r="B138" s="16" t="s">
        <v>69</v>
      </c>
      <c r="C138" s="455">
        <f>(AVERAGE(2,2.5))*'Arable Inputs'!$D$8</f>
        <v>11.025</v>
      </c>
      <c r="D138" s="456">
        <f>(AVERAGE(2,4))*'Arable Inputs'!$D$8</f>
        <v>14.700000000000001</v>
      </c>
      <c r="E138" s="481"/>
      <c r="F138" s="432"/>
      <c r="G138" s="458"/>
      <c r="H138" s="432"/>
      <c r="I138" s="432"/>
      <c r="J138" s="457"/>
      <c r="K138" s="432"/>
      <c r="L138" s="458"/>
      <c r="M138" s="432"/>
      <c r="N138" s="432"/>
      <c r="O138" s="457"/>
      <c r="P138" s="432"/>
      <c r="Q138" s="458"/>
      <c r="R138" s="432"/>
      <c r="S138" s="432"/>
      <c r="T138" s="457"/>
      <c r="U138" s="432"/>
      <c r="V138" s="458"/>
      <c r="W138" s="432"/>
      <c r="X138" s="432"/>
      <c r="Y138" s="457"/>
      <c r="Z138" s="432"/>
      <c r="AA138" s="458"/>
      <c r="AB138" s="459"/>
      <c r="AC138" s="458"/>
    </row>
    <row r="139" spans="2:29" x14ac:dyDescent="0.3">
      <c r="B139" s="16" t="s">
        <v>70</v>
      </c>
      <c r="C139" s="455">
        <f>(AVERAGE(2,2.5))*'Arable Inputs'!$D$8</f>
        <v>11.025</v>
      </c>
      <c r="D139" s="456">
        <f>(AVERAGE(2,4))*'Arable Inputs'!$D$8</f>
        <v>14.700000000000001</v>
      </c>
      <c r="E139" s="481"/>
      <c r="F139" s="432"/>
      <c r="G139" s="458"/>
      <c r="H139" s="432"/>
      <c r="I139" s="432"/>
      <c r="J139" s="457"/>
      <c r="K139" s="432"/>
      <c r="L139" s="458"/>
      <c r="M139" s="432"/>
      <c r="N139" s="432"/>
      <c r="O139" s="457"/>
      <c r="P139" s="432"/>
      <c r="Q139" s="458"/>
      <c r="R139" s="432"/>
      <c r="S139" s="432"/>
      <c r="T139" s="457"/>
      <c r="U139" s="432"/>
      <c r="V139" s="458"/>
      <c r="W139" s="432"/>
      <c r="X139" s="432"/>
      <c r="Y139" s="457"/>
      <c r="Z139" s="432"/>
      <c r="AA139" s="458"/>
      <c r="AB139" s="459"/>
      <c r="AC139" s="458"/>
    </row>
    <row r="140" spans="2:29" x14ac:dyDescent="0.3">
      <c r="B140" s="16" t="s">
        <v>242</v>
      </c>
      <c r="C140" s="455">
        <f>(AVERAGE(10,15))*'Arable Inputs'!$D$8</f>
        <v>61.250000000000007</v>
      </c>
      <c r="D140" s="456">
        <f>(AVERAGE(2,4))*'Arable Inputs'!$D$8</f>
        <v>14.700000000000001</v>
      </c>
      <c r="E140" s="481"/>
      <c r="F140" s="425"/>
      <c r="G140" s="432"/>
      <c r="H140" s="77"/>
      <c r="I140" s="432"/>
      <c r="J140" s="457"/>
      <c r="K140" s="425"/>
      <c r="L140" s="432"/>
      <c r="M140" s="77"/>
      <c r="N140" s="432"/>
      <c r="O140" s="457">
        <v>2</v>
      </c>
      <c r="P140" s="508">
        <f>'Arable Inputs'!F19</f>
        <v>5.6</v>
      </c>
      <c r="Q140" s="993">
        <f>IF(P140&gt;=1,CHOOSE(O140,$C140,$D140)*P140)</f>
        <v>82.320000000000007</v>
      </c>
      <c r="R140" s="808">
        <v>1.4</v>
      </c>
      <c r="S140" s="576">
        <f>R140*$C$4</f>
        <v>23.799999999999997</v>
      </c>
      <c r="T140" s="457"/>
      <c r="U140" s="425"/>
      <c r="V140" s="432"/>
      <c r="W140" s="77"/>
      <c r="X140" s="432"/>
      <c r="Y140" s="457"/>
      <c r="Z140" s="425"/>
      <c r="AA140" s="432"/>
      <c r="AB140" s="77"/>
      <c r="AC140" s="458"/>
    </row>
    <row r="141" spans="2:29" x14ac:dyDescent="0.3">
      <c r="B141" s="429" t="s">
        <v>203</v>
      </c>
      <c r="C141" s="466"/>
      <c r="D141" s="466"/>
      <c r="E141" s="467"/>
      <c r="F141" s="427" t="s">
        <v>10</v>
      </c>
      <c r="G141" s="468"/>
      <c r="H141" s="427"/>
      <c r="I141" s="427"/>
      <c r="J141" s="470"/>
      <c r="K141" s="427"/>
      <c r="L141" s="468"/>
      <c r="M141" s="427"/>
      <c r="N141" s="427"/>
      <c r="O141" s="470"/>
      <c r="P141" s="427"/>
      <c r="Q141" s="822">
        <f>SUM(Q137:Q140)</f>
        <v>82.320000000000007</v>
      </c>
      <c r="R141" s="805">
        <f>SUM(R137:R140)</f>
        <v>1.4</v>
      </c>
      <c r="S141" s="834">
        <f>SUM(S137:S140)</f>
        <v>23.799999999999997</v>
      </c>
      <c r="T141" s="470"/>
      <c r="U141" s="427"/>
      <c r="V141" s="468"/>
      <c r="W141" s="427"/>
      <c r="X141" s="427"/>
      <c r="Y141" s="470"/>
      <c r="Z141" s="427"/>
      <c r="AA141" s="468"/>
      <c r="AB141" s="427"/>
      <c r="AC141" s="468"/>
    </row>
    <row r="142" spans="2:29" s="39" customFormat="1" x14ac:dyDescent="0.3">
      <c r="B142" s="178"/>
      <c r="C142" s="466"/>
      <c r="D142" s="466"/>
      <c r="E142" s="466"/>
      <c r="F142" s="427"/>
      <c r="G142" s="427"/>
      <c r="H142" s="427"/>
      <c r="I142" s="427"/>
      <c r="J142" s="427"/>
      <c r="K142" s="427"/>
      <c r="L142" s="427"/>
      <c r="M142" s="427"/>
      <c r="N142" s="427"/>
      <c r="O142" s="427"/>
      <c r="P142" s="427"/>
      <c r="Q142" s="427"/>
      <c r="R142" s="427"/>
      <c r="S142" s="427"/>
      <c r="T142" s="427"/>
      <c r="U142" s="427"/>
      <c r="V142" s="427"/>
      <c r="W142" s="427"/>
      <c r="X142" s="427"/>
      <c r="Y142" s="427"/>
      <c r="Z142" s="427"/>
      <c r="AA142" s="427"/>
      <c r="AB142" s="427"/>
      <c r="AC142" s="468"/>
    </row>
    <row r="143" spans="2:29" x14ac:dyDescent="0.3">
      <c r="B143" s="178"/>
      <c r="C143" s="466"/>
      <c r="D143" s="466"/>
      <c r="E143" s="466"/>
      <c r="F143" s="427"/>
      <c r="G143" s="427"/>
      <c r="H143" s="427"/>
      <c r="I143" s="427"/>
      <c r="J143" s="427"/>
      <c r="K143" s="427"/>
      <c r="L143" s="427"/>
      <c r="M143" s="427"/>
      <c r="N143" s="427"/>
      <c r="O143" s="427"/>
      <c r="P143" s="427"/>
      <c r="Q143" s="427"/>
      <c r="R143" s="427"/>
      <c r="S143" s="427"/>
      <c r="T143" s="427"/>
      <c r="U143" s="427"/>
      <c r="V143" s="427"/>
      <c r="W143" s="427"/>
      <c r="X143" s="427"/>
      <c r="Y143" s="427"/>
      <c r="Z143" s="427"/>
      <c r="AA143" s="427"/>
      <c r="AB143" s="427"/>
      <c r="AC143" s="468"/>
    </row>
    <row r="144" spans="2:29" x14ac:dyDescent="0.3">
      <c r="B144" s="429" t="s">
        <v>186</v>
      </c>
      <c r="C144" s="466"/>
      <c r="D144" s="466"/>
      <c r="E144" s="466"/>
      <c r="F144" s="428"/>
      <c r="G144" s="428"/>
      <c r="H144" s="428"/>
      <c r="I144" s="428"/>
      <c r="J144" s="428"/>
      <c r="K144" s="428"/>
      <c r="L144" s="428"/>
      <c r="M144" s="428"/>
      <c r="N144" s="428"/>
      <c r="O144" s="428"/>
      <c r="P144" s="428"/>
      <c r="Q144" s="428"/>
      <c r="R144" s="428"/>
      <c r="S144" s="428"/>
      <c r="T144" s="428"/>
      <c r="U144" s="428"/>
      <c r="V144" s="428"/>
      <c r="W144" s="428"/>
      <c r="X144" s="428"/>
      <c r="Y144" s="428"/>
      <c r="Z144" s="428"/>
      <c r="AA144" s="428"/>
      <c r="AB144" s="428"/>
      <c r="AC144" s="430"/>
    </row>
    <row r="145" spans="2:29" x14ac:dyDescent="0.3">
      <c r="B145" s="16" t="s">
        <v>188</v>
      </c>
      <c r="C145" s="455">
        <f>39.7*'Arable Inputs'!$D$8</f>
        <v>194.53000000000003</v>
      </c>
      <c r="D145" s="456">
        <f>44.51*'Arable Inputs'!$D$8</f>
        <v>218.09900000000002</v>
      </c>
      <c r="E145" s="481"/>
      <c r="F145" s="473"/>
      <c r="G145" s="474"/>
      <c r="H145" s="432"/>
      <c r="I145" s="432"/>
      <c r="J145" s="457"/>
      <c r="K145" s="473"/>
      <c r="L145" s="474"/>
      <c r="M145" s="432"/>
      <c r="N145" s="432"/>
      <c r="O145" s="457"/>
      <c r="P145" s="473"/>
      <c r="Q145" s="474"/>
      <c r="R145" s="432"/>
      <c r="S145" s="432"/>
      <c r="T145" s="457"/>
      <c r="U145" s="473"/>
      <c r="V145" s="474"/>
      <c r="W145" s="432"/>
      <c r="X145" s="432"/>
      <c r="Y145" s="457"/>
      <c r="Z145" s="473"/>
      <c r="AA145" s="474"/>
      <c r="AB145" s="459"/>
      <c r="AC145" s="458"/>
    </row>
    <row r="146" spans="2:29" x14ac:dyDescent="0.3">
      <c r="B146" s="16" t="s">
        <v>189</v>
      </c>
      <c r="C146" s="455">
        <f>49.56*'Arable Inputs'!$D$8</f>
        <v>242.84400000000002</v>
      </c>
      <c r="D146" s="456">
        <f>53.59*'Arable Inputs'!$D$8</f>
        <v>262.59100000000001</v>
      </c>
      <c r="E146" s="481"/>
      <c r="F146" s="432"/>
      <c r="G146" s="458"/>
      <c r="H146" s="432"/>
      <c r="I146" s="432"/>
      <c r="J146" s="457"/>
      <c r="K146" s="432"/>
      <c r="L146" s="458"/>
      <c r="M146" s="432"/>
      <c r="N146" s="432"/>
      <c r="O146" s="457"/>
      <c r="P146" s="432"/>
      <c r="Q146" s="458"/>
      <c r="R146" s="432"/>
      <c r="S146" s="432"/>
      <c r="T146" s="457"/>
      <c r="U146" s="432"/>
      <c r="V146" s="458"/>
      <c r="W146" s="432"/>
      <c r="X146" s="432"/>
      <c r="Y146" s="457"/>
      <c r="Z146" s="432"/>
      <c r="AA146" s="458"/>
      <c r="AB146" s="459"/>
      <c r="AC146" s="458"/>
    </row>
    <row r="147" spans="2:29" x14ac:dyDescent="0.3">
      <c r="B147" s="16" t="s">
        <v>190</v>
      </c>
      <c r="C147" s="455">
        <f>16.25*'Arable Inputs'!$D$8</f>
        <v>79.625</v>
      </c>
      <c r="D147" s="456" t="s">
        <v>116</v>
      </c>
      <c r="E147" s="481"/>
      <c r="F147" s="432"/>
      <c r="G147" s="458"/>
      <c r="H147" s="432"/>
      <c r="I147" s="432"/>
      <c r="J147" s="457"/>
      <c r="K147" s="432"/>
      <c r="L147" s="458"/>
      <c r="M147" s="432"/>
      <c r="N147" s="432"/>
      <c r="O147" s="457"/>
      <c r="P147" s="432"/>
      <c r="Q147" s="458"/>
      <c r="R147" s="432"/>
      <c r="S147" s="432"/>
      <c r="T147" s="457"/>
      <c r="U147" s="432"/>
      <c r="V147" s="458"/>
      <c r="W147" s="432"/>
      <c r="X147" s="432"/>
      <c r="Y147" s="457"/>
      <c r="Z147" s="432"/>
      <c r="AA147" s="458"/>
      <c r="AB147" s="459"/>
      <c r="AC147" s="458"/>
    </row>
    <row r="148" spans="2:29" x14ac:dyDescent="0.3">
      <c r="B148" s="16" t="s">
        <v>191</v>
      </c>
      <c r="C148" s="455">
        <f>7.18*'Arable Inputs'!$D$8</f>
        <v>35.182000000000002</v>
      </c>
      <c r="D148" s="456" t="s">
        <v>116</v>
      </c>
      <c r="E148" s="481"/>
      <c r="F148" s="432"/>
      <c r="G148" s="458"/>
      <c r="H148" s="432"/>
      <c r="I148" s="432"/>
      <c r="J148" s="457"/>
      <c r="K148" s="432"/>
      <c r="L148" s="458"/>
      <c r="M148" s="432"/>
      <c r="N148" s="432"/>
      <c r="O148" s="457"/>
      <c r="P148" s="432"/>
      <c r="Q148" s="458"/>
      <c r="R148" s="432"/>
      <c r="S148" s="432"/>
      <c r="T148" s="457"/>
      <c r="U148" s="432"/>
      <c r="V148" s="458"/>
      <c r="W148" s="432"/>
      <c r="X148" s="432"/>
      <c r="Y148" s="457"/>
      <c r="Z148" s="432"/>
      <c r="AA148" s="458"/>
      <c r="AB148" s="459"/>
      <c r="AC148" s="458"/>
    </row>
    <row r="149" spans="2:29" x14ac:dyDescent="0.3">
      <c r="B149" s="16" t="s">
        <v>192</v>
      </c>
      <c r="C149" s="455">
        <f>8.74*'Arable Inputs'!$D$8</f>
        <v>42.826000000000008</v>
      </c>
      <c r="D149" s="456" t="s">
        <v>116</v>
      </c>
      <c r="E149" s="481"/>
      <c r="F149" s="432"/>
      <c r="G149" s="458"/>
      <c r="H149" s="432"/>
      <c r="I149" s="432"/>
      <c r="J149" s="457"/>
      <c r="K149" s="432"/>
      <c r="L149" s="458"/>
      <c r="M149" s="432"/>
      <c r="N149" s="432"/>
      <c r="O149" s="457"/>
      <c r="P149" s="432"/>
      <c r="Q149" s="458"/>
      <c r="R149" s="432"/>
      <c r="S149" s="432"/>
      <c r="T149" s="457"/>
      <c r="U149" s="432"/>
      <c r="V149" s="458"/>
      <c r="W149" s="432"/>
      <c r="X149" s="432"/>
      <c r="Y149" s="457"/>
      <c r="Z149" s="432"/>
      <c r="AA149" s="458"/>
      <c r="AB149" s="459"/>
      <c r="AC149" s="458"/>
    </row>
    <row r="150" spans="2:29" x14ac:dyDescent="0.3">
      <c r="B150" s="16" t="s">
        <v>193</v>
      </c>
      <c r="C150" s="455">
        <f>16.25*'Arable Inputs'!$D$8</f>
        <v>79.625</v>
      </c>
      <c r="D150" s="456" t="s">
        <v>116</v>
      </c>
      <c r="E150" s="481"/>
      <c r="F150" s="432"/>
      <c r="G150" s="458"/>
      <c r="H150" s="432"/>
      <c r="I150" s="432"/>
      <c r="J150" s="457"/>
      <c r="K150" s="432"/>
      <c r="L150" s="458"/>
      <c r="M150" s="432"/>
      <c r="N150" s="432"/>
      <c r="O150" s="457"/>
      <c r="P150" s="432"/>
      <c r="Q150" s="458"/>
      <c r="R150" s="432"/>
      <c r="S150" s="432"/>
      <c r="T150" s="457"/>
      <c r="U150" s="432"/>
      <c r="V150" s="458"/>
      <c r="W150" s="432"/>
      <c r="X150" s="432"/>
      <c r="Y150" s="457"/>
      <c r="Z150" s="432"/>
      <c r="AA150" s="458"/>
      <c r="AB150" s="459"/>
      <c r="AC150" s="458"/>
    </row>
    <row r="151" spans="2:29" x14ac:dyDescent="0.3">
      <c r="B151" s="16" t="s">
        <v>187</v>
      </c>
      <c r="C151" s="455" t="s">
        <v>116</v>
      </c>
      <c r="D151" s="456">
        <f>16.1*'Arable Inputs'!$D$8</f>
        <v>78.890000000000015</v>
      </c>
      <c r="E151" s="481"/>
      <c r="F151" s="432"/>
      <c r="G151" s="458"/>
      <c r="H151" s="432"/>
      <c r="I151" s="432"/>
      <c r="J151" s="457"/>
      <c r="K151" s="432"/>
      <c r="L151" s="458"/>
      <c r="M151" s="432"/>
      <c r="N151" s="432"/>
      <c r="O151" s="457"/>
      <c r="P151" s="432"/>
      <c r="Q151" s="458"/>
      <c r="R151" s="432"/>
      <c r="S151" s="432"/>
      <c r="T151" s="457"/>
      <c r="U151" s="432"/>
      <c r="V151" s="458"/>
      <c r="W151" s="432"/>
      <c r="X151" s="432"/>
      <c r="Y151" s="457"/>
      <c r="Z151" s="432"/>
      <c r="AA151" s="458"/>
      <c r="AB151" s="459"/>
      <c r="AC151" s="458"/>
    </row>
    <row r="152" spans="2:29" x14ac:dyDescent="0.3">
      <c r="B152" s="16" t="s">
        <v>194</v>
      </c>
      <c r="C152" s="455">
        <f>40.25*'Arable Inputs'!$D$8</f>
        <v>197.22500000000002</v>
      </c>
      <c r="D152" s="456" t="s">
        <v>116</v>
      </c>
      <c r="E152" s="481"/>
      <c r="F152" s="432"/>
      <c r="G152" s="458"/>
      <c r="H152" s="432"/>
      <c r="I152" s="432"/>
      <c r="J152" s="457"/>
      <c r="K152" s="432"/>
      <c r="L152" s="458"/>
      <c r="M152" s="432"/>
      <c r="N152" s="432"/>
      <c r="O152" s="457"/>
      <c r="P152" s="432"/>
      <c r="Q152" s="458"/>
      <c r="R152" s="432"/>
      <c r="S152" s="432"/>
      <c r="T152" s="457"/>
      <c r="U152" s="432"/>
      <c r="V152" s="458"/>
      <c r="W152" s="432"/>
      <c r="X152" s="432"/>
      <c r="Y152" s="457"/>
      <c r="Z152" s="432"/>
      <c r="AA152" s="458"/>
      <c r="AB152" s="459"/>
      <c r="AC152" s="458"/>
    </row>
    <row r="153" spans="2:29" x14ac:dyDescent="0.3">
      <c r="B153" s="16" t="s">
        <v>195</v>
      </c>
      <c r="C153" s="455">
        <f>36.74*'Arable Inputs'!$D$8</f>
        <v>180.02600000000001</v>
      </c>
      <c r="D153" s="456" t="s">
        <v>116</v>
      </c>
      <c r="E153" s="481"/>
      <c r="F153" s="432"/>
      <c r="G153" s="458"/>
      <c r="H153" s="432"/>
      <c r="I153" s="432"/>
      <c r="J153" s="457"/>
      <c r="K153" s="432"/>
      <c r="L153" s="458"/>
      <c r="M153" s="432"/>
      <c r="N153" s="432"/>
      <c r="O153" s="457"/>
      <c r="P153" s="432"/>
      <c r="Q153" s="458"/>
      <c r="R153" s="432"/>
      <c r="S153" s="432"/>
      <c r="T153" s="457"/>
      <c r="U153" s="432"/>
      <c r="V153" s="458"/>
      <c r="W153" s="432"/>
      <c r="X153" s="432"/>
      <c r="Y153" s="457"/>
      <c r="Z153" s="432"/>
      <c r="AA153" s="458"/>
      <c r="AB153" s="459"/>
      <c r="AC153" s="458"/>
    </row>
    <row r="154" spans="2:29" x14ac:dyDescent="0.3">
      <c r="B154" s="16" t="s">
        <v>196</v>
      </c>
      <c r="C154" s="455">
        <f>42.05*'Arable Inputs'!$D$8</f>
        <v>206.04499999999999</v>
      </c>
      <c r="D154" s="456">
        <f>35.63*'Arable Inputs'!$D$8</f>
        <v>174.58700000000002</v>
      </c>
      <c r="E154" s="481"/>
      <c r="F154" s="432"/>
      <c r="G154" s="458"/>
      <c r="H154" s="432"/>
      <c r="I154" s="432"/>
      <c r="J154" s="457"/>
      <c r="K154" s="432"/>
      <c r="L154" s="458"/>
      <c r="M154" s="432"/>
      <c r="N154" s="432"/>
      <c r="O154" s="457"/>
      <c r="P154" s="432"/>
      <c r="Q154" s="458"/>
      <c r="R154" s="432"/>
      <c r="S154" s="432"/>
      <c r="T154" s="457"/>
      <c r="U154" s="432"/>
      <c r="V154" s="458"/>
      <c r="W154" s="432"/>
      <c r="X154" s="432"/>
      <c r="Y154" s="457"/>
      <c r="Z154" s="432"/>
      <c r="AA154" s="458"/>
      <c r="AB154" s="459"/>
      <c r="AC154" s="458"/>
    </row>
    <row r="155" spans="2:29" x14ac:dyDescent="0.3">
      <c r="B155" s="16" t="s">
        <v>197</v>
      </c>
      <c r="C155" s="455">
        <f>37.29*'Arable Inputs'!$D$8</f>
        <v>182.721</v>
      </c>
      <c r="D155" s="456" t="s">
        <v>116</v>
      </c>
      <c r="E155" s="481"/>
      <c r="F155" s="432"/>
      <c r="G155" s="458"/>
      <c r="H155" s="432"/>
      <c r="I155" s="432"/>
      <c r="J155" s="457"/>
      <c r="K155" s="432"/>
      <c r="L155" s="458"/>
      <c r="M155" s="432"/>
      <c r="N155" s="432"/>
      <c r="O155" s="457"/>
      <c r="P155" s="432"/>
      <c r="Q155" s="458"/>
      <c r="R155" s="432"/>
      <c r="S155" s="432"/>
      <c r="T155" s="457"/>
      <c r="U155" s="432"/>
      <c r="V155" s="458"/>
      <c r="W155" s="432"/>
      <c r="X155" s="432"/>
      <c r="Y155" s="457"/>
      <c r="Z155" s="432"/>
      <c r="AA155" s="458"/>
      <c r="AB155" s="459"/>
      <c r="AC155" s="458"/>
    </row>
    <row r="156" spans="2:29" x14ac:dyDescent="0.3">
      <c r="B156" s="16" t="s">
        <v>198</v>
      </c>
      <c r="C156" s="455">
        <f>39.1*'Arable Inputs'!$D$8</f>
        <v>191.59000000000003</v>
      </c>
      <c r="D156" s="456" t="s">
        <v>116</v>
      </c>
      <c r="E156" s="481"/>
      <c r="F156" s="432"/>
      <c r="G156" s="458"/>
      <c r="H156" s="432"/>
      <c r="I156" s="432"/>
      <c r="J156" s="457"/>
      <c r="K156" s="432"/>
      <c r="L156" s="458"/>
      <c r="M156" s="432"/>
      <c r="N156" s="432"/>
      <c r="O156" s="457"/>
      <c r="P156" s="432"/>
      <c r="Q156" s="458"/>
      <c r="R156" s="432"/>
      <c r="S156" s="432"/>
      <c r="T156" s="457"/>
      <c r="U156" s="432"/>
      <c r="V156" s="458"/>
      <c r="W156" s="432"/>
      <c r="X156" s="432"/>
      <c r="Y156" s="457"/>
      <c r="Z156" s="432"/>
      <c r="AA156" s="458"/>
      <c r="AB156" s="459"/>
      <c r="AC156" s="458"/>
    </row>
    <row r="157" spans="2:29" x14ac:dyDescent="0.3">
      <c r="B157" s="16" t="s">
        <v>199</v>
      </c>
      <c r="C157" s="455">
        <f>44.63*'Arable Inputs'!$D$8</f>
        <v>218.68700000000004</v>
      </c>
      <c r="D157" s="456" t="s">
        <v>116</v>
      </c>
      <c r="E157" s="481"/>
      <c r="F157" s="432"/>
      <c r="G157" s="458"/>
      <c r="H157" s="432"/>
      <c r="I157" s="432"/>
      <c r="J157" s="457"/>
      <c r="K157" s="432"/>
      <c r="L157" s="458"/>
      <c r="M157" s="432"/>
      <c r="N157" s="432"/>
      <c r="O157" s="457"/>
      <c r="P157" s="432"/>
      <c r="Q157" s="458"/>
      <c r="R157" s="432"/>
      <c r="S157" s="432"/>
      <c r="T157" s="457"/>
      <c r="U157" s="432"/>
      <c r="V157" s="458"/>
      <c r="W157" s="432"/>
      <c r="X157" s="432"/>
      <c r="Y157" s="457"/>
      <c r="Z157" s="432"/>
      <c r="AA157" s="458"/>
      <c r="AB157" s="459"/>
      <c r="AC157" s="458"/>
    </row>
    <row r="158" spans="2:29" x14ac:dyDescent="0.3">
      <c r="B158" s="16" t="s">
        <v>200</v>
      </c>
      <c r="C158" s="455">
        <f>69*'Arable Inputs'!$D$8</f>
        <v>338.1</v>
      </c>
      <c r="D158" s="456" t="s">
        <v>116</v>
      </c>
      <c r="E158" s="481"/>
      <c r="F158" s="432"/>
      <c r="G158" s="458"/>
      <c r="H158" s="432"/>
      <c r="I158" s="432"/>
      <c r="J158" s="457"/>
      <c r="K158" s="432"/>
      <c r="L158" s="458"/>
      <c r="M158" s="432"/>
      <c r="N158" s="432"/>
      <c r="O158" s="457"/>
      <c r="P158" s="432"/>
      <c r="Q158" s="458"/>
      <c r="R158" s="432"/>
      <c r="S158" s="432"/>
      <c r="T158" s="457"/>
      <c r="U158" s="432"/>
      <c r="V158" s="458"/>
      <c r="W158" s="432"/>
      <c r="X158" s="432"/>
      <c r="Y158" s="457"/>
      <c r="Z158" s="432"/>
      <c r="AA158" s="458"/>
      <c r="AB158" s="459"/>
      <c r="AC158" s="458"/>
    </row>
    <row r="159" spans="2:29" x14ac:dyDescent="0.3">
      <c r="B159" s="16" t="s">
        <v>201</v>
      </c>
      <c r="C159" s="455">
        <f>38.54*'Arable Inputs'!$D$8</f>
        <v>188.846</v>
      </c>
      <c r="D159" s="456">
        <f>37.13*'Arable Inputs'!$D$8</f>
        <v>181.93700000000001</v>
      </c>
      <c r="E159" s="481"/>
      <c r="F159" s="425"/>
      <c r="G159" s="458"/>
      <c r="H159" s="425"/>
      <c r="I159" s="432"/>
      <c r="J159" s="457"/>
      <c r="K159" s="425"/>
      <c r="L159" s="458"/>
      <c r="M159" s="425"/>
      <c r="N159" s="432"/>
      <c r="O159" s="457"/>
      <c r="P159" s="425"/>
      <c r="Q159" s="458"/>
      <c r="R159" s="425"/>
      <c r="S159" s="432"/>
      <c r="T159" s="457"/>
      <c r="U159" s="425"/>
      <c r="V159" s="458"/>
      <c r="W159" s="425"/>
      <c r="X159" s="432"/>
      <c r="Y159" s="457"/>
      <c r="Z159" s="425"/>
      <c r="AA159" s="458"/>
      <c r="AB159" s="425"/>
      <c r="AC159" s="458"/>
    </row>
    <row r="160" spans="2:29" x14ac:dyDescent="0.3">
      <c r="B160" s="429" t="s">
        <v>202</v>
      </c>
      <c r="C160" s="466"/>
      <c r="D160" s="466"/>
      <c r="E160" s="467"/>
      <c r="F160" s="427" t="s">
        <v>10</v>
      </c>
      <c r="G160" s="468"/>
      <c r="H160" s="427"/>
      <c r="I160" s="427"/>
      <c r="J160" s="470"/>
      <c r="K160" s="427"/>
      <c r="L160" s="468"/>
      <c r="M160" s="427"/>
      <c r="N160" s="427"/>
      <c r="O160" s="470"/>
      <c r="P160" s="427"/>
      <c r="Q160" s="468"/>
      <c r="R160" s="427"/>
      <c r="S160" s="427"/>
      <c r="T160" s="470"/>
      <c r="U160" s="427"/>
      <c r="V160" s="468"/>
      <c r="W160" s="427"/>
      <c r="X160" s="427"/>
      <c r="Y160" s="470"/>
      <c r="Z160" s="427"/>
      <c r="AA160" s="468"/>
      <c r="AB160" s="427"/>
      <c r="AC160" s="468"/>
    </row>
    <row r="161" spans="2:29" x14ac:dyDescent="0.3">
      <c r="B161" s="366"/>
      <c r="C161" s="366"/>
      <c r="D161" s="366"/>
      <c r="E161" s="366"/>
      <c r="F161" s="366"/>
      <c r="G161" s="366"/>
      <c r="H161" s="366"/>
      <c r="I161" s="366"/>
      <c r="J161" s="366"/>
      <c r="K161" s="366"/>
      <c r="L161" s="366"/>
      <c r="M161" s="366"/>
      <c r="N161" s="366"/>
      <c r="O161" s="366"/>
      <c r="P161" s="366"/>
      <c r="Q161" s="366"/>
      <c r="R161" s="366"/>
      <c r="S161" s="366"/>
      <c r="T161" s="366"/>
      <c r="U161" s="366"/>
      <c r="V161" s="366"/>
      <c r="W161" s="366"/>
      <c r="X161" s="366"/>
      <c r="Y161" s="366"/>
      <c r="Z161" s="366"/>
      <c r="AA161" s="366"/>
      <c r="AB161" s="366"/>
      <c r="AC161" s="366"/>
    </row>
    <row r="162" spans="2:29" x14ac:dyDescent="0.3">
      <c r="B162" s="366"/>
      <c r="C162" s="366"/>
      <c r="D162" s="366"/>
      <c r="E162" s="366"/>
      <c r="F162" s="366"/>
      <c r="G162" s="366"/>
      <c r="H162" s="366"/>
      <c r="I162" s="366"/>
      <c r="J162" s="366"/>
      <c r="K162" s="366"/>
      <c r="L162" s="366"/>
      <c r="M162" s="366"/>
      <c r="N162" s="366"/>
      <c r="O162" s="366"/>
      <c r="P162" s="366"/>
      <c r="Q162" s="366"/>
      <c r="R162" s="366"/>
      <c r="S162" s="366"/>
      <c r="T162" s="366"/>
      <c r="U162" s="366"/>
      <c r="V162" s="366"/>
      <c r="W162" s="366"/>
      <c r="X162" s="366"/>
      <c r="Y162" s="366"/>
      <c r="Z162" s="366"/>
      <c r="AA162" s="366"/>
      <c r="AB162" s="366"/>
      <c r="AC162" s="366"/>
    </row>
    <row r="163" spans="2:29" x14ac:dyDescent="0.3">
      <c r="B163" s="366"/>
      <c r="C163" s="366"/>
      <c r="D163" s="366"/>
      <c r="E163" s="366"/>
      <c r="F163" s="366"/>
      <c r="G163" s="366"/>
      <c r="H163" s="366"/>
      <c r="I163" s="491"/>
      <c r="J163" s="491"/>
      <c r="K163" s="366"/>
      <c r="L163" s="366"/>
      <c r="M163" s="366"/>
      <c r="N163" s="366"/>
      <c r="O163" s="366"/>
      <c r="P163" s="366"/>
      <c r="Q163" s="366"/>
      <c r="R163" s="366"/>
      <c r="S163" s="366"/>
      <c r="T163" s="366"/>
      <c r="U163" s="366"/>
      <c r="V163" s="366"/>
      <c r="W163" s="366"/>
      <c r="X163" s="366"/>
      <c r="Y163" s="366"/>
      <c r="Z163" s="366"/>
      <c r="AA163" s="366"/>
      <c r="AB163" s="366"/>
      <c r="AC163" s="366"/>
    </row>
    <row r="164" spans="2:29" x14ac:dyDescent="0.3">
      <c r="B164" s="366"/>
      <c r="C164" s="366"/>
      <c r="D164" s="366"/>
      <c r="E164" s="366"/>
      <c r="F164" s="366"/>
      <c r="G164" s="366"/>
      <c r="H164" s="366"/>
      <c r="I164" s="366"/>
      <c r="J164" s="366"/>
      <c r="K164" s="366"/>
      <c r="L164" s="366"/>
      <c r="M164" s="366"/>
      <c r="N164" s="366"/>
      <c r="O164" s="366"/>
      <c r="P164" s="366"/>
      <c r="Q164" s="366"/>
      <c r="R164" s="366"/>
      <c r="S164" s="366"/>
      <c r="T164" s="366"/>
      <c r="U164" s="366"/>
      <c r="V164" s="366"/>
      <c r="W164" s="366"/>
      <c r="X164" s="366"/>
      <c r="Y164" s="366"/>
      <c r="Z164" s="366"/>
      <c r="AA164" s="366"/>
      <c r="AB164" s="366"/>
      <c r="AC164" s="366"/>
    </row>
    <row r="165" spans="2:29" x14ac:dyDescent="0.3">
      <c r="B165" s="366"/>
      <c r="C165" s="366"/>
      <c r="D165" s="366"/>
      <c r="E165" s="366"/>
      <c r="F165" s="366"/>
      <c r="G165" s="366"/>
      <c r="H165" s="366"/>
      <c r="I165" s="366"/>
      <c r="J165" s="366"/>
      <c r="K165" s="366"/>
      <c r="L165" s="366"/>
      <c r="M165" s="366"/>
      <c r="N165" s="366"/>
      <c r="O165" s="366"/>
      <c r="P165" s="366"/>
      <c r="Q165" s="366"/>
      <c r="R165" s="366"/>
      <c r="S165" s="366"/>
      <c r="T165" s="366"/>
      <c r="U165" s="366"/>
      <c r="V165" s="366"/>
      <c r="W165" s="366"/>
      <c r="X165" s="366"/>
      <c r="Y165" s="366"/>
      <c r="Z165" s="366"/>
      <c r="AA165" s="366"/>
      <c r="AB165" s="366"/>
      <c r="AC165" s="366"/>
    </row>
    <row r="166" spans="2:29" x14ac:dyDescent="0.3">
      <c r="B166" s="366"/>
      <c r="C166" s="366"/>
      <c r="D166" s="366"/>
      <c r="E166" s="366"/>
      <c r="F166" s="366"/>
      <c r="G166" s="366"/>
      <c r="H166" s="366"/>
      <c r="I166" s="366"/>
      <c r="J166" s="366"/>
      <c r="K166" s="366"/>
      <c r="L166" s="366"/>
      <c r="M166" s="366"/>
      <c r="N166" s="366"/>
      <c r="O166" s="366"/>
      <c r="P166" s="366"/>
      <c r="Q166" s="366"/>
      <c r="R166" s="366"/>
      <c r="S166" s="366"/>
      <c r="T166" s="366"/>
      <c r="U166" s="366"/>
      <c r="V166" s="366"/>
      <c r="W166" s="366"/>
      <c r="X166" s="366"/>
      <c r="Y166" s="366"/>
      <c r="Z166" s="366"/>
      <c r="AA166" s="366"/>
      <c r="AB166" s="366"/>
      <c r="AC166" s="366"/>
    </row>
    <row r="167" spans="2:29" x14ac:dyDescent="0.3">
      <c r="B167" s="366"/>
      <c r="C167" s="366"/>
      <c r="D167" s="366"/>
      <c r="E167" s="366"/>
      <c r="F167" s="366"/>
      <c r="G167" s="366"/>
      <c r="H167" s="366"/>
      <c r="I167" s="366"/>
      <c r="J167" s="366"/>
      <c r="K167" s="366"/>
      <c r="L167" s="366"/>
      <c r="M167" s="366"/>
      <c r="N167" s="366"/>
      <c r="O167" s="366"/>
      <c r="P167" s="366"/>
      <c r="Q167" s="366"/>
      <c r="R167" s="366"/>
      <c r="S167" s="366"/>
      <c r="T167" s="366"/>
      <c r="U167" s="366"/>
      <c r="V167" s="366"/>
      <c r="W167" s="366"/>
      <c r="X167" s="366"/>
      <c r="Y167" s="366"/>
      <c r="Z167" s="366"/>
      <c r="AA167" s="366"/>
      <c r="AB167" s="366"/>
      <c r="AC167" s="366"/>
    </row>
    <row r="168" spans="2:29" x14ac:dyDescent="0.3">
      <c r="B168" s="509" t="s">
        <v>28</v>
      </c>
      <c r="C168" s="366"/>
      <c r="D168" s="366"/>
      <c r="E168" s="366"/>
      <c r="F168" s="366"/>
      <c r="G168" s="366"/>
      <c r="H168" s="366"/>
      <c r="I168" s="366"/>
      <c r="J168" s="366"/>
      <c r="K168" s="366"/>
      <c r="L168" s="366"/>
      <c r="M168" s="366"/>
      <c r="N168" s="366"/>
      <c r="O168" s="366"/>
      <c r="P168" s="366"/>
      <c r="Q168" s="366"/>
      <c r="R168" s="366"/>
      <c r="S168" s="366"/>
      <c r="T168" s="366"/>
      <c r="U168" s="366"/>
      <c r="V168" s="366"/>
      <c r="W168" s="366"/>
      <c r="X168" s="366"/>
      <c r="Y168" s="366"/>
      <c r="Z168" s="366"/>
      <c r="AA168" s="366"/>
      <c r="AB168" s="366"/>
      <c r="AC168" s="366"/>
    </row>
    <row r="169" spans="2:29" x14ac:dyDescent="0.3">
      <c r="B169" s="74"/>
      <c r="C169" s="19"/>
      <c r="D169" s="20"/>
      <c r="E169" s="20"/>
      <c r="F169" s="510"/>
      <c r="G169" s="510"/>
      <c r="H169" s="510"/>
      <c r="I169" s="510"/>
      <c r="J169" s="510"/>
      <c r="K169" s="510"/>
      <c r="L169" s="366"/>
      <c r="M169" s="366"/>
      <c r="N169" s="366"/>
      <c r="O169" s="366"/>
      <c r="P169" s="366"/>
      <c r="Q169" s="366"/>
      <c r="R169" s="366"/>
      <c r="S169" s="366"/>
      <c r="T169" s="366"/>
      <c r="U169" s="366"/>
      <c r="V169" s="366"/>
      <c r="W169" s="366"/>
      <c r="X169" s="366"/>
      <c r="Y169" s="366"/>
      <c r="Z169" s="366"/>
      <c r="AA169" s="366"/>
      <c r="AB169" s="366"/>
      <c r="AC169" s="366"/>
    </row>
    <row r="170" spans="2:29" x14ac:dyDescent="0.3">
      <c r="B170" s="424"/>
      <c r="C170" s="423"/>
      <c r="D170" s="423"/>
      <c r="E170" s="423"/>
      <c r="F170" s="511" t="s">
        <v>4</v>
      </c>
      <c r="G170" s="511" t="s">
        <v>647</v>
      </c>
      <c r="H170" s="511" t="s">
        <v>5</v>
      </c>
      <c r="I170" s="511" t="s">
        <v>6</v>
      </c>
      <c r="J170" s="512"/>
      <c r="K170" s="512" t="s">
        <v>258</v>
      </c>
      <c r="L170" s="366"/>
      <c r="M170" s="366"/>
      <c r="N170" s="366"/>
      <c r="O170" s="366"/>
      <c r="P170" s="366"/>
      <c r="Q170" s="366"/>
      <c r="R170" s="366"/>
      <c r="S170" s="366"/>
      <c r="T170" s="366"/>
      <c r="U170" s="366"/>
      <c r="V170" s="366"/>
      <c r="W170" s="366"/>
      <c r="X170" s="366"/>
      <c r="Y170" s="366"/>
      <c r="Z170" s="366"/>
      <c r="AA170" s="366"/>
      <c r="AB170" s="366"/>
      <c r="AC170" s="366"/>
    </row>
    <row r="171" spans="2:29" x14ac:dyDescent="0.3">
      <c r="B171" s="76" t="s">
        <v>20</v>
      </c>
      <c r="C171" s="81" t="s">
        <v>30</v>
      </c>
      <c r="D171" s="83" t="s">
        <v>571</v>
      </c>
      <c r="E171" s="79"/>
      <c r="F171" s="803">
        <f>G35</f>
        <v>582.31600000000014</v>
      </c>
      <c r="G171" s="803">
        <f>L35</f>
        <v>582.31600000000014</v>
      </c>
      <c r="H171" s="803">
        <f>Q35</f>
        <v>226.42900000000003</v>
      </c>
      <c r="I171" s="803">
        <f>V35</f>
        <v>546.54600000000005</v>
      </c>
      <c r="J171" s="803"/>
      <c r="K171" s="803">
        <f>AA35</f>
        <v>582.31600000000014</v>
      </c>
      <c r="L171" s="366"/>
      <c r="M171" s="366"/>
      <c r="N171" s="366"/>
      <c r="O171" s="366"/>
      <c r="P171" s="366"/>
      <c r="Q171" s="366"/>
      <c r="R171" s="366"/>
      <c r="S171" s="366"/>
      <c r="T171" s="366"/>
      <c r="U171" s="366"/>
      <c r="V171" s="366"/>
      <c r="W171" s="366"/>
      <c r="X171" s="366"/>
      <c r="Y171" s="366"/>
      <c r="Z171" s="366"/>
      <c r="AA171" s="366"/>
      <c r="AB171" s="366"/>
      <c r="AC171" s="366"/>
    </row>
    <row r="172" spans="2:29" x14ac:dyDescent="0.3">
      <c r="B172" s="9"/>
      <c r="C172" s="32" t="s">
        <v>31</v>
      </c>
      <c r="D172" s="79" t="s">
        <v>571</v>
      </c>
      <c r="E172" s="79"/>
      <c r="F172" s="803">
        <f>G48</f>
        <v>1259.7704000000001</v>
      </c>
      <c r="G172" s="803">
        <f>L48</f>
        <v>944.82780000000002</v>
      </c>
      <c r="H172" s="803">
        <f>Q48</f>
        <v>314.94260000000003</v>
      </c>
      <c r="I172" s="803">
        <f>V48</f>
        <v>629.88520000000005</v>
      </c>
      <c r="J172" s="803"/>
      <c r="K172" s="803">
        <f>AA48</f>
        <v>1259.7704000000001</v>
      </c>
      <c r="L172" s="366"/>
      <c r="M172" s="366"/>
      <c r="N172" s="366"/>
      <c r="O172" s="366"/>
      <c r="P172" s="366"/>
      <c r="Q172" s="366"/>
      <c r="R172" s="366"/>
      <c r="S172" s="366"/>
      <c r="T172" s="366"/>
      <c r="U172" s="366"/>
      <c r="V172" s="366"/>
      <c r="W172" s="366"/>
      <c r="X172" s="366"/>
      <c r="Y172" s="366"/>
      <c r="Z172" s="366"/>
      <c r="AA172" s="366"/>
      <c r="AB172" s="366"/>
      <c r="AC172" s="366"/>
    </row>
    <row r="173" spans="2:29" x14ac:dyDescent="0.3">
      <c r="B173" s="9"/>
      <c r="C173" s="32" t="s">
        <v>130</v>
      </c>
      <c r="D173" s="79" t="s">
        <v>571</v>
      </c>
      <c r="E173" s="79"/>
      <c r="F173" s="513">
        <f>G53</f>
        <v>0</v>
      </c>
      <c r="G173" s="513">
        <f>L53</f>
        <v>0</v>
      </c>
      <c r="H173" s="513">
        <f>Q53</f>
        <v>0</v>
      </c>
      <c r="I173" s="513">
        <f>V53</f>
        <v>0</v>
      </c>
      <c r="J173" s="513"/>
      <c r="K173" s="513">
        <f>AA53</f>
        <v>0</v>
      </c>
      <c r="L173" s="366"/>
      <c r="M173" s="366"/>
      <c r="N173" s="366"/>
      <c r="O173" s="366"/>
      <c r="P173" s="366"/>
      <c r="Q173" s="366"/>
      <c r="R173" s="366"/>
      <c r="S173" s="366"/>
      <c r="T173" s="366"/>
      <c r="U173" s="366"/>
      <c r="V173" s="366"/>
      <c r="W173" s="366"/>
      <c r="X173" s="366"/>
      <c r="Y173" s="366"/>
      <c r="Z173" s="366"/>
      <c r="AA173" s="366"/>
      <c r="AB173" s="366"/>
      <c r="AC173" s="366"/>
    </row>
    <row r="174" spans="2:29" x14ac:dyDescent="0.3">
      <c r="B174" s="10"/>
      <c r="C174" s="32" t="s">
        <v>32</v>
      </c>
      <c r="D174" s="79" t="s">
        <v>571</v>
      </c>
      <c r="E174" s="79"/>
      <c r="F174" s="803">
        <f>G71</f>
        <v>132.49600000000001</v>
      </c>
      <c r="G174" s="803">
        <f>L71</f>
        <v>132.49600000000001</v>
      </c>
      <c r="H174" s="803">
        <f>Q71</f>
        <v>281.65199999999999</v>
      </c>
      <c r="I174" s="803">
        <f>V71</f>
        <v>280.084</v>
      </c>
      <c r="J174" s="803"/>
      <c r="K174" s="803">
        <f>AA71</f>
        <v>220.50000000000003</v>
      </c>
      <c r="L174" s="366"/>
      <c r="M174" s="366"/>
      <c r="N174" s="366"/>
      <c r="O174" s="366"/>
      <c r="P174" s="366"/>
      <c r="Q174" s="366"/>
      <c r="R174" s="366"/>
      <c r="S174" s="366"/>
      <c r="T174" s="366"/>
      <c r="U174" s="366"/>
      <c r="V174" s="366"/>
      <c r="W174" s="366"/>
      <c r="X174" s="366"/>
      <c r="Y174" s="366"/>
      <c r="Z174" s="366"/>
      <c r="AA174" s="366"/>
      <c r="AB174" s="366"/>
      <c r="AC174" s="366"/>
    </row>
    <row r="175" spans="2:29" x14ac:dyDescent="0.3">
      <c r="B175" s="10"/>
      <c r="C175" s="33" t="s">
        <v>33</v>
      </c>
      <c r="D175" s="79" t="s">
        <v>571</v>
      </c>
      <c r="E175" s="79"/>
      <c r="F175" s="803">
        <f>G81</f>
        <v>245.04900000000004</v>
      </c>
      <c r="G175" s="803">
        <f>L81</f>
        <v>195.65700000000001</v>
      </c>
      <c r="H175" s="803">
        <f>Q81</f>
        <v>246.96</v>
      </c>
      <c r="I175" s="803">
        <f>V81</f>
        <v>98.784000000000006</v>
      </c>
      <c r="J175" s="803"/>
      <c r="K175" s="803">
        <f>AA81</f>
        <v>148.17600000000002</v>
      </c>
      <c r="L175" s="366"/>
      <c r="M175" s="366"/>
      <c r="N175" s="366"/>
      <c r="O175" s="366"/>
      <c r="P175" s="366"/>
      <c r="Q175" s="366"/>
      <c r="R175" s="366"/>
      <c r="S175" s="366"/>
      <c r="T175" s="366"/>
      <c r="U175" s="366"/>
      <c r="V175" s="366"/>
      <c r="W175" s="366"/>
      <c r="X175" s="366"/>
      <c r="Y175" s="366"/>
      <c r="Z175" s="366"/>
      <c r="AA175" s="366"/>
      <c r="AB175" s="366"/>
      <c r="AC175" s="366"/>
    </row>
    <row r="176" spans="2:29" x14ac:dyDescent="0.3">
      <c r="B176" s="10"/>
      <c r="C176" s="33" t="s">
        <v>180</v>
      </c>
      <c r="D176" s="79" t="s">
        <v>571</v>
      </c>
      <c r="E176" s="79"/>
      <c r="F176" s="803">
        <f>G105</f>
        <v>1139.8380000000002</v>
      </c>
      <c r="G176" s="803">
        <f>L105</f>
        <v>1139.8380000000002</v>
      </c>
      <c r="H176" s="803">
        <f>Q105</f>
        <v>616.077</v>
      </c>
      <c r="I176" s="803">
        <f>V105</f>
        <v>1361.5140000000001</v>
      </c>
      <c r="J176" s="803"/>
      <c r="K176" s="803">
        <f>AA105</f>
        <v>857.50000000000011</v>
      </c>
      <c r="L176" s="366"/>
      <c r="M176" s="366"/>
      <c r="N176" s="366"/>
      <c r="O176" s="366"/>
      <c r="P176" s="366"/>
      <c r="Q176" s="366"/>
      <c r="R176" s="366"/>
      <c r="S176" s="366"/>
      <c r="T176" s="366"/>
      <c r="U176" s="366"/>
      <c r="V176" s="366"/>
      <c r="W176" s="366"/>
      <c r="X176" s="366"/>
      <c r="Y176" s="366"/>
      <c r="Z176" s="366"/>
      <c r="AA176" s="366"/>
      <c r="AB176" s="366"/>
      <c r="AC176" s="366"/>
    </row>
    <row r="177" spans="2:29" ht="30" x14ac:dyDescent="0.3">
      <c r="B177" s="10"/>
      <c r="C177" s="33" t="s">
        <v>207</v>
      </c>
      <c r="D177" s="79" t="s">
        <v>571</v>
      </c>
      <c r="E177" s="79"/>
      <c r="F177" s="513">
        <f>G116</f>
        <v>0</v>
      </c>
      <c r="G177" s="513">
        <f>L116</f>
        <v>0</v>
      </c>
      <c r="H177" s="513">
        <f>Q116</f>
        <v>0</v>
      </c>
      <c r="I177" s="513">
        <f>V116</f>
        <v>0</v>
      </c>
      <c r="J177" s="513"/>
      <c r="K177" s="513">
        <f>AA116</f>
        <v>0</v>
      </c>
      <c r="L177" s="366"/>
      <c r="M177" s="366"/>
      <c r="N177" s="366"/>
      <c r="O177" s="366"/>
      <c r="P177" s="366"/>
      <c r="Q177" s="366"/>
      <c r="R177" s="366"/>
      <c r="S177" s="366"/>
      <c r="T177" s="366"/>
      <c r="U177" s="366"/>
      <c r="V177" s="366"/>
      <c r="W177" s="366"/>
      <c r="X177" s="366"/>
      <c r="Y177" s="366"/>
      <c r="Z177" s="366"/>
      <c r="AA177" s="366"/>
      <c r="AB177" s="366"/>
      <c r="AC177" s="366"/>
    </row>
    <row r="178" spans="2:29" x14ac:dyDescent="0.3">
      <c r="B178" s="10"/>
      <c r="C178" s="32" t="s">
        <v>153</v>
      </c>
      <c r="D178" s="79" t="s">
        <v>571</v>
      </c>
      <c r="E178" s="79"/>
      <c r="F178" s="803">
        <f>G134</f>
        <v>328.93700000000001</v>
      </c>
      <c r="G178" s="803">
        <f>L134</f>
        <v>273.81200000000001</v>
      </c>
      <c r="H178" s="803">
        <f>Q134</f>
        <v>350.98700000000002</v>
      </c>
      <c r="I178" s="803">
        <f>V134</f>
        <v>0</v>
      </c>
      <c r="J178" s="803"/>
      <c r="K178" s="803">
        <f>AA134</f>
        <v>0</v>
      </c>
      <c r="L178" s="366"/>
      <c r="M178" s="366"/>
      <c r="N178" s="366"/>
      <c r="O178" s="366"/>
      <c r="P178" s="366"/>
      <c r="Q178" s="366"/>
      <c r="R178" s="366"/>
      <c r="S178" s="366"/>
      <c r="T178" s="366"/>
      <c r="U178" s="366"/>
      <c r="V178" s="366"/>
      <c r="W178" s="366"/>
      <c r="X178" s="366"/>
      <c r="Y178" s="366"/>
      <c r="Z178" s="366"/>
      <c r="AA178" s="366"/>
      <c r="AB178" s="366"/>
      <c r="AC178" s="366"/>
    </row>
    <row r="179" spans="2:29" x14ac:dyDescent="0.3">
      <c r="B179" s="10"/>
      <c r="C179" s="32" t="s">
        <v>97</v>
      </c>
      <c r="D179" s="79" t="s">
        <v>571</v>
      </c>
      <c r="E179" s="79"/>
      <c r="F179" s="513">
        <f>G141</f>
        <v>0</v>
      </c>
      <c r="G179" s="513">
        <f>L141</f>
        <v>0</v>
      </c>
      <c r="H179" s="513">
        <f>Q141</f>
        <v>82.320000000000007</v>
      </c>
      <c r="I179" s="513">
        <f>V141</f>
        <v>0</v>
      </c>
      <c r="J179" s="513"/>
      <c r="K179" s="513">
        <f>AA141</f>
        <v>0</v>
      </c>
      <c r="L179" s="366"/>
      <c r="M179" s="366"/>
      <c r="N179" s="366"/>
      <c r="O179" s="366"/>
      <c r="P179" s="366"/>
      <c r="Q179" s="366"/>
      <c r="R179" s="366"/>
      <c r="S179" s="366"/>
      <c r="T179" s="366"/>
      <c r="U179" s="366"/>
      <c r="V179" s="366"/>
      <c r="W179" s="366"/>
      <c r="X179" s="366"/>
      <c r="Y179" s="366"/>
      <c r="Z179" s="366"/>
      <c r="AA179" s="366"/>
      <c r="AB179" s="366"/>
      <c r="AC179" s="366"/>
    </row>
    <row r="180" spans="2:29" ht="20" x14ac:dyDescent="0.3">
      <c r="B180" s="22"/>
      <c r="C180" s="82" t="s">
        <v>208</v>
      </c>
      <c r="D180" s="80" t="s">
        <v>571</v>
      </c>
      <c r="E180" s="79"/>
      <c r="F180" s="513">
        <f>G160</f>
        <v>0</v>
      </c>
      <c r="G180" s="513">
        <f>L160</f>
        <v>0</v>
      </c>
      <c r="H180" s="513">
        <f>Q160</f>
        <v>0</v>
      </c>
      <c r="I180" s="513">
        <f>V160</f>
        <v>0</v>
      </c>
      <c r="J180" s="513"/>
      <c r="K180" s="513">
        <f>AA160</f>
        <v>0</v>
      </c>
      <c r="L180" s="366"/>
      <c r="M180" s="366"/>
      <c r="N180" s="366"/>
      <c r="O180" s="366"/>
      <c r="P180" s="366"/>
      <c r="Q180" s="366"/>
      <c r="R180" s="366"/>
      <c r="S180" s="366"/>
      <c r="T180" s="366"/>
      <c r="U180" s="366"/>
      <c r="V180" s="366"/>
      <c r="W180" s="366"/>
      <c r="X180" s="366"/>
      <c r="Y180" s="366"/>
      <c r="Z180" s="366"/>
      <c r="AA180" s="366"/>
      <c r="AB180" s="366"/>
      <c r="AC180" s="366"/>
    </row>
    <row r="181" spans="2:29" s="78" customFormat="1" ht="15.5" x14ac:dyDescent="0.35">
      <c r="B181" s="77" t="s">
        <v>475</v>
      </c>
      <c r="C181" s="87"/>
      <c r="D181" s="89" t="s">
        <v>571</v>
      </c>
      <c r="E181" s="23"/>
      <c r="F181" s="84">
        <f>SUM(F171:F180)</f>
        <v>3688.4064000000003</v>
      </c>
      <c r="G181" s="84">
        <f>SUM(G171:G180)</f>
        <v>3268.9468000000006</v>
      </c>
      <c r="H181" s="84">
        <f>SUM(H171:H180)</f>
        <v>2119.3676</v>
      </c>
      <c r="I181" s="84">
        <f>SUM(I171:I180)</f>
        <v>2916.8132000000005</v>
      </c>
      <c r="J181" s="84"/>
      <c r="K181" s="84">
        <f>SUM(K171:K180)</f>
        <v>3068.2624000000001</v>
      </c>
      <c r="L181" s="514"/>
      <c r="M181" s="514"/>
      <c r="N181" s="514"/>
      <c r="O181" s="514"/>
      <c r="P181" s="514"/>
      <c r="Q181" s="514"/>
      <c r="R181" s="514"/>
      <c r="S181" s="514"/>
      <c r="T181" s="514"/>
      <c r="U181" s="514"/>
      <c r="V181" s="514"/>
      <c r="W181" s="514"/>
      <c r="X181" s="514"/>
      <c r="Y181" s="514"/>
      <c r="Z181" s="514"/>
      <c r="AA181" s="514"/>
      <c r="AB181" s="514"/>
      <c r="AC181" s="514"/>
    </row>
    <row r="182" spans="2:29" s="78" customFormat="1" ht="15.5" x14ac:dyDescent="0.35">
      <c r="B182" s="514"/>
      <c r="C182" s="514"/>
      <c r="D182" s="514"/>
      <c r="E182" s="514"/>
      <c r="F182" s="514"/>
      <c r="G182" s="514"/>
      <c r="H182" s="514"/>
      <c r="I182" s="514"/>
      <c r="J182" s="514"/>
      <c r="K182" s="514"/>
      <c r="L182" s="514"/>
      <c r="M182" s="514"/>
      <c r="N182" s="514"/>
      <c r="O182" s="514"/>
      <c r="P182" s="514"/>
      <c r="Q182" s="514"/>
      <c r="R182" s="514"/>
      <c r="S182" s="514"/>
      <c r="T182" s="514"/>
      <c r="U182" s="514"/>
      <c r="V182" s="514"/>
      <c r="W182" s="514"/>
      <c r="X182" s="514"/>
      <c r="Y182" s="514"/>
      <c r="Z182" s="514"/>
      <c r="AA182" s="514"/>
      <c r="AB182" s="514"/>
      <c r="AC182" s="514"/>
    </row>
    <row r="183" spans="2:29" x14ac:dyDescent="0.3">
      <c r="B183" s="515" t="s">
        <v>209</v>
      </c>
      <c r="C183" s="516"/>
      <c r="D183" s="83" t="s">
        <v>571</v>
      </c>
      <c r="E183" s="89"/>
      <c r="F183" s="517">
        <f>SUM(F171:F176)</f>
        <v>3359.4694000000004</v>
      </c>
      <c r="G183" s="517">
        <f>SUM(G171:G176)</f>
        <v>2995.1348000000007</v>
      </c>
      <c r="H183" s="517">
        <f>SUM(H171:H176)+H179</f>
        <v>1768.3806</v>
      </c>
      <c r="I183" s="517">
        <f>SUM(I171:I176)</f>
        <v>2916.8132000000005</v>
      </c>
      <c r="J183" s="518"/>
      <c r="K183" s="518">
        <f>SUM(K171:K176)</f>
        <v>3068.2624000000001</v>
      </c>
      <c r="L183" s="366"/>
      <c r="M183" s="366"/>
      <c r="N183" s="366"/>
      <c r="O183" s="366"/>
      <c r="P183" s="366"/>
      <c r="Q183" s="366"/>
      <c r="R183" s="366"/>
      <c r="S183" s="366"/>
      <c r="T183" s="366"/>
      <c r="U183" s="366"/>
      <c r="V183" s="366"/>
      <c r="W183" s="366"/>
      <c r="X183" s="366"/>
      <c r="Y183" s="366"/>
      <c r="Z183" s="366"/>
      <c r="AA183" s="366"/>
      <c r="AB183" s="366"/>
      <c r="AC183" s="366"/>
    </row>
    <row r="184" spans="2:29" x14ac:dyDescent="0.3">
      <c r="B184" s="515" t="s">
        <v>210</v>
      </c>
      <c r="C184" s="516"/>
      <c r="D184" s="89" t="s">
        <v>571</v>
      </c>
      <c r="E184" s="89"/>
      <c r="F184" s="517">
        <f>F178</f>
        <v>328.93700000000001</v>
      </c>
      <c r="G184" s="517">
        <f>G178</f>
        <v>273.81200000000001</v>
      </c>
      <c r="H184" s="517">
        <f>H178</f>
        <v>350.98700000000002</v>
      </c>
      <c r="I184" s="517">
        <f>I178</f>
        <v>0</v>
      </c>
      <c r="J184" s="518"/>
      <c r="K184" s="518">
        <f>K178</f>
        <v>0</v>
      </c>
      <c r="L184" s="366"/>
      <c r="M184" s="366"/>
      <c r="N184" s="366"/>
      <c r="O184" s="366"/>
      <c r="P184" s="366"/>
      <c r="Q184" s="366"/>
      <c r="R184" s="366"/>
      <c r="S184" s="366"/>
      <c r="T184" s="366"/>
      <c r="U184" s="366"/>
      <c r="V184" s="366"/>
      <c r="W184" s="366"/>
      <c r="X184" s="366"/>
      <c r="Y184" s="366"/>
      <c r="Z184" s="366"/>
      <c r="AA184" s="366"/>
      <c r="AB184" s="366"/>
      <c r="AC184" s="366"/>
    </row>
    <row r="185" spans="2:29" x14ac:dyDescent="0.3">
      <c r="B185" s="366"/>
      <c r="C185" s="366"/>
      <c r="D185" s="366"/>
      <c r="E185" s="366"/>
      <c r="F185" s="366"/>
      <c r="G185" s="366"/>
      <c r="H185" s="366"/>
      <c r="I185" s="366"/>
      <c r="J185" s="366"/>
      <c r="K185" s="366"/>
      <c r="L185" s="366"/>
      <c r="M185" s="366"/>
      <c r="N185" s="366"/>
      <c r="O185" s="366"/>
      <c r="P185" s="366"/>
      <c r="Q185" s="366"/>
      <c r="R185" s="366"/>
      <c r="S185" s="366"/>
      <c r="T185" s="366"/>
      <c r="U185" s="366"/>
      <c r="V185" s="366"/>
      <c r="W185" s="366"/>
      <c r="X185" s="366"/>
      <c r="Y185" s="366"/>
      <c r="Z185" s="366"/>
      <c r="AA185" s="366"/>
      <c r="AB185" s="366"/>
      <c r="AC185" s="366"/>
    </row>
    <row r="186" spans="2:29" x14ac:dyDescent="0.3">
      <c r="B186" s="515" t="s">
        <v>213</v>
      </c>
      <c r="C186" s="516"/>
      <c r="D186" s="38" t="s">
        <v>215</v>
      </c>
      <c r="E186" s="38"/>
      <c r="F186" s="804">
        <f>H35+H48+H71+H81+H105+H134</f>
        <v>16.8</v>
      </c>
      <c r="G186" s="804">
        <f>M35+M48+M71+M81+M105+M134</f>
        <v>15.2</v>
      </c>
      <c r="H186" s="804">
        <f>R35+R48+R71+R81+R105+R134+R141</f>
        <v>20.099999999999998</v>
      </c>
      <c r="I186" s="804">
        <f>W35+W48+W71+W81+W105</f>
        <v>26.999999999999996</v>
      </c>
      <c r="J186" s="804"/>
      <c r="K186" s="804">
        <f>AB35+AB48+AB71+AB105+AB81</f>
        <v>9.3000000000000007</v>
      </c>
      <c r="L186" s="366"/>
      <c r="M186" s="366"/>
      <c r="N186" s="366"/>
      <c r="O186" s="366"/>
      <c r="P186" s="366"/>
      <c r="Q186" s="366"/>
      <c r="R186" s="366"/>
      <c r="S186" s="366"/>
      <c r="T186" s="366"/>
      <c r="U186" s="366"/>
      <c r="V186" s="366"/>
      <c r="W186" s="366"/>
      <c r="X186" s="366"/>
      <c r="Y186" s="366"/>
      <c r="Z186" s="366"/>
      <c r="AA186" s="366"/>
      <c r="AB186" s="366"/>
      <c r="AC186" s="366"/>
    </row>
    <row r="187" spans="2:29" x14ac:dyDescent="0.3">
      <c r="B187" s="515" t="s">
        <v>214</v>
      </c>
      <c r="C187" s="516"/>
      <c r="D187" s="38" t="s">
        <v>215</v>
      </c>
      <c r="E187" s="38"/>
      <c r="F187" s="519">
        <f>H134</f>
        <v>4.8</v>
      </c>
      <c r="G187" s="519">
        <f>M134</f>
        <v>4.8</v>
      </c>
      <c r="H187" s="804">
        <f>R134</f>
        <v>4.8</v>
      </c>
      <c r="I187" s="519">
        <f>W134</f>
        <v>0</v>
      </c>
      <c r="J187" s="519"/>
      <c r="K187" s="519">
        <f>AB134</f>
        <v>0</v>
      </c>
      <c r="L187" s="366"/>
      <c r="M187" s="366"/>
      <c r="N187" s="366"/>
      <c r="O187" s="366"/>
      <c r="P187" s="366"/>
      <c r="Q187" s="366"/>
      <c r="R187" s="366"/>
      <c r="S187" s="366"/>
      <c r="T187" s="366"/>
      <c r="U187" s="366"/>
      <c r="V187" s="366"/>
      <c r="W187" s="366"/>
      <c r="X187" s="366"/>
      <c r="Y187" s="366"/>
      <c r="Z187" s="366"/>
      <c r="AA187" s="366"/>
      <c r="AB187" s="366"/>
      <c r="AC187" s="366"/>
    </row>
    <row r="188" spans="2:29" x14ac:dyDescent="0.3">
      <c r="B188" s="366"/>
      <c r="C188" s="366"/>
      <c r="D188" s="366"/>
      <c r="E188" s="366"/>
      <c r="F188" s="366"/>
      <c r="G188" s="366"/>
      <c r="H188" s="366"/>
      <c r="I188" s="366"/>
      <c r="J188" s="366"/>
      <c r="K188" s="366"/>
      <c r="L188" s="366"/>
      <c r="M188" s="366"/>
      <c r="N188" s="366"/>
      <c r="O188" s="366"/>
      <c r="P188" s="366"/>
      <c r="Q188" s="366"/>
      <c r="R188" s="366"/>
      <c r="S188" s="366"/>
      <c r="T188" s="366"/>
      <c r="U188" s="366"/>
      <c r="V188" s="366"/>
      <c r="W188" s="366"/>
      <c r="X188" s="366"/>
      <c r="Y188" s="366"/>
      <c r="Z188" s="366"/>
      <c r="AA188" s="366"/>
      <c r="AB188" s="366"/>
      <c r="AC188" s="366"/>
    </row>
    <row r="191" spans="2:29" x14ac:dyDescent="0.3">
      <c r="B191" s="85"/>
      <c r="C191" s="26" t="s">
        <v>211</v>
      </c>
    </row>
    <row r="192" spans="2:29" x14ac:dyDescent="0.3">
      <c r="B192" s="68"/>
      <c r="C192" s="102" t="s">
        <v>231</v>
      </c>
    </row>
    <row r="193" spans="2:3" x14ac:dyDescent="0.3">
      <c r="B193" s="520"/>
      <c r="C193" s="24" t="s">
        <v>361</v>
      </c>
    </row>
  </sheetData>
  <sheetProtection selectLockedCells="1" selectUnlockedCells="1"/>
  <mergeCells count="40">
    <mergeCell ref="K11:L11"/>
    <mergeCell ref="H8:I8"/>
    <mergeCell ref="F8:G8"/>
    <mergeCell ref="H9:I9"/>
    <mergeCell ref="F9:G9"/>
    <mergeCell ref="F11:G11"/>
    <mergeCell ref="H11:I11"/>
    <mergeCell ref="H10:I10"/>
    <mergeCell ref="F10:G10"/>
    <mergeCell ref="K8:L8"/>
    <mergeCell ref="K9:L9"/>
    <mergeCell ref="K10:L10"/>
    <mergeCell ref="M8:N8"/>
    <mergeCell ref="M9:N9"/>
    <mergeCell ref="M10:N10"/>
    <mergeCell ref="M11:N11"/>
    <mergeCell ref="P8:Q8"/>
    <mergeCell ref="P9:Q9"/>
    <mergeCell ref="P10:Q10"/>
    <mergeCell ref="P11:Q11"/>
    <mergeCell ref="R8:S8"/>
    <mergeCell ref="R9:S9"/>
    <mergeCell ref="R10:S10"/>
    <mergeCell ref="R11:S11"/>
    <mergeCell ref="U8:V8"/>
    <mergeCell ref="U9:V9"/>
    <mergeCell ref="U10:V10"/>
    <mergeCell ref="U11:V11"/>
    <mergeCell ref="AB8:AC8"/>
    <mergeCell ref="AB9:AC9"/>
    <mergeCell ref="AB10:AC10"/>
    <mergeCell ref="AB11:AC11"/>
    <mergeCell ref="W8:X8"/>
    <mergeCell ref="W9:X9"/>
    <mergeCell ref="W10:X10"/>
    <mergeCell ref="W11:X11"/>
    <mergeCell ref="Z8:AA8"/>
    <mergeCell ref="Z9:AA9"/>
    <mergeCell ref="Z10:AA10"/>
    <mergeCell ref="Z11:AA11"/>
  </mergeCells>
  <pageMargins left="0.7" right="0.7" top="0.75" bottom="0.75" header="0.3" footer="0.3"/>
  <pageSetup paperSize="9" orientation="portrait" r:id="rId1"/>
  <ignoredErrors>
    <ignoredError sqref="G187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M123"/>
  <sheetViews>
    <sheetView topLeftCell="A12" workbookViewId="0">
      <selection activeCell="F12" sqref="F12"/>
    </sheetView>
  </sheetViews>
  <sheetFormatPr defaultColWidth="9" defaultRowHeight="14" x14ac:dyDescent="0.3"/>
  <cols>
    <col min="1" max="1" width="10.58203125" bestFit="1" customWidth="1"/>
    <col min="2" max="2" width="38.75" customWidth="1"/>
    <col min="3" max="3" width="17.58203125" bestFit="1" customWidth="1"/>
    <col min="5" max="9" width="10.58203125" customWidth="1"/>
    <col min="12" max="12" width="17.58203125" customWidth="1"/>
  </cols>
  <sheetData>
    <row r="4" spans="1:65" x14ac:dyDescent="0.3">
      <c r="A4" s="1"/>
    </row>
    <row r="5" spans="1:65" x14ac:dyDescent="0.3">
      <c r="B5" s="2"/>
    </row>
    <row r="6" spans="1:65" x14ac:dyDescent="0.3">
      <c r="B6" s="366"/>
      <c r="C6" s="366"/>
      <c r="D6" s="366"/>
      <c r="E6" s="366"/>
      <c r="F6" s="366"/>
      <c r="G6" s="366"/>
      <c r="H6" s="366"/>
      <c r="I6" s="366"/>
    </row>
    <row r="7" spans="1:65" x14ac:dyDescent="0.3">
      <c r="C7" s="366"/>
      <c r="D7" s="366"/>
      <c r="E7" s="366"/>
      <c r="F7" s="366"/>
      <c r="G7" s="366"/>
      <c r="H7" s="366"/>
      <c r="I7" s="366"/>
    </row>
    <row r="8" spans="1:65" ht="14.5" thickBot="1" x14ac:dyDescent="0.35">
      <c r="B8" s="366"/>
      <c r="C8" s="366"/>
      <c r="D8" s="366"/>
      <c r="E8" s="366"/>
      <c r="F8" s="366"/>
      <c r="G8" s="366"/>
      <c r="H8" s="366"/>
      <c r="I8" s="366"/>
    </row>
    <row r="9" spans="1:65" ht="14.5" thickBot="1" x14ac:dyDescent="0.35">
      <c r="A9" s="2"/>
      <c r="B9" s="418" t="s">
        <v>572</v>
      </c>
      <c r="C9" s="366"/>
      <c r="D9" s="366"/>
      <c r="E9" s="521"/>
      <c r="F9" s="521"/>
      <c r="G9" s="521"/>
      <c r="H9" s="521"/>
      <c r="I9" s="521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</row>
    <row r="10" spans="1:65" x14ac:dyDescent="0.3">
      <c r="A10" s="2"/>
      <c r="B10" s="521"/>
      <c r="C10" s="521"/>
      <c r="D10" s="521"/>
      <c r="E10" s="521"/>
      <c r="F10" s="521"/>
      <c r="G10" s="521"/>
      <c r="H10" s="521"/>
      <c r="I10" s="521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I10" s="2"/>
      <c r="AJ10" s="25"/>
      <c r="AK10" s="25"/>
      <c r="AL10" s="25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</row>
    <row r="11" spans="1:65" x14ac:dyDescent="0.3">
      <c r="A11" s="2"/>
      <c r="B11" s="367"/>
      <c r="C11" s="367"/>
      <c r="D11" s="367"/>
      <c r="E11" s="367"/>
      <c r="F11" s="367"/>
      <c r="G11" s="367"/>
      <c r="H11" s="367"/>
      <c r="I11" s="367"/>
      <c r="K11" s="2"/>
      <c r="AI11" s="2"/>
    </row>
    <row r="12" spans="1:65" x14ac:dyDescent="0.3">
      <c r="A12" s="2"/>
      <c r="B12" s="367"/>
      <c r="C12" s="367"/>
      <c r="D12" s="367"/>
      <c r="E12" s="522" t="s">
        <v>4</v>
      </c>
      <c r="F12" s="523" t="s">
        <v>647</v>
      </c>
      <c r="G12" s="524" t="s">
        <v>5</v>
      </c>
      <c r="H12" s="524" t="s">
        <v>6</v>
      </c>
      <c r="I12" s="523" t="s">
        <v>258</v>
      </c>
      <c r="K12" s="2"/>
      <c r="AI12" s="2"/>
    </row>
    <row r="13" spans="1:65" ht="14.25" customHeight="1" x14ac:dyDescent="0.3">
      <c r="A13" s="2"/>
      <c r="B13" s="6" t="s">
        <v>1</v>
      </c>
      <c r="C13" s="112" t="s">
        <v>2</v>
      </c>
      <c r="D13" s="113" t="s">
        <v>90</v>
      </c>
      <c r="E13" s="525">
        <f>'Arable Inputs'!D$18</f>
        <v>4.5999999999999996</v>
      </c>
      <c r="F13" s="525">
        <f>'Arable Inputs'!E$18</f>
        <v>2.5</v>
      </c>
      <c r="G13" s="525">
        <f>'Arable Inputs'!F$18</f>
        <v>3.5</v>
      </c>
      <c r="H13" s="525">
        <f>'Arable Inputs'!G$18</f>
        <v>56.8</v>
      </c>
      <c r="I13" s="526">
        <f>'Arable Inputs'!H$18</f>
        <v>12</v>
      </c>
      <c r="AI13" s="2"/>
    </row>
    <row r="14" spans="1:65" ht="14.25" customHeight="1" x14ac:dyDescent="0.3">
      <c r="A14" s="2"/>
      <c r="B14" s="7"/>
      <c r="C14" s="17" t="s">
        <v>3</v>
      </c>
      <c r="D14" s="114" t="s">
        <v>90</v>
      </c>
      <c r="E14" s="527">
        <f>'Arable Inputs'!D$19</f>
        <v>4.9000000000000004</v>
      </c>
      <c r="F14" s="527">
        <f>'Arable Inputs'!E$19</f>
        <v>3</v>
      </c>
      <c r="G14" s="527">
        <f>'Arable Inputs'!F$19</f>
        <v>5.6</v>
      </c>
      <c r="H14" s="577"/>
      <c r="I14" s="577"/>
      <c r="K14" s="2"/>
      <c r="AI14" s="2"/>
    </row>
    <row r="15" spans="1:65" ht="14.25" customHeight="1" x14ac:dyDescent="0.3">
      <c r="A15" s="571"/>
      <c r="B15" s="572"/>
      <c r="C15" s="573"/>
      <c r="D15" s="573"/>
      <c r="E15" s="574"/>
      <c r="F15" s="574"/>
      <c r="G15" s="574"/>
      <c r="H15" s="575"/>
      <c r="I15" s="575"/>
      <c r="J15" s="63"/>
      <c r="K15" s="2"/>
      <c r="AI15" s="2"/>
    </row>
    <row r="16" spans="1:65" ht="14.25" customHeight="1" x14ac:dyDescent="0.3">
      <c r="A16" s="2"/>
      <c r="B16" s="8" t="s">
        <v>7</v>
      </c>
      <c r="C16" s="32" t="s">
        <v>2</v>
      </c>
      <c r="D16" s="83" t="s">
        <v>573</v>
      </c>
      <c r="E16" s="528">
        <f>'Arable Inputs'!D$25</f>
        <v>867</v>
      </c>
      <c r="F16" s="528">
        <f>'Arable Inputs'!E$25</f>
        <v>721</v>
      </c>
      <c r="G16" s="528">
        <f>'Arable Inputs'!F$25</f>
        <v>1645</v>
      </c>
      <c r="H16" s="528">
        <f>'Arable Inputs'!G$25</f>
        <v>120</v>
      </c>
      <c r="I16" s="529">
        <f>'Arable Inputs'!H$25</f>
        <v>724</v>
      </c>
      <c r="J16" s="24"/>
      <c r="K16" s="2"/>
      <c r="AI16" s="2"/>
    </row>
    <row r="17" spans="1:35" ht="14.25" customHeight="1" x14ac:dyDescent="0.3">
      <c r="A17" s="2"/>
      <c r="B17" s="10"/>
      <c r="C17" s="33" t="s">
        <v>8</v>
      </c>
      <c r="D17" s="79" t="s">
        <v>573</v>
      </c>
      <c r="E17" s="528">
        <f>'Arable Inputs'!D$26</f>
        <v>140</v>
      </c>
      <c r="F17" s="528">
        <f>'Arable Inputs'!E$26</f>
        <v>120</v>
      </c>
      <c r="G17" s="528">
        <f>'Arable Inputs'!F$26</f>
        <v>120</v>
      </c>
      <c r="H17" s="541"/>
      <c r="I17" s="541"/>
      <c r="K17" s="2"/>
      <c r="AI17" s="2"/>
    </row>
    <row r="18" spans="1:35" ht="14.25" customHeight="1" x14ac:dyDescent="0.3">
      <c r="A18" s="2"/>
      <c r="B18" s="10"/>
      <c r="C18" s="32" t="s">
        <v>591</v>
      </c>
      <c r="D18" s="79" t="s">
        <v>571</v>
      </c>
      <c r="E18" s="528">
        <f>'Arable Inputs'!$D$10</f>
        <v>471.64</v>
      </c>
      <c r="F18" s="528">
        <f>'Arable Inputs'!$D$10</f>
        <v>471.64</v>
      </c>
      <c r="G18" s="528">
        <f>'Arable Inputs'!$D$10</f>
        <v>471.64</v>
      </c>
      <c r="H18" s="528">
        <f>'Arable Inputs'!$D$10</f>
        <v>471.64</v>
      </c>
      <c r="I18" s="540">
        <f>'Arable Inputs'!$D$10</f>
        <v>471.64</v>
      </c>
      <c r="K18" s="90"/>
      <c r="AI18" s="2"/>
    </row>
    <row r="19" spans="1:35" ht="14.25" customHeight="1" x14ac:dyDescent="0.3">
      <c r="A19" s="2"/>
      <c r="B19" s="11" t="s">
        <v>9</v>
      </c>
      <c r="C19" s="306" t="s">
        <v>2</v>
      </c>
      <c r="D19" s="117" t="s">
        <v>573</v>
      </c>
      <c r="E19" s="531">
        <f>(E18+(E16*E13))/E13</f>
        <v>969.53043478260884</v>
      </c>
      <c r="F19" s="531">
        <f>(F18+(F16*F13))/F13</f>
        <v>909.65599999999995</v>
      </c>
      <c r="G19" s="532">
        <f>(G18+(G16*G13))/G13</f>
        <v>1779.7542857142857</v>
      </c>
      <c r="H19" s="532">
        <f>(H18+(H16*H13))/H13</f>
        <v>128.30352112676059</v>
      </c>
      <c r="I19" s="532">
        <f>(I18+(I16*I13))/I13</f>
        <v>763.30333333333328</v>
      </c>
      <c r="K19" s="90"/>
      <c r="AI19" s="2"/>
    </row>
    <row r="20" spans="1:35" ht="14.25" customHeight="1" x14ac:dyDescent="0.3">
      <c r="A20" s="2"/>
      <c r="B20" s="12"/>
      <c r="C20" s="123" t="s">
        <v>3</v>
      </c>
      <c r="D20" s="118" t="s">
        <v>573</v>
      </c>
      <c r="E20" s="533">
        <f>IF(E14=0,0,(E17*E14)/E14)</f>
        <v>140</v>
      </c>
      <c r="F20" s="533">
        <f>IF(F14=0,0,(F17*F14)/F14)</f>
        <v>120</v>
      </c>
      <c r="G20" s="534">
        <f>IF(G14=0,0,(G17*G14)/G14)</f>
        <v>120.00000000000001</v>
      </c>
      <c r="H20" s="534"/>
      <c r="I20" s="534"/>
      <c r="K20" s="2"/>
      <c r="AI20" s="2"/>
    </row>
    <row r="21" spans="1:35" ht="14.25" customHeight="1" x14ac:dyDescent="0.3">
      <c r="A21" s="2"/>
      <c r="B21" s="13"/>
      <c r="C21" s="306" t="s">
        <v>2</v>
      </c>
      <c r="D21" s="117" t="s">
        <v>571</v>
      </c>
      <c r="E21" s="535">
        <f>(E13*E16)+E18</f>
        <v>4459.84</v>
      </c>
      <c r="F21" s="536">
        <f>(F13*F16)+F18</f>
        <v>2274.14</v>
      </c>
      <c r="G21" s="536">
        <f>(G13*G16)+G18</f>
        <v>6229.14</v>
      </c>
      <c r="H21" s="536">
        <f>(H13*H16)+H18</f>
        <v>7287.64</v>
      </c>
      <c r="I21" s="536">
        <f>(I13*I16)+I18</f>
        <v>9159.64</v>
      </c>
      <c r="K21" s="2"/>
      <c r="AI21" s="2"/>
    </row>
    <row r="22" spans="1:35" ht="14.25" customHeight="1" x14ac:dyDescent="0.3">
      <c r="A22" s="2"/>
      <c r="B22" s="13"/>
      <c r="C22" s="123" t="s">
        <v>3</v>
      </c>
      <c r="D22" s="118" t="s">
        <v>571</v>
      </c>
      <c r="E22" s="537">
        <f>E14*E17</f>
        <v>686</v>
      </c>
      <c r="F22" s="538">
        <f>F14*F17</f>
        <v>360</v>
      </c>
      <c r="G22" s="538">
        <f>G14*G17</f>
        <v>672</v>
      </c>
      <c r="H22" s="538"/>
      <c r="I22" s="538"/>
      <c r="K22" s="90"/>
      <c r="AI22" s="2"/>
    </row>
    <row r="23" spans="1:35" ht="14.25" customHeight="1" x14ac:dyDescent="0.3">
      <c r="A23" s="2"/>
      <c r="B23" s="14"/>
      <c r="C23" s="539" t="s">
        <v>10</v>
      </c>
      <c r="D23" s="118" t="s">
        <v>571</v>
      </c>
      <c r="E23" s="537">
        <f>E21+E22</f>
        <v>5145.84</v>
      </c>
      <c r="F23" s="538">
        <f>F21+F22</f>
        <v>2634.14</v>
      </c>
      <c r="G23" s="538">
        <f>G21+G22</f>
        <v>6901.14</v>
      </c>
      <c r="H23" s="538">
        <f>H21+H22</f>
        <v>7287.64</v>
      </c>
      <c r="I23" s="538">
        <f>I21+I22</f>
        <v>9159.64</v>
      </c>
      <c r="K23" s="2"/>
      <c r="AI23" s="2"/>
    </row>
    <row r="24" spans="1:35" ht="14.25" customHeight="1" x14ac:dyDescent="0.3">
      <c r="A24" s="2"/>
      <c r="B24" s="367"/>
      <c r="C24" s="367"/>
      <c r="D24" s="367"/>
      <c r="E24" s="367"/>
      <c r="F24" s="367"/>
      <c r="G24" s="367"/>
      <c r="H24" s="367"/>
      <c r="I24" s="367"/>
      <c r="K24" s="2"/>
      <c r="AI24" s="2"/>
    </row>
    <row r="25" spans="1:35" ht="14.25" customHeight="1" x14ac:dyDescent="0.3">
      <c r="A25" s="2"/>
      <c r="B25" s="367"/>
      <c r="C25" s="367"/>
      <c r="D25" s="367"/>
      <c r="E25" s="367"/>
      <c r="F25" s="367"/>
      <c r="G25" s="367"/>
      <c r="H25" s="367"/>
      <c r="I25" s="367"/>
      <c r="K25" s="2"/>
      <c r="AI25" s="2"/>
    </row>
    <row r="26" spans="1:35" ht="14.25" customHeight="1" x14ac:dyDescent="0.3">
      <c r="A26" s="2"/>
      <c r="B26" s="15" t="s">
        <v>11</v>
      </c>
      <c r="C26" s="81" t="s">
        <v>454</v>
      </c>
      <c r="D26" s="89" t="s">
        <v>574</v>
      </c>
      <c r="E26" s="529">
        <f>'Arable Inputs'!D$42</f>
        <v>378</v>
      </c>
      <c r="F26" s="529">
        <f>'Arable Inputs'!E$42</f>
        <v>306</v>
      </c>
      <c r="G26" s="529">
        <f>'Arable Inputs'!F$42</f>
        <v>542.58000000000004</v>
      </c>
      <c r="H26" s="529">
        <f>'Arable Inputs'!G$42</f>
        <v>1690</v>
      </c>
      <c r="I26" s="529">
        <f>'Arable Inputs'!H$42</f>
        <v>583.43999999999994</v>
      </c>
      <c r="K26" s="2"/>
      <c r="AI26" s="2"/>
    </row>
    <row r="27" spans="1:35" ht="14.25" customHeight="1" x14ac:dyDescent="0.3">
      <c r="A27" s="2"/>
      <c r="B27" s="10"/>
      <c r="C27" s="126" t="s">
        <v>12</v>
      </c>
      <c r="D27" s="80" t="s">
        <v>571</v>
      </c>
      <c r="E27" s="84">
        <f>E26</f>
        <v>378</v>
      </c>
      <c r="F27" s="84">
        <f>F26</f>
        <v>306</v>
      </c>
      <c r="G27" s="84">
        <f>G26</f>
        <v>542.58000000000004</v>
      </c>
      <c r="H27" s="84">
        <f>H26</f>
        <v>1690</v>
      </c>
      <c r="I27" s="84">
        <f>I26</f>
        <v>583.43999999999994</v>
      </c>
      <c r="J27" s="3"/>
      <c r="K27" s="2"/>
      <c r="AI27" s="2"/>
    </row>
    <row r="28" spans="1:35" ht="14.25" customHeight="1" x14ac:dyDescent="0.3">
      <c r="A28" s="2"/>
      <c r="B28" s="10"/>
      <c r="C28" s="884" t="s">
        <v>13</v>
      </c>
      <c r="D28" s="79" t="s">
        <v>575</v>
      </c>
      <c r="E28" s="541">
        <f>'Arable Inputs'!$D$34</f>
        <v>3.44</v>
      </c>
      <c r="F28" s="541">
        <f>'Arable Inputs'!$D$34</f>
        <v>3.44</v>
      </c>
      <c r="G28" s="541">
        <f>'Arable Inputs'!$D$34</f>
        <v>3.44</v>
      </c>
      <c r="H28" s="541">
        <f>'Arable Inputs'!$D$34</f>
        <v>3.44</v>
      </c>
      <c r="I28" s="541">
        <f>'Arable Inputs'!$D$34</f>
        <v>3.44</v>
      </c>
      <c r="J28" s="40"/>
      <c r="K28" s="2"/>
      <c r="AI28" s="2"/>
    </row>
    <row r="29" spans="1:35" ht="14.25" customHeight="1" x14ac:dyDescent="0.3">
      <c r="A29" s="2"/>
      <c r="B29" s="10"/>
      <c r="C29" s="125" t="s">
        <v>14</v>
      </c>
      <c r="D29" s="80" t="s">
        <v>91</v>
      </c>
      <c r="E29" s="540">
        <f>'Arable Inputs'!D$59</f>
        <v>194</v>
      </c>
      <c r="F29" s="540">
        <f>'Arable Inputs'!E$59</f>
        <v>84</v>
      </c>
      <c r="G29" s="540">
        <f>'Arable Inputs'!F$59</f>
        <v>190</v>
      </c>
      <c r="H29" s="540">
        <f>'Arable Inputs'!G$59</f>
        <v>127</v>
      </c>
      <c r="I29" s="540">
        <f>'Arable Inputs'!H$59</f>
        <v>145</v>
      </c>
      <c r="J29" s="883"/>
      <c r="K29" s="2"/>
      <c r="AI29" s="2"/>
    </row>
    <row r="30" spans="1:35" ht="14.25" customHeight="1" x14ac:dyDescent="0.3">
      <c r="A30" s="2"/>
      <c r="B30" s="10"/>
      <c r="C30" s="126" t="s">
        <v>12</v>
      </c>
      <c r="D30" s="80" t="s">
        <v>571</v>
      </c>
      <c r="E30" s="84">
        <f>E28*E29</f>
        <v>667.36</v>
      </c>
      <c r="F30" s="84">
        <f>F28*F29</f>
        <v>288.95999999999998</v>
      </c>
      <c r="G30" s="84">
        <f>G28*G29</f>
        <v>653.6</v>
      </c>
      <c r="H30" s="84">
        <f>H28*H29</f>
        <v>436.88</v>
      </c>
      <c r="I30" s="847">
        <f>I28*I29</f>
        <v>498.8</v>
      </c>
      <c r="J30" s="883"/>
      <c r="K30" s="2"/>
      <c r="AI30" s="2"/>
    </row>
    <row r="31" spans="1:35" ht="14.25" customHeight="1" x14ac:dyDescent="0.3">
      <c r="A31" s="2"/>
      <c r="B31" s="10"/>
      <c r="C31" s="884" t="s">
        <v>15</v>
      </c>
      <c r="D31" s="79" t="s">
        <v>575</v>
      </c>
      <c r="E31" s="541">
        <f>'Arable Inputs'!$D$35</f>
        <v>4.47</v>
      </c>
      <c r="F31" s="541">
        <f>'Arable Inputs'!$D$35</f>
        <v>4.47</v>
      </c>
      <c r="G31" s="541">
        <f>'Arable Inputs'!$D$35</f>
        <v>4.47</v>
      </c>
      <c r="H31" s="541">
        <f>'Arable Inputs'!$D$35</f>
        <v>4.47</v>
      </c>
      <c r="I31" s="541">
        <f>'Arable Inputs'!$D$35</f>
        <v>4.47</v>
      </c>
      <c r="J31" s="883"/>
      <c r="K31" s="2"/>
      <c r="AI31" s="2"/>
    </row>
    <row r="32" spans="1:35" ht="14.25" customHeight="1" x14ac:dyDescent="0.3">
      <c r="A32" s="2"/>
      <c r="B32" s="10"/>
      <c r="C32" s="125" t="s">
        <v>16</v>
      </c>
      <c r="D32" s="80" t="s">
        <v>91</v>
      </c>
      <c r="E32" s="540">
        <f>'Arable Inputs'!D$60</f>
        <v>137.46</v>
      </c>
      <c r="F32" s="540">
        <f>'Arable Inputs'!E$60</f>
        <v>107.67699999999999</v>
      </c>
      <c r="G32" s="540">
        <f>'Arable Inputs'!F$60</f>
        <v>171.82499999999999</v>
      </c>
      <c r="H32" s="540">
        <f>'Arable Inputs'!G$60</f>
        <v>206.19</v>
      </c>
      <c r="I32" s="540">
        <f>'Arable Inputs'!H$60</f>
        <v>174.11599999999999</v>
      </c>
      <c r="J32" s="883"/>
      <c r="K32" s="2"/>
      <c r="AI32" s="2"/>
    </row>
    <row r="33" spans="1:35" ht="14.25" customHeight="1" x14ac:dyDescent="0.3">
      <c r="A33" s="2"/>
      <c r="B33" s="10"/>
      <c r="C33" s="126" t="s">
        <v>12</v>
      </c>
      <c r="D33" s="80" t="s">
        <v>571</v>
      </c>
      <c r="E33" s="84">
        <f>E31*E32</f>
        <v>614.44619999999998</v>
      </c>
      <c r="F33" s="84">
        <f>F31*F32</f>
        <v>481.31618999999995</v>
      </c>
      <c r="G33" s="84">
        <f>G31*G32</f>
        <v>768.05774999999994</v>
      </c>
      <c r="H33" s="84">
        <f>H31*H32</f>
        <v>921.66929999999991</v>
      </c>
      <c r="I33" s="847">
        <f>I31*I32</f>
        <v>778.29851999999994</v>
      </c>
      <c r="J33" s="883"/>
      <c r="K33" s="2"/>
      <c r="AI33" s="2"/>
    </row>
    <row r="34" spans="1:35" ht="14.25" customHeight="1" x14ac:dyDescent="0.3">
      <c r="A34" s="2"/>
      <c r="B34" s="10"/>
      <c r="C34" s="884" t="s">
        <v>17</v>
      </c>
      <c r="D34" s="79" t="s">
        <v>575</v>
      </c>
      <c r="E34" s="541">
        <f>'Arable Inputs'!$D$36</f>
        <v>2.68</v>
      </c>
      <c r="F34" s="541">
        <f>'Arable Inputs'!$D$36</f>
        <v>2.68</v>
      </c>
      <c r="G34" s="541">
        <f>'Arable Inputs'!$D$36</f>
        <v>2.68</v>
      </c>
      <c r="H34" s="541">
        <f>'Arable Inputs'!$D$36</f>
        <v>2.68</v>
      </c>
      <c r="I34" s="541">
        <f>'Arable Inputs'!$D$36</f>
        <v>2.68</v>
      </c>
      <c r="J34" s="883"/>
      <c r="K34" s="2"/>
      <c r="AI34" s="2"/>
    </row>
    <row r="35" spans="1:35" ht="14.25" customHeight="1" x14ac:dyDescent="0.3">
      <c r="A35" s="2"/>
      <c r="B35" s="10"/>
      <c r="C35" s="125" t="s">
        <v>18</v>
      </c>
      <c r="D35" s="80" t="s">
        <v>91</v>
      </c>
      <c r="E35" s="540">
        <f>'Arable Inputs'!D$61</f>
        <v>114.47500000000001</v>
      </c>
      <c r="F35" s="540">
        <f>'Arable Inputs'!E$61</f>
        <v>151.83000000000001</v>
      </c>
      <c r="G35" s="540">
        <f>'Arable Inputs'!F$61</f>
        <v>241</v>
      </c>
      <c r="H35" s="540">
        <f>'Arable Inputs'!G$61</f>
        <v>186.77500000000001</v>
      </c>
      <c r="I35" s="540">
        <f>'Arable Inputs'!H$61</f>
        <v>173.52</v>
      </c>
      <c r="J35" s="883"/>
      <c r="K35" s="2"/>
      <c r="AI35" s="2"/>
    </row>
    <row r="36" spans="1:35" ht="14.25" customHeight="1" x14ac:dyDescent="0.3">
      <c r="A36" s="2"/>
      <c r="B36" s="10"/>
      <c r="C36" s="126" t="s">
        <v>12</v>
      </c>
      <c r="D36" s="80" t="s">
        <v>571</v>
      </c>
      <c r="E36" s="84">
        <f>E34*E35</f>
        <v>306.79300000000006</v>
      </c>
      <c r="F36" s="84">
        <f>F34*F35</f>
        <v>406.90440000000007</v>
      </c>
      <c r="G36" s="84">
        <f>G34*G35</f>
        <v>645.88</v>
      </c>
      <c r="H36" s="84">
        <f>H34*H35</f>
        <v>500.55700000000007</v>
      </c>
      <c r="I36" s="847">
        <f>I34*I35</f>
        <v>465.03360000000004</v>
      </c>
      <c r="J36" s="883"/>
      <c r="K36" s="2"/>
      <c r="AI36" s="2"/>
    </row>
    <row r="37" spans="1:35" ht="14.25" customHeight="1" x14ac:dyDescent="0.3">
      <c r="A37" s="2"/>
      <c r="B37" s="10"/>
      <c r="C37" s="126" t="s">
        <v>513</v>
      </c>
      <c r="D37" s="80" t="s">
        <v>571</v>
      </c>
      <c r="E37" s="154">
        <f>E30+E33+E36</f>
        <v>1588.5992000000001</v>
      </c>
      <c r="F37" s="154">
        <f>F30+F33+F36</f>
        <v>1177.1805899999999</v>
      </c>
      <c r="G37" s="154">
        <f>G30+G33+G36</f>
        <v>2067.53775</v>
      </c>
      <c r="H37" s="154">
        <f>H30+H33+H36</f>
        <v>1859.1062999999999</v>
      </c>
      <c r="I37" s="154">
        <f>I30+I33+I36</f>
        <v>1742.13212</v>
      </c>
      <c r="K37" s="2"/>
      <c r="AI37" s="2"/>
    </row>
    <row r="38" spans="1:35" ht="14.25" customHeight="1" x14ac:dyDescent="0.3">
      <c r="A38" s="2"/>
      <c r="B38" s="10"/>
      <c r="C38" s="32" t="s">
        <v>453</v>
      </c>
      <c r="D38" s="89" t="s">
        <v>576</v>
      </c>
      <c r="E38" s="541">
        <f>'Arable Inputs'!D$48</f>
        <v>148.80000000000001</v>
      </c>
      <c r="F38" s="541">
        <f>'Arable Inputs'!E$48</f>
        <v>99.2</v>
      </c>
      <c r="G38" s="541">
        <f>'Arable Inputs'!F$48</f>
        <v>248</v>
      </c>
      <c r="H38" s="541">
        <f>'Arable Inputs'!G$48</f>
        <v>99.2</v>
      </c>
      <c r="I38" s="541">
        <f>'Arable Inputs'!H$48</f>
        <v>148.80000000000001</v>
      </c>
      <c r="K38" s="2"/>
      <c r="AI38" s="2"/>
    </row>
    <row r="39" spans="1:35" ht="14.25" customHeight="1" x14ac:dyDescent="0.3">
      <c r="A39" s="2"/>
      <c r="B39" s="10"/>
      <c r="C39" s="126" t="s">
        <v>12</v>
      </c>
      <c r="D39" s="80" t="s">
        <v>571</v>
      </c>
      <c r="E39" s="84">
        <f>E38</f>
        <v>148.80000000000001</v>
      </c>
      <c r="F39" s="84">
        <f>F38</f>
        <v>99.2</v>
      </c>
      <c r="G39" s="84">
        <f>G38</f>
        <v>248</v>
      </c>
      <c r="H39" s="84">
        <f>H38</f>
        <v>99.2</v>
      </c>
      <c r="I39" s="84">
        <f>I38</f>
        <v>148.80000000000001</v>
      </c>
      <c r="K39" s="2"/>
      <c r="AI39" s="2"/>
    </row>
    <row r="40" spans="1:35" ht="14.25" customHeight="1" x14ac:dyDescent="0.3">
      <c r="A40" s="2"/>
      <c r="B40" s="10"/>
      <c r="C40" s="32" t="s">
        <v>0</v>
      </c>
      <c r="D40" s="79" t="s">
        <v>573</v>
      </c>
      <c r="E40" s="541">
        <f>'Arable Inputs'!D$51</f>
        <v>62.85</v>
      </c>
      <c r="F40" s="541">
        <f>'Arable Inputs'!E$51</f>
        <v>62.85</v>
      </c>
      <c r="G40" s="541">
        <f>'Arable Inputs'!F$51</f>
        <v>62.85</v>
      </c>
      <c r="H40" s="530"/>
      <c r="I40" s="461"/>
      <c r="K40" s="2"/>
      <c r="AI40" s="2"/>
    </row>
    <row r="41" spans="1:35" ht="14.25" customHeight="1" x14ac:dyDescent="0.3">
      <c r="A41" s="2"/>
      <c r="B41" s="16"/>
      <c r="C41" s="33" t="s">
        <v>19</v>
      </c>
      <c r="D41" s="127" t="s">
        <v>90</v>
      </c>
      <c r="E41" s="534">
        <f>$E$14</f>
        <v>4.9000000000000004</v>
      </c>
      <c r="F41" s="534">
        <f>$F$14</f>
        <v>3</v>
      </c>
      <c r="G41" s="534">
        <f>$G$14</f>
        <v>5.6</v>
      </c>
      <c r="H41" s="534"/>
      <c r="I41" s="534"/>
      <c r="K41" s="2"/>
      <c r="AI41" s="2"/>
    </row>
    <row r="42" spans="1:35" ht="14.25" customHeight="1" x14ac:dyDescent="0.3">
      <c r="A42" s="2"/>
      <c r="B42" s="16"/>
      <c r="C42" s="28" t="s">
        <v>12</v>
      </c>
      <c r="D42" s="89" t="s">
        <v>571</v>
      </c>
      <c r="E42" s="532">
        <f>E40*E41</f>
        <v>307.96500000000003</v>
      </c>
      <c r="F42" s="532">
        <f>F40*F41</f>
        <v>188.55</v>
      </c>
      <c r="G42" s="532">
        <f>G40*G41</f>
        <v>351.96</v>
      </c>
      <c r="H42" s="532"/>
      <c r="I42" s="543"/>
      <c r="K42" s="2"/>
      <c r="AI42" s="2"/>
    </row>
    <row r="43" spans="1:35" ht="14.25" customHeight="1" x14ac:dyDescent="0.3">
      <c r="A43" s="2"/>
      <c r="B43" s="178" t="s">
        <v>236</v>
      </c>
      <c r="C43" s="81" t="s">
        <v>2</v>
      </c>
      <c r="D43" s="83" t="s">
        <v>573</v>
      </c>
      <c r="E43" s="307">
        <f>E45/E13</f>
        <v>526.81830434782626</v>
      </c>
      <c r="F43" s="307">
        <f>F45/F13</f>
        <v>708.37223599999993</v>
      </c>
      <c r="G43" s="307">
        <f>G45/G13</f>
        <v>917.16507142857142</v>
      </c>
      <c r="H43" s="307">
        <f>H45/H13</f>
        <v>64.230744718309865</v>
      </c>
      <c r="I43" s="544">
        <f>I45/I13</f>
        <v>206.19767666666667</v>
      </c>
      <c r="K43" s="2"/>
      <c r="AI43" s="2"/>
    </row>
    <row r="44" spans="1:35" ht="14.25" customHeight="1" x14ac:dyDescent="0.3">
      <c r="A44" s="2"/>
      <c r="B44" s="16"/>
      <c r="C44" s="32" t="s">
        <v>3</v>
      </c>
      <c r="D44" s="80" t="s">
        <v>573</v>
      </c>
      <c r="E44" s="308">
        <f>IF(E14=0,0,E46/E14)</f>
        <v>62.85</v>
      </c>
      <c r="F44" s="308">
        <f>IF(F14=0,0,F46/F14)</f>
        <v>62.85</v>
      </c>
      <c r="G44" s="308">
        <f>IF(G14=0,0,G46/G14)</f>
        <v>62.85</v>
      </c>
      <c r="H44" s="308"/>
      <c r="I44" s="545"/>
      <c r="K44" s="2"/>
      <c r="AI44" s="2"/>
    </row>
    <row r="45" spans="1:35" ht="14.25" customHeight="1" x14ac:dyDescent="0.3">
      <c r="A45" s="2"/>
      <c r="B45" s="7"/>
      <c r="C45" s="175" t="s">
        <v>2</v>
      </c>
      <c r="D45" s="18" t="s">
        <v>571</v>
      </c>
      <c r="E45" s="109">
        <f>E27+E37+E39+E42</f>
        <v>2423.3642000000004</v>
      </c>
      <c r="F45" s="109">
        <f>F27+F37+F39+F42</f>
        <v>1770.9305899999999</v>
      </c>
      <c r="G45" s="109">
        <f>G27+G37+G39+G42</f>
        <v>3210.0777499999999</v>
      </c>
      <c r="H45" s="109">
        <f>H27+H37+H39</f>
        <v>3648.3062999999997</v>
      </c>
      <c r="I45" s="546">
        <f>I27+I37+I39</f>
        <v>2474.37212</v>
      </c>
      <c r="K45" s="2"/>
      <c r="AI45" s="2"/>
    </row>
    <row r="46" spans="1:35" ht="14.25" customHeight="1" x14ac:dyDescent="0.3">
      <c r="A46" s="2"/>
      <c r="B46" s="10"/>
      <c r="C46" s="95" t="s">
        <v>3</v>
      </c>
      <c r="D46" s="80" t="s">
        <v>571</v>
      </c>
      <c r="E46" s="110">
        <f>E42</f>
        <v>307.96500000000003</v>
      </c>
      <c r="F46" s="110">
        <f>F42</f>
        <v>188.55</v>
      </c>
      <c r="G46" s="110">
        <f>G42</f>
        <v>351.96</v>
      </c>
      <c r="H46" s="110"/>
      <c r="I46" s="547"/>
      <c r="K46" s="2"/>
      <c r="AI46" s="2"/>
    </row>
    <row r="47" spans="1:35" ht="14.25" customHeight="1" x14ac:dyDescent="0.3">
      <c r="A47" s="2"/>
      <c r="B47" s="77"/>
      <c r="C47" s="305" t="s">
        <v>10</v>
      </c>
      <c r="D47" s="89" t="s">
        <v>571</v>
      </c>
      <c r="E47" s="111">
        <f>E45+E46</f>
        <v>2731.3292000000006</v>
      </c>
      <c r="F47" s="111">
        <f>F45+F46</f>
        <v>1959.4805899999999</v>
      </c>
      <c r="G47" s="111">
        <f>G45+G46</f>
        <v>3562.03775</v>
      </c>
      <c r="H47" s="111">
        <f>H45+H46</f>
        <v>3648.3062999999997</v>
      </c>
      <c r="I47" s="548">
        <f>I45+I46</f>
        <v>2474.37212</v>
      </c>
      <c r="K47" s="2"/>
      <c r="AI47" s="2"/>
    </row>
    <row r="48" spans="1:35" ht="14.25" customHeight="1" x14ac:dyDescent="0.3">
      <c r="A48" s="2"/>
      <c r="B48" s="367"/>
      <c r="C48" s="367"/>
      <c r="D48" s="367"/>
      <c r="E48" s="367"/>
      <c r="F48" s="367"/>
      <c r="G48" s="367"/>
      <c r="H48" s="367"/>
      <c r="I48" s="367"/>
      <c r="K48" s="2"/>
      <c r="AI48" s="2"/>
    </row>
    <row r="49" spans="1:35" ht="14.25" customHeight="1" x14ac:dyDescent="0.3">
      <c r="A49" s="2"/>
      <c r="B49" s="367"/>
      <c r="C49" s="367"/>
      <c r="D49" s="367"/>
      <c r="E49" s="367"/>
      <c r="F49" s="367"/>
      <c r="G49" s="367"/>
      <c r="H49" s="367"/>
      <c r="I49" s="367"/>
      <c r="K49" s="2"/>
      <c r="AI49" s="2"/>
    </row>
    <row r="50" spans="1:35" ht="14.25" customHeight="1" x14ac:dyDescent="0.3">
      <c r="A50" s="2"/>
      <c r="B50" s="15" t="s">
        <v>232</v>
      </c>
      <c r="C50" s="81" t="s">
        <v>30</v>
      </c>
      <c r="D50" s="83" t="s">
        <v>571</v>
      </c>
      <c r="E50" s="549">
        <f>'Arable fixed costs'!F171</f>
        <v>582.31600000000014</v>
      </c>
      <c r="F50" s="549">
        <f>'Arable fixed costs'!G171</f>
        <v>582.31600000000014</v>
      </c>
      <c r="G50" s="549">
        <f>'Arable fixed costs'!H171</f>
        <v>226.42900000000003</v>
      </c>
      <c r="H50" s="549">
        <f>'Arable fixed costs'!I171</f>
        <v>546.54600000000005</v>
      </c>
      <c r="I50" s="549">
        <f>'Arable fixed costs'!K171</f>
        <v>582.31600000000014</v>
      </c>
      <c r="K50" s="2"/>
      <c r="AI50" s="2"/>
    </row>
    <row r="51" spans="1:35" ht="14.25" customHeight="1" x14ac:dyDescent="0.3">
      <c r="A51" s="2"/>
      <c r="B51" s="9"/>
      <c r="C51" s="32" t="s">
        <v>31</v>
      </c>
      <c r="D51" s="79" t="s">
        <v>571</v>
      </c>
      <c r="E51" s="550">
        <f>'Arable fixed costs'!F172</f>
        <v>1259.7704000000001</v>
      </c>
      <c r="F51" s="550">
        <f>'Arable fixed costs'!G172</f>
        <v>944.82780000000002</v>
      </c>
      <c r="G51" s="550">
        <f>'Arable fixed costs'!H172</f>
        <v>314.94260000000003</v>
      </c>
      <c r="H51" s="550">
        <f>'Arable fixed costs'!I172</f>
        <v>629.88520000000005</v>
      </c>
      <c r="I51" s="550">
        <f>'Arable fixed costs'!K172</f>
        <v>1259.7704000000001</v>
      </c>
      <c r="K51" s="2"/>
      <c r="AI51" s="2"/>
    </row>
    <row r="52" spans="1:35" ht="14.25" customHeight="1" x14ac:dyDescent="0.3">
      <c r="A52" s="2"/>
      <c r="B52" s="9"/>
      <c r="C52" s="32" t="s">
        <v>130</v>
      </c>
      <c r="D52" s="79" t="s">
        <v>571</v>
      </c>
      <c r="E52" s="550">
        <f>'Arable fixed costs'!F173</f>
        <v>0</v>
      </c>
      <c r="F52" s="550">
        <f>'Arable fixed costs'!G173</f>
        <v>0</v>
      </c>
      <c r="G52" s="550">
        <f>'Arable fixed costs'!H173</f>
        <v>0</v>
      </c>
      <c r="H52" s="550">
        <f>'Arable fixed costs'!I173</f>
        <v>0</v>
      </c>
      <c r="I52" s="550">
        <f>'Arable fixed costs'!K173</f>
        <v>0</v>
      </c>
      <c r="K52" s="2"/>
      <c r="AI52" s="2"/>
    </row>
    <row r="53" spans="1:35" ht="14.25" customHeight="1" x14ac:dyDescent="0.3">
      <c r="A53" s="2"/>
      <c r="B53" s="10"/>
      <c r="C53" s="32" t="s">
        <v>32</v>
      </c>
      <c r="D53" s="79" t="s">
        <v>571</v>
      </c>
      <c r="E53" s="550">
        <f>'Arable fixed costs'!F174</f>
        <v>132.49600000000001</v>
      </c>
      <c r="F53" s="550">
        <f>'Arable fixed costs'!G174</f>
        <v>132.49600000000001</v>
      </c>
      <c r="G53" s="550">
        <f>'Arable fixed costs'!H174</f>
        <v>281.65199999999999</v>
      </c>
      <c r="H53" s="550">
        <f>'Arable fixed costs'!I174</f>
        <v>280.084</v>
      </c>
      <c r="I53" s="550">
        <f>'Arable fixed costs'!K174</f>
        <v>220.50000000000003</v>
      </c>
      <c r="K53" s="2"/>
      <c r="AI53" s="2"/>
    </row>
    <row r="54" spans="1:35" ht="14.25" customHeight="1" x14ac:dyDescent="0.3">
      <c r="A54" s="2"/>
      <c r="B54" s="10"/>
      <c r="C54" s="33" t="s">
        <v>33</v>
      </c>
      <c r="D54" s="79" t="s">
        <v>571</v>
      </c>
      <c r="E54" s="550">
        <f>'Arable fixed costs'!F175</f>
        <v>245.04900000000004</v>
      </c>
      <c r="F54" s="550">
        <f>'Arable fixed costs'!G175</f>
        <v>195.65700000000001</v>
      </c>
      <c r="G54" s="550">
        <f>'Arable fixed costs'!H175</f>
        <v>246.96</v>
      </c>
      <c r="H54" s="550">
        <f>'Arable fixed costs'!I175</f>
        <v>98.784000000000006</v>
      </c>
      <c r="I54" s="550">
        <f>'Arable fixed costs'!K175</f>
        <v>148.17600000000002</v>
      </c>
      <c r="K54" s="2"/>
      <c r="AI54" s="2"/>
    </row>
    <row r="55" spans="1:35" ht="14.25" customHeight="1" x14ac:dyDescent="0.3">
      <c r="A55" s="2"/>
      <c r="B55" s="10"/>
      <c r="C55" s="33" t="s">
        <v>180</v>
      </c>
      <c r="D55" s="79" t="s">
        <v>571</v>
      </c>
      <c r="E55" s="550">
        <f>'Arable fixed costs'!F176</f>
        <v>1139.8380000000002</v>
      </c>
      <c r="F55" s="550">
        <f>'Arable fixed costs'!G176</f>
        <v>1139.8380000000002</v>
      </c>
      <c r="G55" s="550">
        <f>'Arable fixed costs'!H176</f>
        <v>616.077</v>
      </c>
      <c r="H55" s="550">
        <f>'Arable fixed costs'!I176</f>
        <v>1361.5140000000001</v>
      </c>
      <c r="I55" s="550">
        <f>'Arable fixed costs'!K176</f>
        <v>857.50000000000011</v>
      </c>
      <c r="K55" s="2"/>
      <c r="AI55" s="2"/>
    </row>
    <row r="56" spans="1:35" ht="14.25" customHeight="1" x14ac:dyDescent="0.3">
      <c r="A56" s="2"/>
      <c r="B56" s="10"/>
      <c r="C56" s="33" t="s">
        <v>207</v>
      </c>
      <c r="D56" s="79" t="s">
        <v>571</v>
      </c>
      <c r="E56" s="550">
        <f>'Arable fixed costs'!F177</f>
        <v>0</v>
      </c>
      <c r="F56" s="550">
        <f>'Arable fixed costs'!G177</f>
        <v>0</v>
      </c>
      <c r="G56" s="550">
        <f>'Arable fixed costs'!H177</f>
        <v>0</v>
      </c>
      <c r="H56" s="550">
        <f>'Arable fixed costs'!I177</f>
        <v>0</v>
      </c>
      <c r="I56" s="550">
        <f>'Arable fixed costs'!K177</f>
        <v>0</v>
      </c>
      <c r="K56" s="2"/>
      <c r="AI56" s="2"/>
    </row>
    <row r="57" spans="1:35" ht="14.25" customHeight="1" x14ac:dyDescent="0.3">
      <c r="A57" s="2"/>
      <c r="B57" s="10"/>
      <c r="C57" s="32" t="s">
        <v>153</v>
      </c>
      <c r="D57" s="79" t="s">
        <v>571</v>
      </c>
      <c r="E57" s="550">
        <f>'Arable fixed costs'!F178</f>
        <v>328.93700000000001</v>
      </c>
      <c r="F57" s="550">
        <f>'Arable fixed costs'!G178</f>
        <v>273.81200000000001</v>
      </c>
      <c r="G57" s="550">
        <f>'Arable fixed costs'!H178</f>
        <v>350.98700000000002</v>
      </c>
      <c r="H57" s="550">
        <f>'Arable fixed costs'!I178</f>
        <v>0</v>
      </c>
      <c r="I57" s="550">
        <f>'Arable fixed costs'!K178</f>
        <v>0</v>
      </c>
      <c r="K57" s="2"/>
      <c r="AI57" s="2"/>
    </row>
    <row r="58" spans="1:35" ht="14.25" customHeight="1" x14ac:dyDescent="0.3">
      <c r="A58" s="2"/>
      <c r="B58" s="10"/>
      <c r="C58" s="32" t="s">
        <v>97</v>
      </c>
      <c r="D58" s="79" t="s">
        <v>571</v>
      </c>
      <c r="E58" s="550">
        <f>'Arable fixed costs'!F179</f>
        <v>0</v>
      </c>
      <c r="F58" s="550">
        <f>'Arable fixed costs'!G179</f>
        <v>0</v>
      </c>
      <c r="G58" s="550">
        <f>'Arable fixed costs'!H179</f>
        <v>82.320000000000007</v>
      </c>
      <c r="H58" s="550">
        <f>'Arable fixed costs'!I179</f>
        <v>0</v>
      </c>
      <c r="I58" s="550">
        <f>'Arable fixed costs'!K179</f>
        <v>0</v>
      </c>
      <c r="K58" s="2"/>
      <c r="AI58" s="2"/>
    </row>
    <row r="59" spans="1:35" ht="14.25" customHeight="1" x14ac:dyDescent="0.3">
      <c r="A59" s="2"/>
      <c r="B59" s="10"/>
      <c r="C59" s="82" t="s">
        <v>208</v>
      </c>
      <c r="D59" s="80" t="s">
        <v>571</v>
      </c>
      <c r="E59" s="551">
        <f>'Arable fixed costs'!F180</f>
        <v>0</v>
      </c>
      <c r="F59" s="551">
        <f>'Arable fixed costs'!G180</f>
        <v>0</v>
      </c>
      <c r="G59" s="551">
        <f>'Arable fixed costs'!H180</f>
        <v>0</v>
      </c>
      <c r="H59" s="551">
        <f>'Arable fixed costs'!I180</f>
        <v>0</v>
      </c>
      <c r="I59" s="551">
        <f>'Arable fixed costs'!K180</f>
        <v>0</v>
      </c>
      <c r="K59" s="2"/>
      <c r="AI59" s="2"/>
    </row>
    <row r="60" spans="1:35" ht="14.25" customHeight="1" x14ac:dyDescent="0.3">
      <c r="A60" s="2"/>
      <c r="B60" s="417"/>
      <c r="C60" s="81" t="s">
        <v>21</v>
      </c>
      <c r="D60" s="18" t="s">
        <v>571</v>
      </c>
      <c r="E60" s="549">
        <f>'Arable fixed costs'!F183</f>
        <v>3359.4694000000004</v>
      </c>
      <c r="F60" s="549">
        <f>'Arable fixed costs'!G183</f>
        <v>2995.1348000000007</v>
      </c>
      <c r="G60" s="549">
        <f>'Arable fixed costs'!H183</f>
        <v>1768.3806</v>
      </c>
      <c r="H60" s="549">
        <f>'Arable fixed costs'!I183</f>
        <v>2916.8132000000005</v>
      </c>
      <c r="I60" s="549">
        <f>'Arable fixed costs'!K183</f>
        <v>3068.2624000000001</v>
      </c>
      <c r="K60" s="2"/>
      <c r="AI60" s="2"/>
    </row>
    <row r="61" spans="1:35" ht="14.25" customHeight="1" x14ac:dyDescent="0.3">
      <c r="A61" s="2"/>
      <c r="B61" s="370"/>
      <c r="C61" s="82" t="s">
        <v>22</v>
      </c>
      <c r="D61" s="80" t="s">
        <v>571</v>
      </c>
      <c r="E61" s="551">
        <f>'Arable fixed costs'!F184</f>
        <v>328.93700000000001</v>
      </c>
      <c r="F61" s="551">
        <f>'Arable fixed costs'!G184</f>
        <v>273.81200000000001</v>
      </c>
      <c r="G61" s="551">
        <f>'Arable fixed costs'!H184</f>
        <v>350.98700000000002</v>
      </c>
      <c r="H61" s="552"/>
      <c r="I61" s="552"/>
      <c r="K61" s="2"/>
      <c r="P61" s="21"/>
      <c r="Q61" s="21"/>
      <c r="R61" s="21"/>
      <c r="S61" s="101"/>
      <c r="AI61" s="2"/>
    </row>
    <row r="62" spans="1:35" ht="14.25" customHeight="1" x14ac:dyDescent="0.3">
      <c r="A62" s="2"/>
      <c r="B62" s="553"/>
      <c r="C62" s="120" t="s">
        <v>233</v>
      </c>
      <c r="D62" s="118" t="s">
        <v>571</v>
      </c>
      <c r="E62" s="554">
        <f>SUM(E60:E61)</f>
        <v>3688.4064000000003</v>
      </c>
      <c r="F62" s="554">
        <f>SUM(F60:F61)</f>
        <v>3268.9468000000006</v>
      </c>
      <c r="G62" s="554">
        <f>SUM(G60:G61)</f>
        <v>2119.3676</v>
      </c>
      <c r="H62" s="554">
        <f>SUM(H60:H61)</f>
        <v>2916.8132000000005</v>
      </c>
      <c r="I62" s="554">
        <f>SUM(I60:I61)</f>
        <v>3068.2624000000001</v>
      </c>
      <c r="K62" s="2"/>
      <c r="AI62" s="2"/>
    </row>
    <row r="63" spans="1:35" ht="14.25" customHeight="1" x14ac:dyDescent="0.3">
      <c r="A63" s="2"/>
      <c r="B63" s="15" t="s">
        <v>234</v>
      </c>
      <c r="C63" s="82" t="s">
        <v>23</v>
      </c>
      <c r="D63" s="23" t="s">
        <v>577</v>
      </c>
      <c r="E63" s="555">
        <f>'Arable Inputs'!$D$31</f>
        <v>17</v>
      </c>
      <c r="F63" s="555">
        <f>'Arable Inputs'!$D$31</f>
        <v>17</v>
      </c>
      <c r="G63" s="555">
        <f>'Arable Inputs'!$D$31</f>
        <v>17</v>
      </c>
      <c r="H63" s="555">
        <f>'Arable Inputs'!$D$31</f>
        <v>17</v>
      </c>
      <c r="I63" s="555">
        <f>'Arable Inputs'!$D$31</f>
        <v>17</v>
      </c>
      <c r="K63" s="2"/>
      <c r="AI63" s="2"/>
    </row>
    <row r="64" spans="1:35" ht="14.25" customHeight="1" x14ac:dyDescent="0.3">
      <c r="A64" s="2"/>
      <c r="B64" s="417"/>
      <c r="C64" s="33" t="s">
        <v>24</v>
      </c>
      <c r="D64" s="30" t="s">
        <v>25</v>
      </c>
      <c r="E64" s="550">
        <f>'Arable fixed costs'!F186</f>
        <v>16.8</v>
      </c>
      <c r="F64" s="550">
        <f>'Arable fixed costs'!G186</f>
        <v>15.2</v>
      </c>
      <c r="G64" s="550">
        <f>'Arable fixed costs'!H186</f>
        <v>20.099999999999998</v>
      </c>
      <c r="H64" s="550">
        <f>'Arable fixed costs'!I186</f>
        <v>26.999999999999996</v>
      </c>
      <c r="I64" s="550">
        <f>'Arable fixed costs'!K186</f>
        <v>9.3000000000000007</v>
      </c>
      <c r="K64" s="2"/>
      <c r="AI64" s="2"/>
    </row>
    <row r="65" spans="1:65" ht="14.25" customHeight="1" x14ac:dyDescent="0.3">
      <c r="A65" s="2"/>
      <c r="B65" s="417"/>
      <c r="C65" s="33" t="s">
        <v>26</v>
      </c>
      <c r="D65" s="30" t="s">
        <v>25</v>
      </c>
      <c r="E65" s="550">
        <f>'Arable fixed costs'!F187</f>
        <v>4.8</v>
      </c>
      <c r="F65" s="550">
        <f>'Arable fixed costs'!G187</f>
        <v>4.8</v>
      </c>
      <c r="G65" s="550">
        <f>'Arable fixed costs'!H187</f>
        <v>4.8</v>
      </c>
      <c r="H65" s="513"/>
      <c r="I65" s="513"/>
      <c r="K65" s="2"/>
      <c r="AI65" s="2"/>
    </row>
    <row r="66" spans="1:65" ht="14.25" customHeight="1" x14ac:dyDescent="0.3">
      <c r="A66" s="2"/>
      <c r="B66" s="417"/>
      <c r="C66" s="81" t="s">
        <v>235</v>
      </c>
      <c r="D66" s="18" t="s">
        <v>571</v>
      </c>
      <c r="E66" s="556">
        <f>E64*E63</f>
        <v>285.60000000000002</v>
      </c>
      <c r="F66" s="556">
        <f>F64*F63</f>
        <v>258.39999999999998</v>
      </c>
      <c r="G66" s="556">
        <f>G64*G63</f>
        <v>341.7</v>
      </c>
      <c r="H66" s="556">
        <f>H64*H63</f>
        <v>458.99999999999994</v>
      </c>
      <c r="I66" s="556">
        <f>I64*I63</f>
        <v>158.10000000000002</v>
      </c>
      <c r="K66" s="2"/>
      <c r="AI66" s="2"/>
    </row>
    <row r="67" spans="1:65" ht="14.25" customHeight="1" x14ac:dyDescent="0.3">
      <c r="A67" s="2"/>
      <c r="B67" s="417"/>
      <c r="C67" s="32" t="s">
        <v>237</v>
      </c>
      <c r="D67" s="80" t="s">
        <v>571</v>
      </c>
      <c r="E67" s="557">
        <f>E65*E63</f>
        <v>81.599999999999994</v>
      </c>
      <c r="F67" s="557">
        <f>F65*F63</f>
        <v>81.599999999999994</v>
      </c>
      <c r="G67" s="557">
        <f>G65*G63</f>
        <v>81.599999999999994</v>
      </c>
      <c r="H67" s="557">
        <f>H65*H63</f>
        <v>0</v>
      </c>
      <c r="I67" s="557">
        <f>I65*I63</f>
        <v>0</v>
      </c>
      <c r="K67" s="2"/>
      <c r="AI67" s="2"/>
    </row>
    <row r="68" spans="1:65" x14ac:dyDescent="0.3">
      <c r="A68" s="2"/>
      <c r="B68" s="558"/>
      <c r="C68" s="121" t="s">
        <v>233</v>
      </c>
      <c r="D68" s="118" t="s">
        <v>571</v>
      </c>
      <c r="E68" s="559">
        <f>E66+E67</f>
        <v>367.20000000000005</v>
      </c>
      <c r="F68" s="559">
        <f>F66+F67</f>
        <v>340</v>
      </c>
      <c r="G68" s="559">
        <f>G66+G67</f>
        <v>423.29999999999995</v>
      </c>
      <c r="H68" s="559">
        <f>H66+H67</f>
        <v>458.99999999999994</v>
      </c>
      <c r="I68" s="559">
        <f>I66+I67</f>
        <v>158.10000000000002</v>
      </c>
      <c r="K68" s="2"/>
      <c r="AI68" s="2"/>
    </row>
    <row r="69" spans="1:65" x14ac:dyDescent="0.3">
      <c r="A69" s="2"/>
      <c r="B69" s="15" t="s">
        <v>238</v>
      </c>
      <c r="C69" s="33" t="s">
        <v>218</v>
      </c>
      <c r="D69" s="118" t="s">
        <v>571</v>
      </c>
      <c r="E69" s="560">
        <f>'Arable Inputs'!$D$11</f>
        <v>0</v>
      </c>
      <c r="F69" s="560">
        <f>'Arable Inputs'!$D$11</f>
        <v>0</v>
      </c>
      <c r="G69" s="560">
        <f>'Arable Inputs'!$D$11</f>
        <v>0</v>
      </c>
      <c r="H69" s="560">
        <f>'Arable Inputs'!$D$11</f>
        <v>0</v>
      </c>
      <c r="I69" s="560">
        <f>'Arable Inputs'!$D$11</f>
        <v>0</v>
      </c>
      <c r="K69" s="2"/>
      <c r="AI69" s="2"/>
    </row>
    <row r="70" spans="1:65" x14ac:dyDescent="0.3">
      <c r="A70" s="2"/>
      <c r="B70" s="417"/>
      <c r="C70" s="37" t="s">
        <v>219</v>
      </c>
      <c r="D70" s="118" t="s">
        <v>571</v>
      </c>
      <c r="E70" s="560">
        <f>'Arable Inputs'!$D$12</f>
        <v>0</v>
      </c>
      <c r="F70" s="560">
        <f>'Arable Inputs'!$D$12</f>
        <v>0</v>
      </c>
      <c r="G70" s="560">
        <f>'Arable Inputs'!$D$12</f>
        <v>0</v>
      </c>
      <c r="H70" s="560">
        <f>'Arable Inputs'!$D$12</f>
        <v>0</v>
      </c>
      <c r="I70" s="560">
        <f>'Arable Inputs'!$D$12</f>
        <v>0</v>
      </c>
      <c r="K70" s="2"/>
      <c r="AI70" s="2"/>
    </row>
    <row r="71" spans="1:65" x14ac:dyDescent="0.3">
      <c r="A71" s="2"/>
      <c r="B71" s="558"/>
      <c r="C71" s="121" t="s">
        <v>233</v>
      </c>
      <c r="D71" s="118" t="s">
        <v>571</v>
      </c>
      <c r="E71" s="561">
        <f>E69+E70</f>
        <v>0</v>
      </c>
      <c r="F71" s="561">
        <f>F69+F70</f>
        <v>0</v>
      </c>
      <c r="G71" s="561">
        <f>G69+G70</f>
        <v>0</v>
      </c>
      <c r="H71" s="561">
        <f>H69+H70</f>
        <v>0</v>
      </c>
      <c r="I71" s="561">
        <f>I69+I70</f>
        <v>0</v>
      </c>
      <c r="K71" s="2"/>
      <c r="AI71" s="2"/>
      <c r="AJ71" s="25"/>
      <c r="AK71" s="25"/>
      <c r="AL71" s="25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</row>
    <row r="72" spans="1:65" x14ac:dyDescent="0.3">
      <c r="A72" s="2"/>
      <c r="B72" s="15" t="s">
        <v>239</v>
      </c>
      <c r="C72" s="309" t="s">
        <v>2</v>
      </c>
      <c r="D72" s="4" t="s">
        <v>573</v>
      </c>
      <c r="E72" s="166">
        <f>E74/E13</f>
        <v>792.40639130434795</v>
      </c>
      <c r="F72" s="166">
        <f>F74/F13</f>
        <v>1301.4139200000004</v>
      </c>
      <c r="G72" s="166">
        <f>G74/G13</f>
        <v>602.88017142857132</v>
      </c>
      <c r="H72" s="166">
        <f>H74/H13</f>
        <v>59.433330985915504</v>
      </c>
      <c r="I72" s="562">
        <f>I74/I13</f>
        <v>268.86353333333335</v>
      </c>
      <c r="K72" s="2"/>
      <c r="AJ72" s="39"/>
      <c r="AK72" s="39"/>
      <c r="AL72" s="39"/>
    </row>
    <row r="73" spans="1:65" x14ac:dyDescent="0.3">
      <c r="A73" s="2"/>
      <c r="B73" s="417"/>
      <c r="C73" s="116" t="s">
        <v>3</v>
      </c>
      <c r="D73" s="5" t="s">
        <v>573</v>
      </c>
      <c r="E73" s="153">
        <f>E75/E14</f>
        <v>83.783061224489799</v>
      </c>
      <c r="F73" s="153">
        <f>F75/F14</f>
        <v>118.47066666666667</v>
      </c>
      <c r="G73" s="153">
        <f>G75/G14</f>
        <v>77.24767857142858</v>
      </c>
      <c r="H73" s="153"/>
      <c r="I73" s="542"/>
      <c r="K73" s="2"/>
      <c r="AJ73" s="39"/>
      <c r="AK73" s="39"/>
      <c r="AL73" s="39"/>
    </row>
    <row r="74" spans="1:65" x14ac:dyDescent="0.3">
      <c r="A74" s="2"/>
      <c r="B74" s="417"/>
      <c r="C74" s="124" t="s">
        <v>2</v>
      </c>
      <c r="D74" s="117" t="s">
        <v>571</v>
      </c>
      <c r="E74" s="99">
        <f>E60+E66+IF(E14&gt;0,E71/2,E71)</f>
        <v>3645.0694000000003</v>
      </c>
      <c r="F74" s="99">
        <f>F60+F66+IF(F14&gt;0,F71/2,F71)</f>
        <v>3253.5348000000008</v>
      </c>
      <c r="G74" s="99">
        <f>G60+G66+IF(G14&gt;0,G71/2,G71)</f>
        <v>2110.0805999999998</v>
      </c>
      <c r="H74" s="99">
        <f>H60+H66+IF(H14&gt;0,H71/2,H71)</f>
        <v>3375.8132000000005</v>
      </c>
      <c r="I74" s="99">
        <f>I60+I66+IF(I14&gt;0,I71/2,I71)</f>
        <v>3226.3624</v>
      </c>
      <c r="K74" s="2"/>
      <c r="AJ74" s="39"/>
      <c r="AK74" s="39"/>
      <c r="AL74" s="39"/>
    </row>
    <row r="75" spans="1:65" x14ac:dyDescent="0.3">
      <c r="A75" s="2"/>
      <c r="B75" s="417"/>
      <c r="C75" s="123" t="s">
        <v>3</v>
      </c>
      <c r="D75" s="118" t="s">
        <v>571</v>
      </c>
      <c r="E75" s="100">
        <f>E61+E67+IF(E14&gt;0,E71/2,0)</f>
        <v>410.53700000000003</v>
      </c>
      <c r="F75" s="100">
        <f>F61+F67+IF(F14&gt;0,F71/2,0)</f>
        <v>355.41200000000003</v>
      </c>
      <c r="G75" s="100">
        <f>G61+G67+IF(G14&gt;0,G71/2,0)</f>
        <v>432.58699999999999</v>
      </c>
      <c r="H75" s="100">
        <f>H61+H67+IF(H14&gt;0,H71/2,0)</f>
        <v>0</v>
      </c>
      <c r="I75" s="100">
        <f>I61+I67+IF(I14&gt;0,I71/2,0)</f>
        <v>0</v>
      </c>
      <c r="K75" s="2"/>
      <c r="AJ75" s="39"/>
      <c r="AK75" s="39"/>
      <c r="AL75" s="39"/>
    </row>
    <row r="76" spans="1:65" x14ac:dyDescent="0.3">
      <c r="A76" s="2"/>
      <c r="B76" s="558"/>
      <c r="C76" s="122" t="s">
        <v>10</v>
      </c>
      <c r="D76" s="118" t="s">
        <v>571</v>
      </c>
      <c r="E76" s="100">
        <f>E74+E75</f>
        <v>4055.6064000000006</v>
      </c>
      <c r="F76" s="100">
        <f>F74+F75</f>
        <v>3608.9468000000006</v>
      </c>
      <c r="G76" s="100">
        <f>G74+G75</f>
        <v>2542.6675999999998</v>
      </c>
      <c r="H76" s="100">
        <f>H74+H75</f>
        <v>3375.8132000000005</v>
      </c>
      <c r="I76" s="100">
        <f>I74+I75</f>
        <v>3226.3624</v>
      </c>
      <c r="K76" s="2"/>
      <c r="AJ76" s="39"/>
      <c r="AK76" s="39"/>
      <c r="AL76" s="39"/>
    </row>
    <row r="77" spans="1:65" x14ac:dyDescent="0.3">
      <c r="A77" s="2"/>
      <c r="B77" s="563"/>
      <c r="C77" s="367"/>
      <c r="D77" s="563"/>
      <c r="E77" s="119"/>
      <c r="F77" s="119"/>
      <c r="G77" s="119"/>
      <c r="H77" s="119"/>
      <c r="I77" s="119"/>
      <c r="K77" s="2"/>
      <c r="AJ77" s="39"/>
      <c r="AK77" s="39"/>
      <c r="AL77" s="39"/>
    </row>
    <row r="78" spans="1:65" x14ac:dyDescent="0.3">
      <c r="A78" s="2"/>
      <c r="B78" s="367"/>
      <c r="C78" s="367"/>
      <c r="D78" s="563"/>
      <c r="E78" s="367"/>
      <c r="F78" s="367"/>
      <c r="G78" s="367"/>
      <c r="H78" s="367"/>
      <c r="I78" s="367"/>
      <c r="K78" s="2"/>
    </row>
    <row r="79" spans="1:65" x14ac:dyDescent="0.3">
      <c r="A79" s="2"/>
      <c r="B79" s="15" t="s">
        <v>88</v>
      </c>
      <c r="C79" s="310" t="s">
        <v>2</v>
      </c>
      <c r="D79" s="4" t="s">
        <v>573</v>
      </c>
      <c r="E79" s="556">
        <f t="shared" ref="E79:I80" si="0">E72+E43</f>
        <v>1319.2246956521742</v>
      </c>
      <c r="F79" s="556">
        <f t="shared" si="0"/>
        <v>2009.7861560000003</v>
      </c>
      <c r="G79" s="556">
        <f t="shared" si="0"/>
        <v>1520.0452428571427</v>
      </c>
      <c r="H79" s="556">
        <f t="shared" si="0"/>
        <v>123.66407570422537</v>
      </c>
      <c r="I79" s="556">
        <f t="shared" si="0"/>
        <v>475.06121000000002</v>
      </c>
      <c r="K79" s="2"/>
    </row>
    <row r="80" spans="1:65" x14ac:dyDescent="0.3">
      <c r="A80" s="2"/>
      <c r="B80" s="370"/>
      <c r="C80" s="116" t="s">
        <v>3</v>
      </c>
      <c r="D80" s="5" t="s">
        <v>573</v>
      </c>
      <c r="E80" s="564">
        <f t="shared" si="0"/>
        <v>146.63306122448981</v>
      </c>
      <c r="F80" s="564">
        <f t="shared" si="0"/>
        <v>181.32066666666668</v>
      </c>
      <c r="G80" s="564">
        <f t="shared" si="0"/>
        <v>140.09767857142859</v>
      </c>
      <c r="H80" s="564">
        <f t="shared" si="0"/>
        <v>0</v>
      </c>
      <c r="I80" s="564">
        <f t="shared" si="0"/>
        <v>0</v>
      </c>
      <c r="K80" s="2"/>
    </row>
    <row r="81" spans="1:33" x14ac:dyDescent="0.3">
      <c r="A81" s="2"/>
      <c r="B81" s="370"/>
      <c r="C81" s="124" t="s">
        <v>2</v>
      </c>
      <c r="D81" s="117" t="s">
        <v>571</v>
      </c>
      <c r="E81" s="565">
        <f t="shared" ref="E81:I83" si="1">E74+E45</f>
        <v>6068.4336000000003</v>
      </c>
      <c r="F81" s="565">
        <f t="shared" si="1"/>
        <v>5024.4653900000012</v>
      </c>
      <c r="G81" s="565">
        <f t="shared" si="1"/>
        <v>5320.1583499999997</v>
      </c>
      <c r="H81" s="565">
        <f t="shared" si="1"/>
        <v>7024.1195000000007</v>
      </c>
      <c r="I81" s="565">
        <f t="shared" si="1"/>
        <v>5700.73452</v>
      </c>
      <c r="K81" s="90"/>
    </row>
    <row r="82" spans="1:33" x14ac:dyDescent="0.3">
      <c r="B82" s="370"/>
      <c r="C82" s="123" t="s">
        <v>3</v>
      </c>
      <c r="D82" s="118" t="s">
        <v>571</v>
      </c>
      <c r="E82" s="566">
        <f t="shared" si="1"/>
        <v>718.50200000000007</v>
      </c>
      <c r="F82" s="566">
        <f t="shared" si="1"/>
        <v>543.96199999999999</v>
      </c>
      <c r="G82" s="566">
        <f t="shared" si="1"/>
        <v>784.54700000000003</v>
      </c>
      <c r="H82" s="566">
        <f t="shared" si="1"/>
        <v>0</v>
      </c>
      <c r="I82" s="566">
        <f t="shared" si="1"/>
        <v>0</v>
      </c>
      <c r="K82" s="2"/>
    </row>
    <row r="83" spans="1:33" x14ac:dyDescent="0.3">
      <c r="B83" s="553"/>
      <c r="C83" s="122" t="s">
        <v>10</v>
      </c>
      <c r="D83" s="118" t="s">
        <v>571</v>
      </c>
      <c r="E83" s="566">
        <f t="shared" si="1"/>
        <v>6786.9356000000007</v>
      </c>
      <c r="F83" s="566">
        <f t="shared" si="1"/>
        <v>5568.4273900000007</v>
      </c>
      <c r="G83" s="566">
        <f t="shared" si="1"/>
        <v>6104.7053500000002</v>
      </c>
      <c r="H83" s="566">
        <f t="shared" si="1"/>
        <v>7024.1195000000007</v>
      </c>
      <c r="I83" s="566">
        <f t="shared" si="1"/>
        <v>5700.73452</v>
      </c>
      <c r="K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x14ac:dyDescent="0.3">
      <c r="B84" s="367"/>
      <c r="C84" s="367"/>
      <c r="D84" s="367"/>
      <c r="E84" s="367"/>
      <c r="F84" s="367"/>
      <c r="G84" s="367"/>
      <c r="H84" s="367"/>
      <c r="I84" s="367"/>
      <c r="K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x14ac:dyDescent="0.3">
      <c r="B85" s="367"/>
      <c r="C85" s="367"/>
      <c r="D85" s="367"/>
      <c r="E85" s="367"/>
      <c r="F85" s="367"/>
      <c r="G85" s="367"/>
      <c r="H85" s="367"/>
      <c r="I85" s="367"/>
      <c r="K85" s="104"/>
    </row>
    <row r="86" spans="1:33" x14ac:dyDescent="0.3">
      <c r="B86" s="15" t="s">
        <v>27</v>
      </c>
      <c r="C86" s="310" t="s">
        <v>2</v>
      </c>
      <c r="D86" s="117" t="s">
        <v>573</v>
      </c>
      <c r="E86" s="164">
        <f>E19-(E43+E72)</f>
        <v>-349.69426086956537</v>
      </c>
      <c r="F86" s="164">
        <f>F19-(F43+F72)</f>
        <v>-1100.1301560000004</v>
      </c>
      <c r="G86" s="164">
        <f>G19-(G43+G72)</f>
        <v>259.709042857143</v>
      </c>
      <c r="H86" s="164">
        <f>H19-(H43+H72)</f>
        <v>4.6394454225352177</v>
      </c>
      <c r="I86" s="162">
        <f>I19-(I43+I72)</f>
        <v>288.24212333333327</v>
      </c>
    </row>
    <row r="87" spans="1:33" x14ac:dyDescent="0.3">
      <c r="B87" s="417"/>
      <c r="C87" s="116" t="s">
        <v>3</v>
      </c>
      <c r="D87" s="118" t="s">
        <v>573</v>
      </c>
      <c r="E87" s="153">
        <f t="shared" ref="E87:G90" si="2">E20-(E44+E73)</f>
        <v>-6.6330612244898077</v>
      </c>
      <c r="F87" s="153">
        <f t="shared" si="2"/>
        <v>-61.320666666666682</v>
      </c>
      <c r="G87" s="153">
        <f t="shared" si="2"/>
        <v>-20.097678571428574</v>
      </c>
      <c r="H87" s="153"/>
      <c r="I87" s="542"/>
    </row>
    <row r="88" spans="1:33" x14ac:dyDescent="0.3">
      <c r="B88" s="417"/>
      <c r="C88" s="124" t="s">
        <v>2</v>
      </c>
      <c r="D88" s="117" t="s">
        <v>571</v>
      </c>
      <c r="E88" s="99">
        <f t="shared" si="2"/>
        <v>-1608.5936000000002</v>
      </c>
      <c r="F88" s="99">
        <f t="shared" si="2"/>
        <v>-2750.3253900000013</v>
      </c>
      <c r="G88" s="99">
        <f t="shared" si="2"/>
        <v>908.98165000000063</v>
      </c>
      <c r="H88" s="99">
        <f>H21-(H45+H74)</f>
        <v>263.52049999999963</v>
      </c>
      <c r="I88" s="567">
        <f>I21-(I45+I74)</f>
        <v>3458.9054799999994</v>
      </c>
    </row>
    <row r="89" spans="1:33" x14ac:dyDescent="0.3">
      <c r="B89" s="417"/>
      <c r="C89" s="123" t="s">
        <v>3</v>
      </c>
      <c r="D89" s="118" t="s">
        <v>571</v>
      </c>
      <c r="E89" s="100">
        <f t="shared" si="2"/>
        <v>-32.502000000000066</v>
      </c>
      <c r="F89" s="100">
        <f t="shared" si="2"/>
        <v>-183.96199999999999</v>
      </c>
      <c r="G89" s="100">
        <f t="shared" si="2"/>
        <v>-112.54700000000003</v>
      </c>
      <c r="H89" s="100"/>
      <c r="I89" s="568"/>
    </row>
    <row r="90" spans="1:33" x14ac:dyDescent="0.3">
      <c r="B90" s="558"/>
      <c r="C90" s="122" t="s">
        <v>10</v>
      </c>
      <c r="D90" s="118" t="s">
        <v>571</v>
      </c>
      <c r="E90" s="100">
        <f t="shared" si="2"/>
        <v>-1641.0956000000006</v>
      </c>
      <c r="F90" s="100">
        <f t="shared" si="2"/>
        <v>-2934.2873900000009</v>
      </c>
      <c r="G90" s="100">
        <f t="shared" si="2"/>
        <v>796.43465000000015</v>
      </c>
      <c r="H90" s="100">
        <f>H23-(H47+H76)</f>
        <v>263.52049999999963</v>
      </c>
      <c r="I90" s="568">
        <f>I23-(I47+I76)</f>
        <v>3458.9054799999994</v>
      </c>
    </row>
    <row r="91" spans="1:33" x14ac:dyDescent="0.3">
      <c r="B91" s="367"/>
      <c r="C91" s="367"/>
      <c r="D91" s="367"/>
      <c r="E91" s="367"/>
      <c r="F91" s="367"/>
      <c r="G91" s="367"/>
      <c r="H91" s="367"/>
      <c r="I91" s="367"/>
    </row>
    <row r="92" spans="1:33" x14ac:dyDescent="0.3">
      <c r="B92" s="367"/>
      <c r="C92" s="367"/>
      <c r="D92" s="367"/>
      <c r="E92" s="367"/>
      <c r="F92" s="367"/>
      <c r="G92" s="367"/>
      <c r="H92" s="367"/>
      <c r="I92" s="367"/>
    </row>
    <row r="93" spans="1:33" x14ac:dyDescent="0.3">
      <c r="B93" s="367"/>
      <c r="C93" s="367"/>
      <c r="D93" s="367"/>
      <c r="E93" s="367"/>
      <c r="F93" s="367"/>
      <c r="G93" s="367"/>
      <c r="H93" s="367"/>
      <c r="I93" s="367"/>
    </row>
    <row r="94" spans="1:33" x14ac:dyDescent="0.3">
      <c r="B94" s="569"/>
      <c r="C94" s="367" t="s">
        <v>361</v>
      </c>
      <c r="D94" s="367"/>
      <c r="E94" s="367"/>
      <c r="F94" s="367"/>
      <c r="G94" s="367"/>
      <c r="H94" s="367"/>
      <c r="I94" s="367"/>
    </row>
    <row r="95" spans="1:33" x14ac:dyDescent="0.3">
      <c r="B95" s="570"/>
      <c r="C95" s="367" t="s">
        <v>230</v>
      </c>
      <c r="D95" s="367"/>
      <c r="E95" s="367"/>
      <c r="F95" s="367"/>
      <c r="G95" s="367"/>
      <c r="H95" s="367"/>
      <c r="I95" s="367"/>
    </row>
    <row r="96" spans="1:33" x14ac:dyDescent="0.3">
      <c r="B96" s="366"/>
      <c r="C96" s="366"/>
      <c r="D96" s="366"/>
      <c r="E96" s="366"/>
      <c r="F96" s="366"/>
      <c r="G96" s="366"/>
      <c r="H96" s="366"/>
      <c r="I96" s="366"/>
    </row>
    <row r="123" s="39" customFormat="1" x14ac:dyDescent="0.3"/>
  </sheetData>
  <sheetProtection selectLockedCells="1" selectUnlockedCells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O109"/>
  <sheetViews>
    <sheetView topLeftCell="A25" workbookViewId="0">
      <selection activeCell="H92" sqref="H92"/>
    </sheetView>
  </sheetViews>
  <sheetFormatPr defaultColWidth="9" defaultRowHeight="14" x14ac:dyDescent="0.3"/>
  <cols>
    <col min="2" max="2" width="28.5" customWidth="1"/>
    <col min="3" max="3" width="10.5" customWidth="1"/>
    <col min="14" max="14" width="12.33203125" customWidth="1"/>
    <col min="15" max="15" width="10.08203125" customWidth="1"/>
  </cols>
  <sheetData>
    <row r="2" spans="2:15" ht="14.5" thickBot="1" x14ac:dyDescent="0.35"/>
    <row r="3" spans="2:15" ht="14.5" thickBot="1" x14ac:dyDescent="0.35">
      <c r="B3" s="302" t="s">
        <v>578</v>
      </c>
    </row>
    <row r="4" spans="2:15" x14ac:dyDescent="0.3">
      <c r="B4" s="63"/>
      <c r="C4" s="63"/>
      <c r="D4" s="63"/>
      <c r="E4" s="63"/>
      <c r="F4" s="63"/>
      <c r="G4" s="63"/>
      <c r="H4" s="63"/>
      <c r="I4" s="63"/>
      <c r="J4" s="63"/>
      <c r="K4" s="63"/>
    </row>
    <row r="5" spans="2:15" x14ac:dyDescent="0.3">
      <c r="B5" s="24"/>
      <c r="C5" s="24"/>
      <c r="D5" s="24"/>
      <c r="E5" s="24"/>
      <c r="F5" s="24"/>
      <c r="G5" s="24"/>
      <c r="H5" s="24"/>
      <c r="I5" s="24"/>
      <c r="J5" s="24"/>
      <c r="K5" s="24"/>
    </row>
    <row r="6" spans="2:15" x14ac:dyDescent="0.3">
      <c r="B6" s="51" t="s">
        <v>216</v>
      </c>
      <c r="C6" s="44"/>
      <c r="D6" s="44"/>
      <c r="E6" s="44"/>
      <c r="F6" s="44"/>
      <c r="G6" s="44"/>
    </row>
    <row r="7" spans="2:15" x14ac:dyDescent="0.3">
      <c r="B7" s="24"/>
      <c r="C7" s="24"/>
      <c r="D7" s="24"/>
      <c r="E7" s="24"/>
      <c r="F7" s="24"/>
      <c r="G7" s="24"/>
    </row>
    <row r="8" spans="2:15" x14ac:dyDescent="0.3">
      <c r="B8" s="393" t="s">
        <v>396</v>
      </c>
      <c r="C8" s="404"/>
      <c r="D8" s="770">
        <f>'Arable Inputs'!D8</f>
        <v>4.9000000000000004</v>
      </c>
      <c r="E8" s="24"/>
      <c r="F8" s="24"/>
      <c r="G8" s="24"/>
    </row>
    <row r="9" spans="2:15" x14ac:dyDescent="0.3">
      <c r="B9" s="146" t="s">
        <v>287</v>
      </c>
      <c r="C9" s="147" t="s">
        <v>306</v>
      </c>
      <c r="D9" s="769">
        <f>'Arable Inputs'!D9</f>
        <v>0.04</v>
      </c>
      <c r="E9" s="24"/>
      <c r="F9" s="24"/>
      <c r="G9" s="24"/>
    </row>
    <row r="10" spans="2:15" x14ac:dyDescent="0.3">
      <c r="B10" s="146" t="s">
        <v>591</v>
      </c>
      <c r="C10" s="147" t="s">
        <v>571</v>
      </c>
      <c r="D10" s="1001">
        <f>'Arable Inputs'!D10</f>
        <v>471.64</v>
      </c>
      <c r="E10" s="24"/>
      <c r="F10" s="24"/>
      <c r="G10" s="24"/>
    </row>
    <row r="11" spans="2:15" x14ac:dyDescent="0.3">
      <c r="B11" s="24"/>
      <c r="C11" s="24"/>
      <c r="D11" s="24"/>
      <c r="E11" s="24"/>
      <c r="F11" s="24"/>
      <c r="G11" s="24"/>
    </row>
    <row r="12" spans="2:15" x14ac:dyDescent="0.3">
      <c r="B12" s="24"/>
      <c r="C12" s="24"/>
      <c r="D12" s="24"/>
      <c r="E12" s="24"/>
      <c r="F12" s="24"/>
      <c r="G12" s="24"/>
    </row>
    <row r="13" spans="2:15" x14ac:dyDescent="0.3">
      <c r="B13" s="51" t="s">
        <v>243</v>
      </c>
      <c r="C13" s="44"/>
      <c r="D13" s="44"/>
      <c r="E13" s="44"/>
      <c r="F13" s="44"/>
      <c r="G13" s="44"/>
    </row>
    <row r="14" spans="2:15" x14ac:dyDescent="0.3">
      <c r="B14" s="24"/>
      <c r="C14" s="24"/>
      <c r="D14" s="24"/>
      <c r="E14" s="24"/>
      <c r="F14" s="24"/>
      <c r="G14" s="24"/>
    </row>
    <row r="15" spans="2:15" x14ac:dyDescent="0.3">
      <c r="B15" s="102"/>
      <c r="C15" s="102"/>
      <c r="D15" s="150" t="s">
        <v>92</v>
      </c>
      <c r="E15" s="150" t="s">
        <v>93</v>
      </c>
      <c r="F15" s="151" t="s">
        <v>244</v>
      </c>
      <c r="G15" s="151" t="s">
        <v>437</v>
      </c>
      <c r="O15" s="39"/>
    </row>
    <row r="16" spans="2:15" x14ac:dyDescent="0.3">
      <c r="B16" s="146" t="s">
        <v>289</v>
      </c>
      <c r="C16" s="48" t="s">
        <v>256</v>
      </c>
      <c r="D16" s="584">
        <v>16</v>
      </c>
      <c r="E16" s="584">
        <v>16</v>
      </c>
      <c r="F16" s="584">
        <v>16</v>
      </c>
      <c r="G16" s="584">
        <v>16</v>
      </c>
    </row>
    <row r="17" spans="2:10" x14ac:dyDescent="0.3">
      <c r="B17" s="146" t="s">
        <v>368</v>
      </c>
      <c r="C17" s="48" t="s">
        <v>256</v>
      </c>
      <c r="D17" s="892">
        <v>4</v>
      </c>
      <c r="E17" s="892">
        <v>1</v>
      </c>
      <c r="F17" s="892">
        <v>1</v>
      </c>
      <c r="G17" s="892">
        <v>2</v>
      </c>
    </row>
    <row r="18" spans="2:10" x14ac:dyDescent="0.3">
      <c r="B18" s="46" t="s">
        <v>369</v>
      </c>
      <c r="C18" s="65" t="s">
        <v>256</v>
      </c>
      <c r="D18" s="585">
        <v>3</v>
      </c>
      <c r="E18" s="585">
        <v>1</v>
      </c>
      <c r="F18" s="585">
        <v>1</v>
      </c>
      <c r="G18" s="585">
        <v>1</v>
      </c>
    </row>
    <row r="20" spans="2:10" x14ac:dyDescent="0.3">
      <c r="B20" s="24"/>
      <c r="C20" s="24"/>
      <c r="D20" s="24"/>
      <c r="E20" s="24"/>
      <c r="F20" s="24"/>
      <c r="G20" s="24"/>
    </row>
    <row r="21" spans="2:10" x14ac:dyDescent="0.3">
      <c r="B21" s="51" t="s">
        <v>245</v>
      </c>
      <c r="C21" s="44"/>
      <c r="D21" s="44"/>
      <c r="E21" s="44"/>
      <c r="F21" s="44"/>
      <c r="G21" s="44"/>
      <c r="H21" s="962" t="s">
        <v>557</v>
      </c>
    </row>
    <row r="22" spans="2:10" x14ac:dyDescent="0.3">
      <c r="B22" s="24"/>
      <c r="C22" s="24"/>
      <c r="D22" s="24"/>
      <c r="E22" s="24"/>
      <c r="F22" s="24"/>
      <c r="G22" s="24"/>
      <c r="H22" s="962"/>
    </row>
    <row r="23" spans="2:10" x14ac:dyDescent="0.3">
      <c r="B23" s="24"/>
      <c r="C23" s="24"/>
      <c r="D23" s="150" t="s">
        <v>92</v>
      </c>
      <c r="E23" s="150" t="s">
        <v>93</v>
      </c>
      <c r="F23" s="151" t="s">
        <v>94</v>
      </c>
      <c r="G23" s="151" t="s">
        <v>437</v>
      </c>
      <c r="H23" s="962"/>
    </row>
    <row r="24" spans="2:10" x14ac:dyDescent="0.3">
      <c r="B24" s="963" t="s">
        <v>558</v>
      </c>
      <c r="C24" s="44" t="s">
        <v>90</v>
      </c>
      <c r="D24" s="961">
        <f>25</f>
        <v>25</v>
      </c>
      <c r="E24" s="961">
        <v>12.54</v>
      </c>
      <c r="F24" s="961">
        <v>11.617000000000001</v>
      </c>
      <c r="G24" s="961">
        <v>16.3</v>
      </c>
      <c r="H24" s="962"/>
      <c r="I24" s="869"/>
      <c r="J24" s="869"/>
    </row>
    <row r="25" spans="2:10" ht="14.25" customHeight="1" x14ac:dyDescent="0.3">
      <c r="B25" s="24" t="s">
        <v>257</v>
      </c>
      <c r="C25" s="24"/>
      <c r="D25" s="24"/>
      <c r="E25" s="24"/>
      <c r="F25" s="24"/>
      <c r="G25" s="24"/>
      <c r="H25" s="962"/>
    </row>
    <row r="26" spans="2:10" x14ac:dyDescent="0.3">
      <c r="B26" s="24"/>
      <c r="C26" s="24"/>
      <c r="D26" s="24"/>
      <c r="E26" s="24"/>
      <c r="F26" s="24"/>
      <c r="G26" s="24"/>
      <c r="H26" s="962"/>
    </row>
    <row r="27" spans="2:10" x14ac:dyDescent="0.3">
      <c r="B27" s="51" t="s">
        <v>538</v>
      </c>
      <c r="C27" s="44"/>
      <c r="D27" s="44"/>
      <c r="E27" s="44"/>
      <c r="F27" s="44"/>
      <c r="G27" s="44"/>
      <c r="H27" s="962"/>
    </row>
    <row r="28" spans="2:10" x14ac:dyDescent="0.3">
      <c r="B28" s="24"/>
      <c r="C28" s="24"/>
      <c r="D28" s="24"/>
      <c r="E28" s="24"/>
      <c r="F28" s="24"/>
      <c r="G28" s="24"/>
      <c r="H28" s="962"/>
    </row>
    <row r="29" spans="2:10" x14ac:dyDescent="0.3">
      <c r="B29" s="24"/>
      <c r="C29" s="921" t="s">
        <v>540</v>
      </c>
      <c r="D29" s="150" t="s">
        <v>92</v>
      </c>
      <c r="E29" s="150" t="s">
        <v>93</v>
      </c>
      <c r="F29" s="151" t="s">
        <v>94</v>
      </c>
      <c r="G29" s="151" t="s">
        <v>437</v>
      </c>
      <c r="H29" s="962"/>
    </row>
    <row r="30" spans="2:10" x14ac:dyDescent="0.3">
      <c r="B30" s="146" t="s">
        <v>539</v>
      </c>
      <c r="C30" s="150">
        <v>1</v>
      </c>
      <c r="D30" s="918"/>
      <c r="E30" s="918">
        <v>4.784688995215311E-2</v>
      </c>
      <c r="F30" s="918">
        <v>0.1761785888496743</v>
      </c>
      <c r="G30" s="918">
        <v>0</v>
      </c>
      <c r="H30" s="962"/>
    </row>
    <row r="31" spans="2:10" x14ac:dyDescent="0.3">
      <c r="B31" s="24"/>
      <c r="C31" s="920">
        <v>2</v>
      </c>
      <c r="D31" s="919"/>
      <c r="E31" s="919">
        <v>0.31299840510366833</v>
      </c>
      <c r="F31" s="919">
        <v>0.71188775071016608</v>
      </c>
      <c r="G31" s="919">
        <v>0.60940695296523517</v>
      </c>
      <c r="H31" s="962"/>
    </row>
    <row r="32" spans="2:10" x14ac:dyDescent="0.3">
      <c r="B32" s="24"/>
      <c r="C32" s="150">
        <v>3</v>
      </c>
      <c r="D32" s="919"/>
      <c r="E32" s="919">
        <v>0.88516746411483238</v>
      </c>
      <c r="F32" s="919">
        <v>0.94057559323979223</v>
      </c>
      <c r="G32" s="919">
        <v>0.90184049079754602</v>
      </c>
      <c r="H32" s="962"/>
    </row>
    <row r="33" spans="2:8" x14ac:dyDescent="0.3">
      <c r="B33" s="24"/>
      <c r="C33" s="920">
        <v>4</v>
      </c>
      <c r="D33" s="919">
        <v>1</v>
      </c>
      <c r="E33" s="919">
        <v>1</v>
      </c>
      <c r="F33" s="919">
        <v>1</v>
      </c>
      <c r="G33" s="919">
        <v>0.96523517382413093</v>
      </c>
      <c r="H33" s="962"/>
    </row>
    <row r="34" spans="2:8" x14ac:dyDescent="0.3">
      <c r="B34" s="24"/>
      <c r="C34" s="150">
        <v>5</v>
      </c>
      <c r="D34" s="919"/>
      <c r="E34" s="919">
        <v>1</v>
      </c>
      <c r="F34" s="919">
        <v>1</v>
      </c>
      <c r="G34" s="919">
        <v>1</v>
      </c>
      <c r="H34" s="962"/>
    </row>
    <row r="35" spans="2:8" x14ac:dyDescent="0.3">
      <c r="B35" s="24"/>
      <c r="C35" s="920">
        <v>6</v>
      </c>
      <c r="D35" s="919"/>
      <c r="E35" s="919">
        <v>1</v>
      </c>
      <c r="F35" s="919">
        <v>1</v>
      </c>
      <c r="G35" s="919">
        <v>1</v>
      </c>
      <c r="H35" s="962"/>
    </row>
    <row r="36" spans="2:8" x14ac:dyDescent="0.3">
      <c r="B36" s="24"/>
      <c r="C36" s="150">
        <v>7</v>
      </c>
      <c r="D36" s="919">
        <v>1</v>
      </c>
      <c r="E36" s="919">
        <v>1</v>
      </c>
      <c r="F36" s="919">
        <v>1</v>
      </c>
      <c r="G36" s="919">
        <v>1</v>
      </c>
      <c r="H36" s="962"/>
    </row>
    <row r="37" spans="2:8" x14ac:dyDescent="0.3">
      <c r="B37" s="24"/>
      <c r="C37" s="920">
        <v>8</v>
      </c>
      <c r="D37" s="919"/>
      <c r="E37" s="919">
        <v>1</v>
      </c>
      <c r="F37" s="919">
        <v>1</v>
      </c>
      <c r="G37" s="919">
        <v>1</v>
      </c>
      <c r="H37" s="962"/>
    </row>
    <row r="38" spans="2:8" x14ac:dyDescent="0.3">
      <c r="B38" s="24"/>
      <c r="C38" s="150">
        <v>9</v>
      </c>
      <c r="D38" s="919"/>
      <c r="E38" s="919">
        <v>1</v>
      </c>
      <c r="F38" s="919">
        <v>1</v>
      </c>
      <c r="G38" s="919">
        <v>1</v>
      </c>
      <c r="H38" s="962"/>
    </row>
    <row r="39" spans="2:8" x14ac:dyDescent="0.3">
      <c r="B39" s="24"/>
      <c r="C39" s="920">
        <v>10</v>
      </c>
      <c r="D39" s="919">
        <v>1</v>
      </c>
      <c r="E39" s="919">
        <v>1</v>
      </c>
      <c r="F39" s="919">
        <v>1</v>
      </c>
      <c r="G39" s="919">
        <v>1</v>
      </c>
      <c r="H39" s="962"/>
    </row>
    <row r="40" spans="2:8" x14ac:dyDescent="0.3">
      <c r="B40" s="24"/>
      <c r="C40" s="150">
        <v>11</v>
      </c>
      <c r="D40" s="919"/>
      <c r="E40" s="919">
        <v>1</v>
      </c>
      <c r="F40" s="919">
        <v>1</v>
      </c>
      <c r="G40" s="919">
        <v>1</v>
      </c>
      <c r="H40" s="962"/>
    </row>
    <row r="41" spans="2:8" x14ac:dyDescent="0.3">
      <c r="B41" s="24"/>
      <c r="C41" s="920">
        <v>12</v>
      </c>
      <c r="D41" s="919"/>
      <c r="E41" s="919">
        <v>1</v>
      </c>
      <c r="F41" s="919">
        <v>1</v>
      </c>
      <c r="G41" s="919">
        <v>1</v>
      </c>
      <c r="H41" s="962"/>
    </row>
    <row r="42" spans="2:8" x14ac:dyDescent="0.3">
      <c r="B42" s="24"/>
      <c r="C42" s="150">
        <v>13</v>
      </c>
      <c r="D42" s="919">
        <v>1</v>
      </c>
      <c r="E42" s="919">
        <v>1</v>
      </c>
      <c r="F42" s="919">
        <v>1</v>
      </c>
      <c r="G42" s="919">
        <v>1</v>
      </c>
      <c r="H42" s="962"/>
    </row>
    <row r="43" spans="2:8" x14ac:dyDescent="0.3">
      <c r="B43" s="24"/>
      <c r="C43" s="920">
        <v>14</v>
      </c>
      <c r="D43" s="919"/>
      <c r="E43" s="919">
        <v>1</v>
      </c>
      <c r="F43" s="919">
        <v>1</v>
      </c>
      <c r="G43" s="919">
        <v>1</v>
      </c>
      <c r="H43" s="962"/>
    </row>
    <row r="44" spans="2:8" x14ac:dyDescent="0.3">
      <c r="B44" s="24"/>
      <c r="C44" s="150">
        <v>15</v>
      </c>
      <c r="D44" s="919"/>
      <c r="E44" s="919">
        <v>1</v>
      </c>
      <c r="F44" s="919">
        <v>1</v>
      </c>
      <c r="G44" s="919">
        <v>1</v>
      </c>
      <c r="H44" s="962"/>
    </row>
    <row r="45" spans="2:8" x14ac:dyDescent="0.3">
      <c r="B45" s="24"/>
      <c r="C45" s="920">
        <v>16</v>
      </c>
      <c r="D45" s="919">
        <v>1</v>
      </c>
      <c r="E45" s="919">
        <v>1</v>
      </c>
      <c r="F45" s="919">
        <v>1</v>
      </c>
      <c r="G45" s="919">
        <v>1</v>
      </c>
      <c r="H45" s="962"/>
    </row>
    <row r="46" spans="2:8" x14ac:dyDescent="0.3">
      <c r="B46" s="24" t="s">
        <v>541</v>
      </c>
      <c r="C46" s="24"/>
      <c r="D46" s="24"/>
      <c r="E46" s="24"/>
      <c r="F46" s="24"/>
      <c r="G46" s="24"/>
    </row>
    <row r="47" spans="2:8" x14ac:dyDescent="0.3">
      <c r="B47" s="24"/>
      <c r="C47" s="24"/>
      <c r="D47" s="24"/>
      <c r="E47" s="24"/>
      <c r="F47" s="24"/>
      <c r="G47" s="24"/>
    </row>
    <row r="48" spans="2:8" x14ac:dyDescent="0.3">
      <c r="B48" s="51" t="s">
        <v>246</v>
      </c>
      <c r="C48" s="44"/>
      <c r="D48" s="44"/>
      <c r="E48" s="44"/>
      <c r="F48" s="44"/>
      <c r="G48" s="44"/>
    </row>
    <row r="49" spans="2:12" x14ac:dyDescent="0.3">
      <c r="B49" s="24"/>
      <c r="C49" s="24"/>
      <c r="D49" s="24"/>
      <c r="E49" s="24"/>
      <c r="F49" s="24"/>
      <c r="G49" s="24"/>
    </row>
    <row r="50" spans="2:12" x14ac:dyDescent="0.3">
      <c r="B50" s="24"/>
      <c r="C50" s="24"/>
      <c r="D50" s="150" t="s">
        <v>92</v>
      </c>
      <c r="E50" s="150" t="s">
        <v>93</v>
      </c>
      <c r="F50" s="151" t="s">
        <v>94</v>
      </c>
      <c r="G50" s="151" t="s">
        <v>437</v>
      </c>
      <c r="I50" s="24"/>
      <c r="J50" s="24"/>
      <c r="K50" s="24"/>
      <c r="L50" s="24"/>
    </row>
    <row r="51" spans="2:12" x14ac:dyDescent="0.3">
      <c r="B51" s="146" t="s">
        <v>247</v>
      </c>
      <c r="C51" s="48" t="s">
        <v>579</v>
      </c>
      <c r="D51" s="582">
        <v>0.245</v>
      </c>
      <c r="E51" s="583">
        <v>4.5</v>
      </c>
      <c r="F51" s="1002">
        <f>350*'Arable Inputs'!D8/1000</f>
        <v>1.7150000000000003</v>
      </c>
      <c r="G51" s="584">
        <f>590*'Arable Inputs'!D8</f>
        <v>2891</v>
      </c>
      <c r="I51" s="24"/>
      <c r="J51" s="24"/>
      <c r="K51" s="24"/>
      <c r="L51" s="24"/>
    </row>
    <row r="52" spans="2:12" ht="14.25" customHeight="1" x14ac:dyDescent="0.3">
      <c r="B52" s="24"/>
      <c r="C52" s="24"/>
      <c r="D52" s="24"/>
      <c r="E52" s="24"/>
      <c r="F52" s="24"/>
      <c r="G52" s="24"/>
    </row>
    <row r="53" spans="2:12" x14ac:dyDescent="0.3">
      <c r="B53" s="24"/>
      <c r="C53" s="24"/>
      <c r="D53" s="24"/>
      <c r="E53" s="24"/>
      <c r="F53" s="24"/>
      <c r="G53" s="24"/>
    </row>
    <row r="54" spans="2:12" x14ac:dyDescent="0.3">
      <c r="B54" s="24"/>
      <c r="C54" s="24"/>
      <c r="D54" s="24"/>
      <c r="E54" s="24"/>
      <c r="F54" s="24"/>
      <c r="G54" s="24"/>
    </row>
    <row r="55" spans="2:12" x14ac:dyDescent="0.3">
      <c r="B55" s="51" t="s">
        <v>248</v>
      </c>
      <c r="C55" s="44"/>
      <c r="D55" s="44"/>
      <c r="E55" s="44"/>
      <c r="F55" s="44"/>
      <c r="G55" s="44"/>
    </row>
    <row r="56" spans="2:12" x14ac:dyDescent="0.3">
      <c r="B56" s="24"/>
      <c r="C56" s="24"/>
      <c r="D56" s="24"/>
      <c r="E56" s="24"/>
      <c r="F56" s="24"/>
      <c r="G56" s="24"/>
    </row>
    <row r="57" spans="2:12" x14ac:dyDescent="0.3">
      <c r="B57" s="102"/>
      <c r="C57" s="102"/>
      <c r="D57" s="150" t="s">
        <v>92</v>
      </c>
      <c r="E57" s="150" t="s">
        <v>93</v>
      </c>
      <c r="F57" s="151" t="s">
        <v>94</v>
      </c>
      <c r="G57" s="151" t="s">
        <v>437</v>
      </c>
    </row>
    <row r="58" spans="2:12" x14ac:dyDescent="0.3">
      <c r="B58" s="146" t="s">
        <v>249</v>
      </c>
      <c r="C58" s="48" t="s">
        <v>580</v>
      </c>
      <c r="D58" s="893">
        <f>55*$D$8</f>
        <v>269.5</v>
      </c>
      <c r="E58" s="893">
        <f t="shared" ref="E58:G58" si="0">55*$D$8</f>
        <v>269.5</v>
      </c>
      <c r="F58" s="893">
        <f t="shared" si="0"/>
        <v>269.5</v>
      </c>
      <c r="G58" s="812">
        <f t="shared" si="0"/>
        <v>269.5</v>
      </c>
    </row>
    <row r="59" spans="2:12" x14ac:dyDescent="0.3">
      <c r="B59" s="24" t="s">
        <v>259</v>
      </c>
      <c r="C59" s="24"/>
      <c r="D59" s="24"/>
      <c r="E59" s="24"/>
      <c r="F59" s="24"/>
      <c r="G59" s="24"/>
    </row>
    <row r="60" spans="2:12" x14ac:dyDescent="0.3">
      <c r="B60" s="24" t="s">
        <v>260</v>
      </c>
      <c r="C60" s="24"/>
      <c r="D60" s="24"/>
      <c r="E60" s="24"/>
      <c r="F60" s="24"/>
      <c r="G60" s="24"/>
    </row>
    <row r="61" spans="2:12" x14ac:dyDescent="0.3">
      <c r="B61" s="24"/>
      <c r="C61" s="24"/>
      <c r="D61" s="24"/>
      <c r="E61" s="24"/>
      <c r="F61" s="24"/>
      <c r="G61" s="24"/>
    </row>
    <row r="62" spans="2:12" x14ac:dyDescent="0.3">
      <c r="B62" s="51" t="s">
        <v>467</v>
      </c>
      <c r="C62" s="44"/>
      <c r="D62" s="44"/>
      <c r="E62" s="44"/>
      <c r="F62" s="44"/>
      <c r="G62" s="44"/>
    </row>
    <row r="63" spans="2:12" x14ac:dyDescent="0.3">
      <c r="B63" s="24"/>
      <c r="C63" s="24"/>
      <c r="D63" s="24"/>
      <c r="E63" s="24"/>
      <c r="F63" s="24"/>
      <c r="G63" s="24"/>
    </row>
    <row r="64" spans="2:12" x14ac:dyDescent="0.3">
      <c r="B64" s="24"/>
      <c r="C64" s="24"/>
      <c r="D64" s="150" t="s">
        <v>92</v>
      </c>
      <c r="E64" s="150" t="s">
        <v>93</v>
      </c>
      <c r="F64" s="151" t="s">
        <v>94</v>
      </c>
      <c r="G64" s="151" t="s">
        <v>437</v>
      </c>
    </row>
    <row r="65" spans="2:8" x14ac:dyDescent="0.3">
      <c r="B65" s="146" t="s">
        <v>457</v>
      </c>
      <c r="C65" s="48" t="s">
        <v>571</v>
      </c>
      <c r="D65" s="812">
        <f>0.245*15000</f>
        <v>3675</v>
      </c>
      <c r="E65" s="812">
        <f>4.5*14000</f>
        <v>63000</v>
      </c>
      <c r="F65" s="812">
        <f>F51*14000</f>
        <v>24010.000000000004</v>
      </c>
      <c r="G65" s="812">
        <f>G51*2.5</f>
        <v>7227.5</v>
      </c>
    </row>
    <row r="66" spans="2:8" x14ac:dyDescent="0.3">
      <c r="B66" s="26"/>
      <c r="C66" s="26"/>
      <c r="D66" s="870"/>
      <c r="E66" s="870"/>
      <c r="F66" s="871"/>
      <c r="G66" s="872"/>
    </row>
    <row r="67" spans="2:8" x14ac:dyDescent="0.3">
      <c r="B67" s="26"/>
      <c r="C67" s="26"/>
      <c r="D67" s="870"/>
      <c r="E67" s="870"/>
      <c r="F67" s="871"/>
      <c r="G67" s="872"/>
    </row>
    <row r="68" spans="2:8" x14ac:dyDescent="0.3">
      <c r="B68" s="385" t="s">
        <v>229</v>
      </c>
      <c r="C68" s="384"/>
      <c r="D68" s="384"/>
      <c r="E68" s="384"/>
      <c r="F68" s="384"/>
      <c r="G68" s="384"/>
      <c r="H68" s="381"/>
    </row>
    <row r="69" spans="2:8" x14ac:dyDescent="0.3">
      <c r="B69" s="26"/>
      <c r="C69" s="26"/>
      <c r="D69" s="870"/>
      <c r="E69" s="870"/>
      <c r="F69" s="871"/>
      <c r="G69" s="872"/>
    </row>
    <row r="70" spans="2:8" x14ac:dyDescent="0.3">
      <c r="B70" s="381"/>
      <c r="C70" s="381"/>
      <c r="D70" s="380" t="s">
        <v>92</v>
      </c>
      <c r="E70" s="380" t="s">
        <v>93</v>
      </c>
      <c r="F70" s="873" t="s">
        <v>94</v>
      </c>
      <c r="G70" s="873" t="s">
        <v>437</v>
      </c>
    </row>
    <row r="71" spans="2:8" x14ac:dyDescent="0.3">
      <c r="B71" s="379" t="s">
        <v>505</v>
      </c>
      <c r="C71" s="402" t="s">
        <v>226</v>
      </c>
      <c r="D71" s="875">
        <v>90</v>
      </c>
      <c r="E71" s="875">
        <v>100</v>
      </c>
      <c r="F71" s="875">
        <v>100</v>
      </c>
      <c r="G71" s="875">
        <v>100</v>
      </c>
    </row>
    <row r="72" spans="2:8" x14ac:dyDescent="0.3">
      <c r="C72" s="399" t="s">
        <v>448</v>
      </c>
      <c r="D72" s="876">
        <v>80</v>
      </c>
      <c r="E72" s="876">
        <v>80</v>
      </c>
      <c r="F72" s="876">
        <v>80</v>
      </c>
      <c r="G72" s="876">
        <v>80</v>
      </c>
    </row>
    <row r="73" spans="2:8" ht="14.5" x14ac:dyDescent="0.35">
      <c r="C73" s="981" t="s">
        <v>449</v>
      </c>
      <c r="D73" s="876">
        <v>120</v>
      </c>
      <c r="E73" s="876">
        <v>120</v>
      </c>
      <c r="F73" s="876">
        <v>120</v>
      </c>
      <c r="G73" s="876">
        <v>120</v>
      </c>
    </row>
    <row r="74" spans="2:8" ht="14.5" x14ac:dyDescent="0.35">
      <c r="B74" s="26"/>
      <c r="C74" s="874" t="s">
        <v>565</v>
      </c>
      <c r="D74" s="877">
        <v>50</v>
      </c>
      <c r="E74" s="877">
        <v>50</v>
      </c>
      <c r="F74" s="877">
        <v>50</v>
      </c>
      <c r="G74" s="877">
        <v>50</v>
      </c>
    </row>
    <row r="75" spans="2:8" s="39" customFormat="1" x14ac:dyDescent="0.3">
      <c r="B75"/>
      <c r="C75"/>
      <c r="D75"/>
      <c r="E75"/>
      <c r="F75"/>
      <c r="G75"/>
      <c r="H75"/>
    </row>
    <row r="76" spans="2:8" x14ac:dyDescent="0.3">
      <c r="B76" s="51" t="s">
        <v>250</v>
      </c>
      <c r="C76" s="44"/>
      <c r="D76" s="44"/>
      <c r="E76" s="44"/>
      <c r="F76" s="44"/>
      <c r="G76" s="44"/>
    </row>
    <row r="77" spans="2:8" x14ac:dyDescent="0.3">
      <c r="B77" s="24"/>
    </row>
    <row r="78" spans="2:8" x14ac:dyDescent="0.3">
      <c r="B78" s="24"/>
      <c r="C78" s="167"/>
      <c r="D78" s="150" t="s">
        <v>92</v>
      </c>
      <c r="E78" s="150" t="s">
        <v>93</v>
      </c>
      <c r="F78" s="151" t="s">
        <v>94</v>
      </c>
      <c r="G78" s="151" t="s">
        <v>437</v>
      </c>
    </row>
    <row r="79" spans="2:8" x14ac:dyDescent="0.3">
      <c r="B79" s="49" t="s">
        <v>251</v>
      </c>
      <c r="C79" s="148"/>
      <c r="D79" s="152"/>
      <c r="E79" s="152"/>
      <c r="F79" s="152"/>
      <c r="G79" s="174"/>
    </row>
    <row r="80" spans="2:8" x14ac:dyDescent="0.3">
      <c r="B80" s="62" t="s">
        <v>252</v>
      </c>
      <c r="C80" s="170" t="s">
        <v>571</v>
      </c>
      <c r="D80" s="815">
        <v>812</v>
      </c>
      <c r="E80" s="815">
        <v>812</v>
      </c>
      <c r="F80" s="815">
        <v>812</v>
      </c>
      <c r="G80" s="815">
        <v>812</v>
      </c>
    </row>
    <row r="81" spans="2:9" x14ac:dyDescent="0.3">
      <c r="B81" s="41" t="s">
        <v>508</v>
      </c>
      <c r="C81" s="171" t="s">
        <v>571</v>
      </c>
      <c r="D81" s="580">
        <f>'Energy margins'!J40</f>
        <v>988.80000000000007</v>
      </c>
      <c r="E81" s="580">
        <f>'Energy margins'!Q40</f>
        <v>1023.1999999999999</v>
      </c>
      <c r="F81" s="580">
        <f>'Energy margins'!X40</f>
        <v>1023.1999999999999</v>
      </c>
      <c r="G81" s="580">
        <f>'Energy margins'!AE40</f>
        <v>1023.1999999999999</v>
      </c>
    </row>
    <row r="82" spans="2:9" x14ac:dyDescent="0.3">
      <c r="B82" s="41" t="s">
        <v>463</v>
      </c>
      <c r="C82" s="171" t="s">
        <v>571</v>
      </c>
      <c r="D82" s="580">
        <v>327</v>
      </c>
      <c r="E82" s="580">
        <v>327</v>
      </c>
      <c r="F82" s="580">
        <v>327</v>
      </c>
      <c r="G82" s="580">
        <v>327</v>
      </c>
    </row>
    <row r="83" spans="2:9" x14ac:dyDescent="0.3">
      <c r="B83" s="41" t="s">
        <v>509</v>
      </c>
      <c r="C83" s="171" t="s">
        <v>571</v>
      </c>
      <c r="D83" s="580">
        <f>200*$D$8</f>
        <v>980.00000000000011</v>
      </c>
      <c r="E83" s="580">
        <f>120*$D$8</f>
        <v>588</v>
      </c>
      <c r="F83" s="580">
        <f>120*$D$8</f>
        <v>588</v>
      </c>
      <c r="G83" s="580">
        <f>120*$D$8</f>
        <v>588</v>
      </c>
    </row>
    <row r="84" spans="2:9" x14ac:dyDescent="0.3">
      <c r="B84" s="41" t="s">
        <v>521</v>
      </c>
      <c r="C84" s="171" t="s">
        <v>571</v>
      </c>
      <c r="D84" s="580">
        <f>'Energy fixed costs'!G72</f>
        <v>197.56800000000001</v>
      </c>
      <c r="E84" s="580">
        <f>'Energy fixed costs'!L72</f>
        <v>197.56800000000001</v>
      </c>
      <c r="F84" s="580">
        <f>'Energy fixed costs'!Q72</f>
        <v>98.784000000000006</v>
      </c>
      <c r="G84" s="580">
        <f>'Energy fixed costs'!V72</f>
        <v>98.784000000000006</v>
      </c>
    </row>
    <row r="85" spans="2:9" x14ac:dyDescent="0.3">
      <c r="B85" s="41" t="s">
        <v>83</v>
      </c>
      <c r="C85" s="171" t="s">
        <v>571</v>
      </c>
      <c r="D85" s="580">
        <f>'Energy fixed costs'!G54</f>
        <v>450</v>
      </c>
      <c r="E85" s="580">
        <f>'Energy fixed costs'!L54</f>
        <v>450</v>
      </c>
      <c r="F85" s="580">
        <f>'Energy fixed costs'!Q54</f>
        <v>450</v>
      </c>
      <c r="G85" s="580">
        <f>45*D8</f>
        <v>220.50000000000003</v>
      </c>
    </row>
    <row r="86" spans="2:9" x14ac:dyDescent="0.3">
      <c r="B86" s="41" t="s">
        <v>253</v>
      </c>
      <c r="C86" s="171" t="s">
        <v>571</v>
      </c>
      <c r="D86" s="828" t="s">
        <v>116</v>
      </c>
      <c r="E86" s="828" t="s">
        <v>116</v>
      </c>
      <c r="F86" s="580">
        <f>'Energy fixed costs'!Q62</f>
        <v>591.67500000000007</v>
      </c>
      <c r="G86" s="580">
        <f>'Energy fixed costs'!V62</f>
        <v>591.67500000000007</v>
      </c>
    </row>
    <row r="87" spans="2:9" x14ac:dyDescent="0.3">
      <c r="B87" s="46" t="s">
        <v>460</v>
      </c>
      <c r="C87" s="172" t="s">
        <v>571</v>
      </c>
      <c r="D87" s="817">
        <f>50*$D$8</f>
        <v>245.00000000000003</v>
      </c>
      <c r="E87" s="817">
        <f>20*$D$8</f>
        <v>98</v>
      </c>
      <c r="F87" s="817">
        <f>20*$D$8</f>
        <v>98</v>
      </c>
      <c r="G87" s="817">
        <f>20*$D$8</f>
        <v>98</v>
      </c>
      <c r="I87" s="979"/>
    </row>
    <row r="88" spans="2:9" x14ac:dyDescent="0.3">
      <c r="B88" s="52" t="s">
        <v>254</v>
      </c>
      <c r="C88" s="172"/>
      <c r="D88" s="168"/>
      <c r="E88" s="168"/>
      <c r="F88" s="168"/>
      <c r="G88" s="169"/>
    </row>
    <row r="89" spans="2:9" x14ac:dyDescent="0.3">
      <c r="B89" s="62" t="s">
        <v>31</v>
      </c>
      <c r="C89" s="171" t="s">
        <v>571</v>
      </c>
      <c r="D89" s="816">
        <f>'Energy margins'!J58/5</f>
        <v>988.8</v>
      </c>
      <c r="E89" s="816">
        <f>'Energy margins'!R58</f>
        <v>959.25</v>
      </c>
      <c r="F89" s="816">
        <f>'Energy margins'!Y58</f>
        <v>959.25</v>
      </c>
      <c r="G89" s="816">
        <f>'Energy margins'!AF58</f>
        <v>959.25</v>
      </c>
    </row>
    <row r="90" spans="2:9" x14ac:dyDescent="0.3">
      <c r="B90" s="41" t="s">
        <v>463</v>
      </c>
      <c r="C90" s="171" t="s">
        <v>571</v>
      </c>
      <c r="D90" s="580">
        <v>327</v>
      </c>
      <c r="E90" s="580">
        <v>327</v>
      </c>
      <c r="F90" s="580">
        <v>327</v>
      </c>
      <c r="G90" s="580">
        <v>327</v>
      </c>
    </row>
    <row r="91" spans="2:9" x14ac:dyDescent="0.3">
      <c r="B91" s="41" t="s">
        <v>253</v>
      </c>
      <c r="C91" s="171" t="s">
        <v>571</v>
      </c>
      <c r="D91" s="825" t="s">
        <v>116</v>
      </c>
      <c r="E91" s="825" t="s">
        <v>116</v>
      </c>
      <c r="F91" s="580">
        <f>'Energy fixed costs'!Q105</f>
        <v>788.90000000000009</v>
      </c>
      <c r="G91" s="580">
        <f>'Energy fixed costs'!V105</f>
        <v>788.90000000000009</v>
      </c>
    </row>
    <row r="92" spans="2:9" x14ac:dyDescent="0.3">
      <c r="B92" s="41" t="s">
        <v>509</v>
      </c>
      <c r="C92" s="171" t="s">
        <v>571</v>
      </c>
      <c r="D92" s="984">
        <f>D83/2</f>
        <v>490.00000000000006</v>
      </c>
      <c r="E92" s="984">
        <f>E83/2</f>
        <v>294</v>
      </c>
      <c r="F92" s="816"/>
      <c r="G92" s="816"/>
    </row>
    <row r="93" spans="2:9" x14ac:dyDescent="0.3">
      <c r="B93" s="41" t="s">
        <v>521</v>
      </c>
      <c r="C93" s="171" t="s">
        <v>571</v>
      </c>
      <c r="D93" s="580">
        <f>'Energy fixed costs'!G115</f>
        <v>197.56800000000001</v>
      </c>
      <c r="E93" s="580">
        <f>'Energy fixed costs'!L115</f>
        <v>197.56800000000001</v>
      </c>
      <c r="F93" s="581" t="s">
        <v>116</v>
      </c>
      <c r="G93" s="581" t="s">
        <v>116</v>
      </c>
    </row>
    <row r="94" spans="2:9" x14ac:dyDescent="0.3">
      <c r="B94" s="41" t="s">
        <v>180</v>
      </c>
      <c r="C94" s="171" t="s">
        <v>571</v>
      </c>
      <c r="D94" s="580">
        <v>805</v>
      </c>
      <c r="E94" s="581" t="s">
        <v>116</v>
      </c>
      <c r="F94" s="818">
        <f>'Energy fixed costs'!P122</f>
        <v>490.00000000000006</v>
      </c>
      <c r="G94" s="816" t="s">
        <v>116</v>
      </c>
    </row>
    <row r="95" spans="2:9" x14ac:dyDescent="0.3">
      <c r="B95" s="41" t="s">
        <v>461</v>
      </c>
      <c r="C95" s="171" t="s">
        <v>571</v>
      </c>
      <c r="D95" s="581" t="s">
        <v>116</v>
      </c>
      <c r="E95" s="580">
        <v>650</v>
      </c>
      <c r="F95" s="581" t="s">
        <v>116</v>
      </c>
      <c r="G95" s="581" t="s">
        <v>116</v>
      </c>
    </row>
    <row r="96" spans="2:9" x14ac:dyDescent="0.3">
      <c r="B96" s="41" t="s">
        <v>462</v>
      </c>
      <c r="C96" s="171" t="s">
        <v>571</v>
      </c>
      <c r="D96" s="581" t="s">
        <v>116</v>
      </c>
      <c r="E96" s="581" t="s">
        <v>116</v>
      </c>
      <c r="F96" s="581" t="s">
        <v>116</v>
      </c>
      <c r="G96" s="580">
        <f>'Energy fixed costs'!V122</f>
        <v>857.50000000000011</v>
      </c>
    </row>
    <row r="97" spans="2:7" x14ac:dyDescent="0.3">
      <c r="B97" s="46" t="s">
        <v>255</v>
      </c>
      <c r="C97" s="172" t="s">
        <v>571</v>
      </c>
      <c r="D97" s="817">
        <v>2100</v>
      </c>
      <c r="E97" s="817">
        <v>500</v>
      </c>
      <c r="F97" s="817">
        <v>500</v>
      </c>
      <c r="G97" s="817">
        <v>500</v>
      </c>
    </row>
    <row r="100" spans="2:7" x14ac:dyDescent="0.3">
      <c r="C100" s="24"/>
    </row>
    <row r="101" spans="2:7" x14ac:dyDescent="0.3">
      <c r="C101" s="24"/>
    </row>
    <row r="102" spans="2:7" x14ac:dyDescent="0.3">
      <c r="C102" s="24"/>
    </row>
    <row r="103" spans="2:7" x14ac:dyDescent="0.3">
      <c r="C103" s="24"/>
    </row>
    <row r="104" spans="2:7" x14ac:dyDescent="0.3">
      <c r="C104" s="24"/>
    </row>
    <row r="105" spans="2:7" x14ac:dyDescent="0.3">
      <c r="C105" s="24"/>
    </row>
    <row r="109" spans="2:7" x14ac:dyDescent="0.3">
      <c r="G109" s="10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46"/>
  <sheetViews>
    <sheetView topLeftCell="A73" zoomScale="120" zoomScaleNormal="120" workbookViewId="0">
      <selection activeCell="P122" sqref="P122"/>
    </sheetView>
  </sheetViews>
  <sheetFormatPr defaultColWidth="9" defaultRowHeight="14" x14ac:dyDescent="0.3"/>
  <cols>
    <col min="2" max="2" width="45" customWidth="1"/>
    <col min="5" max="5" width="4.08203125" customWidth="1"/>
    <col min="10" max="10" width="4.08203125" customWidth="1"/>
    <col min="15" max="15" width="4.08203125" customWidth="1"/>
    <col min="20" max="20" width="4.08203125" customWidth="1"/>
  </cols>
  <sheetData>
    <row r="1" spans="2:24" ht="14.5" thickBot="1" x14ac:dyDescent="0.35"/>
    <row r="2" spans="2:24" ht="14.5" thickBot="1" x14ac:dyDescent="0.35">
      <c r="B2" s="302" t="s">
        <v>582</v>
      </c>
    </row>
    <row r="3" spans="2:24" x14ac:dyDescent="0.3">
      <c r="B3" s="128"/>
      <c r="F3" s="70"/>
      <c r="M3" s="70"/>
      <c r="N3" s="69"/>
    </row>
    <row r="4" spans="2:24" x14ac:dyDescent="0.3">
      <c r="B4" s="129" t="s">
        <v>38</v>
      </c>
      <c r="C4" s="130">
        <f>'Arable Inputs'!D31</f>
        <v>17</v>
      </c>
      <c r="F4" s="70"/>
      <c r="G4" s="69"/>
      <c r="I4" s="70"/>
      <c r="J4" s="70"/>
      <c r="K4" s="69"/>
      <c r="M4" s="70"/>
      <c r="N4" s="69"/>
    </row>
    <row r="6" spans="2:24" x14ac:dyDescent="0.3">
      <c r="B6" s="21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</row>
    <row r="7" spans="2:24" x14ac:dyDescent="0.3">
      <c r="B7" s="47"/>
      <c r="C7" s="47"/>
      <c r="D7" s="47"/>
      <c r="E7" s="139"/>
      <c r="F7" s="51" t="s">
        <v>92</v>
      </c>
      <c r="G7" s="44"/>
      <c r="H7" s="44"/>
      <c r="I7" s="44"/>
      <c r="J7" s="139"/>
      <c r="K7" s="42" t="s">
        <v>93</v>
      </c>
      <c r="L7" s="44"/>
      <c r="M7" s="44"/>
      <c r="N7" s="48"/>
      <c r="O7" s="44"/>
      <c r="P7" s="183" t="s">
        <v>94</v>
      </c>
      <c r="Q7" s="44"/>
      <c r="R7" s="44"/>
      <c r="S7" s="48"/>
      <c r="T7" s="44"/>
      <c r="U7" s="183" t="s">
        <v>437</v>
      </c>
      <c r="V7" s="44"/>
      <c r="W7" s="44"/>
      <c r="X7" s="48"/>
    </row>
    <row r="8" spans="2:24" ht="22.5" customHeight="1" x14ac:dyDescent="0.3">
      <c r="B8" s="103"/>
      <c r="C8" s="26"/>
      <c r="D8" s="26"/>
      <c r="E8" s="135"/>
      <c r="F8" s="1039" t="s">
        <v>36</v>
      </c>
      <c r="G8" s="1048"/>
      <c r="H8" s="1040">
        <f>H36</f>
        <v>4.9499999999999993</v>
      </c>
      <c r="I8" s="1049"/>
      <c r="J8" s="140"/>
      <c r="K8" s="1038" t="s">
        <v>36</v>
      </c>
      <c r="L8" s="1050"/>
      <c r="M8" s="1040">
        <f>M36</f>
        <v>4.9499999999999993</v>
      </c>
      <c r="N8" s="1041"/>
      <c r="O8" s="132"/>
      <c r="P8" s="1038" t="s">
        <v>36</v>
      </c>
      <c r="Q8" s="1039"/>
      <c r="R8" s="1040">
        <f>R36</f>
        <v>6</v>
      </c>
      <c r="S8" s="1041"/>
      <c r="T8" s="132"/>
      <c r="U8" s="1038" t="s">
        <v>36</v>
      </c>
      <c r="V8" s="1039"/>
      <c r="W8" s="1040">
        <f>W36</f>
        <v>6</v>
      </c>
      <c r="X8" s="1040"/>
    </row>
    <row r="9" spans="2:24" ht="22.5" customHeight="1" x14ac:dyDescent="0.3">
      <c r="B9" s="45"/>
      <c r="C9" s="26"/>
      <c r="D9" s="26"/>
      <c r="E9" s="135"/>
      <c r="F9" s="1042" t="s">
        <v>35</v>
      </c>
      <c r="G9" s="1043"/>
      <c r="H9" s="1044">
        <f>I36</f>
        <v>84.149999999999991</v>
      </c>
      <c r="I9" s="1045"/>
      <c r="J9" s="141"/>
      <c r="K9" s="1046" t="s">
        <v>35</v>
      </c>
      <c r="L9" s="1042"/>
      <c r="M9" s="1044">
        <f>N36</f>
        <v>84.149999999999991</v>
      </c>
      <c r="N9" s="1047"/>
      <c r="O9" s="133"/>
      <c r="P9" s="1046" t="s">
        <v>35</v>
      </c>
      <c r="Q9" s="1042"/>
      <c r="R9" s="1044">
        <f>S36</f>
        <v>102</v>
      </c>
      <c r="S9" s="1047"/>
      <c r="T9" s="133"/>
      <c r="U9" s="1046" t="s">
        <v>35</v>
      </c>
      <c r="V9" s="1042"/>
      <c r="W9" s="1044">
        <f>X36</f>
        <v>102</v>
      </c>
      <c r="X9" s="1044"/>
    </row>
    <row r="10" spans="2:24" ht="22.5" customHeight="1" x14ac:dyDescent="0.3">
      <c r="B10" s="45" t="s">
        <v>240</v>
      </c>
      <c r="C10" s="25"/>
      <c r="D10" s="26"/>
      <c r="E10" s="135"/>
      <c r="F10" s="1042" t="s">
        <v>34</v>
      </c>
      <c r="G10" s="1043"/>
      <c r="H10" s="1044">
        <f>G36</f>
        <v>812</v>
      </c>
      <c r="I10" s="1045"/>
      <c r="J10" s="141"/>
      <c r="K10" s="1046" t="s">
        <v>34</v>
      </c>
      <c r="L10" s="1042"/>
      <c r="M10" s="1044">
        <f>L36</f>
        <v>812</v>
      </c>
      <c r="N10" s="1047"/>
      <c r="O10" s="133"/>
      <c r="P10" s="1046" t="s">
        <v>34</v>
      </c>
      <c r="Q10" s="1042"/>
      <c r="R10" s="1044">
        <f>Q36</f>
        <v>812</v>
      </c>
      <c r="S10" s="1047"/>
      <c r="T10" s="133"/>
      <c r="U10" s="1046" t="s">
        <v>34</v>
      </c>
      <c r="V10" s="1042"/>
      <c r="W10" s="1044">
        <f>V36</f>
        <v>812</v>
      </c>
      <c r="X10" s="1044"/>
    </row>
    <row r="11" spans="2:24" ht="22.5" customHeight="1" x14ac:dyDescent="0.3">
      <c r="B11" s="41"/>
      <c r="C11" s="47"/>
      <c r="D11" s="47"/>
      <c r="E11" s="137"/>
      <c r="F11" s="1055" t="s">
        <v>37</v>
      </c>
      <c r="G11" s="1056"/>
      <c r="H11" s="1051">
        <f>H10-H9</f>
        <v>727.85</v>
      </c>
      <c r="I11" s="1057"/>
      <c r="J11" s="142"/>
      <c r="K11" s="1053" t="s">
        <v>37</v>
      </c>
      <c r="L11" s="1055"/>
      <c r="M11" s="1051">
        <f>M10-M9</f>
        <v>727.85</v>
      </c>
      <c r="N11" s="1052"/>
      <c r="O11" s="364"/>
      <c r="P11" s="1053" t="s">
        <v>37</v>
      </c>
      <c r="Q11" s="1055"/>
      <c r="R11" s="1051">
        <f>R10-R9</f>
        <v>710</v>
      </c>
      <c r="S11" s="1052"/>
      <c r="T11" s="364"/>
      <c r="U11" s="1053" t="s">
        <v>37</v>
      </c>
      <c r="V11" s="1054"/>
      <c r="W11" s="1051">
        <f>W10-W9</f>
        <v>710</v>
      </c>
      <c r="X11" s="1051"/>
    </row>
    <row r="12" spans="2:24" x14ac:dyDescent="0.3">
      <c r="B12" s="55"/>
      <c r="C12" s="58" t="s">
        <v>98</v>
      </c>
      <c r="D12" s="134" t="s">
        <v>99</v>
      </c>
      <c r="E12" s="144" t="s">
        <v>241</v>
      </c>
      <c r="F12" s="71" t="s">
        <v>40</v>
      </c>
      <c r="G12" s="72" t="s">
        <v>41</v>
      </c>
      <c r="H12" s="71" t="s">
        <v>42</v>
      </c>
      <c r="I12" s="71" t="s">
        <v>43</v>
      </c>
      <c r="J12" s="143" t="s">
        <v>241</v>
      </c>
      <c r="K12" s="73" t="s">
        <v>40</v>
      </c>
      <c r="L12" s="72" t="s">
        <v>43</v>
      </c>
      <c r="M12" s="71" t="s">
        <v>42</v>
      </c>
      <c r="N12" s="72" t="s">
        <v>43</v>
      </c>
      <c r="O12" s="143" t="s">
        <v>241</v>
      </c>
      <c r="P12" s="73" t="s">
        <v>40</v>
      </c>
      <c r="Q12" s="72" t="s">
        <v>43</v>
      </c>
      <c r="R12" s="71" t="s">
        <v>42</v>
      </c>
      <c r="S12" s="72" t="s">
        <v>43</v>
      </c>
      <c r="T12" s="143" t="s">
        <v>241</v>
      </c>
      <c r="U12" s="73" t="s">
        <v>40</v>
      </c>
      <c r="V12" s="72" t="s">
        <v>43</v>
      </c>
      <c r="W12" s="71" t="s">
        <v>42</v>
      </c>
      <c r="X12" s="72" t="s">
        <v>43</v>
      </c>
    </row>
    <row r="13" spans="2:24" x14ac:dyDescent="0.3">
      <c r="B13" s="844" t="s">
        <v>478</v>
      </c>
      <c r="C13" s="50"/>
      <c r="D13" s="56"/>
      <c r="E13" s="843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2"/>
    </row>
    <row r="14" spans="2:24" x14ac:dyDescent="0.3">
      <c r="B14" s="42" t="s">
        <v>39</v>
      </c>
      <c r="C14" s="50"/>
      <c r="D14" s="56"/>
      <c r="E14" s="56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57"/>
    </row>
    <row r="15" spans="2:24" x14ac:dyDescent="0.3">
      <c r="B15" s="41" t="s">
        <v>119</v>
      </c>
      <c r="C15" s="59">
        <f>61.38*'Energy Inputs'!D8</f>
        <v>300.76200000000006</v>
      </c>
      <c r="D15" s="61">
        <f>52.06*'Energy Inputs'!D8</f>
        <v>255.09400000000002</v>
      </c>
      <c r="E15" s="138"/>
      <c r="F15" s="26"/>
      <c r="G15" s="54"/>
      <c r="H15" s="26"/>
      <c r="I15" s="26"/>
      <c r="J15" s="138"/>
      <c r="K15" s="26"/>
      <c r="L15" s="54"/>
      <c r="M15" s="26"/>
      <c r="N15" s="26"/>
      <c r="O15" s="138"/>
      <c r="P15" s="26"/>
      <c r="Q15" s="54"/>
      <c r="R15" s="26"/>
      <c r="S15" s="26"/>
      <c r="T15" s="138"/>
      <c r="U15" s="26"/>
      <c r="V15" s="54"/>
      <c r="W15" s="53"/>
      <c r="X15" s="54"/>
    </row>
    <row r="16" spans="2:24" x14ac:dyDescent="0.3">
      <c r="B16" s="41" t="s">
        <v>120</v>
      </c>
      <c r="C16" s="59">
        <f>63.88*'Energy Inputs'!D8</f>
        <v>313.01200000000006</v>
      </c>
      <c r="D16" s="61">
        <f>57.54*'Energy Inputs'!D8</f>
        <v>281.94600000000003</v>
      </c>
      <c r="E16" s="138"/>
      <c r="F16" s="26"/>
      <c r="G16" s="54"/>
      <c r="H16" s="858">
        <v>1.4</v>
      </c>
      <c r="I16" s="1006">
        <f>H16*$C$4</f>
        <v>23.799999999999997</v>
      </c>
      <c r="J16" s="138"/>
      <c r="K16" s="26"/>
      <c r="L16" s="54"/>
      <c r="M16" s="1007">
        <v>1.4</v>
      </c>
      <c r="N16" s="1006">
        <f>M16*$C$4</f>
        <v>23.799999999999997</v>
      </c>
      <c r="O16" s="138"/>
      <c r="P16" s="26"/>
      <c r="Q16" s="54"/>
      <c r="R16" s="858">
        <v>1.4</v>
      </c>
      <c r="S16" s="1006">
        <f>R16*$C$4</f>
        <v>23.799999999999997</v>
      </c>
      <c r="T16" s="138"/>
      <c r="U16" s="26"/>
      <c r="V16" s="54"/>
      <c r="W16" s="858">
        <v>1.4</v>
      </c>
      <c r="X16" s="1008">
        <f>W16*$C$4</f>
        <v>23.799999999999997</v>
      </c>
    </row>
    <row r="17" spans="2:24" x14ac:dyDescent="0.3">
      <c r="B17" s="41" t="s">
        <v>121</v>
      </c>
      <c r="C17" s="59">
        <f>(C15+6.92)*'Energy Inputs'!D8</f>
        <v>1507.6418000000006</v>
      </c>
      <c r="D17" s="61">
        <f>(D15+10.44)*'Energy Inputs'!D8</f>
        <v>1301.1166000000003</v>
      </c>
      <c r="E17" s="138"/>
      <c r="F17" s="26"/>
      <c r="G17" s="54"/>
      <c r="H17" s="26"/>
      <c r="I17" s="1006"/>
      <c r="J17" s="138"/>
      <c r="K17" s="26"/>
      <c r="L17" s="54"/>
      <c r="M17" s="1006"/>
      <c r="N17" s="1006"/>
      <c r="O17" s="138"/>
      <c r="P17" s="26"/>
      <c r="Q17" s="54"/>
      <c r="R17" s="26"/>
      <c r="S17" s="1006"/>
      <c r="T17" s="138"/>
      <c r="U17" s="26"/>
      <c r="V17" s="54"/>
      <c r="W17" s="859"/>
      <c r="X17" s="1008"/>
    </row>
    <row r="18" spans="2:24" x14ac:dyDescent="0.3">
      <c r="B18" s="41" t="s">
        <v>100</v>
      </c>
      <c r="C18" s="59">
        <f>76.5*'Energy Inputs'!D8</f>
        <v>374.85</v>
      </c>
      <c r="D18" s="61">
        <f>68.49*'Energy Inputs'!D8</f>
        <v>335.601</v>
      </c>
      <c r="E18" s="138"/>
      <c r="F18" s="26"/>
      <c r="G18" s="54"/>
      <c r="H18" s="26"/>
      <c r="I18" s="1006"/>
      <c r="J18" s="138"/>
      <c r="K18" s="26"/>
      <c r="L18" s="54"/>
      <c r="M18" s="1006"/>
      <c r="N18" s="1006"/>
      <c r="O18" s="138"/>
      <c r="P18" s="26"/>
      <c r="Q18" s="54"/>
      <c r="R18" s="26"/>
      <c r="S18" s="1006"/>
      <c r="T18" s="138"/>
      <c r="U18" s="26"/>
      <c r="V18" s="54"/>
      <c r="W18" s="859"/>
      <c r="X18" s="1008"/>
    </row>
    <row r="19" spans="2:24" x14ac:dyDescent="0.3">
      <c r="B19" s="41" t="s">
        <v>123</v>
      </c>
      <c r="C19" s="59">
        <f>75.12*'Energy Inputs'!D8</f>
        <v>368.08800000000002</v>
      </c>
      <c r="D19" s="61">
        <f>62.16*'Energy Inputs'!D8</f>
        <v>304.584</v>
      </c>
      <c r="E19" s="138"/>
      <c r="F19" s="26"/>
      <c r="G19" s="54"/>
      <c r="H19" s="26"/>
      <c r="I19" s="1006"/>
      <c r="J19" s="138"/>
      <c r="K19" s="26"/>
      <c r="L19" s="54"/>
      <c r="M19" s="1006"/>
      <c r="N19" s="1006"/>
      <c r="O19" s="138"/>
      <c r="P19" s="26"/>
      <c r="Q19" s="54"/>
      <c r="R19" s="26"/>
      <c r="S19" s="1006"/>
      <c r="T19" s="138"/>
      <c r="U19" s="26"/>
      <c r="V19" s="54"/>
      <c r="W19" s="859"/>
      <c r="X19" s="1008"/>
    </row>
    <row r="20" spans="2:24" x14ac:dyDescent="0.3">
      <c r="B20" s="41" t="s">
        <v>122</v>
      </c>
      <c r="C20" s="59" t="s">
        <v>116</v>
      </c>
      <c r="D20" s="61">
        <f>88.06*'Energy Inputs'!D8</f>
        <v>431.49400000000003</v>
      </c>
      <c r="E20" s="138"/>
      <c r="F20" s="26"/>
      <c r="G20" s="54"/>
      <c r="H20" s="26"/>
      <c r="I20" s="1006"/>
      <c r="J20" s="138"/>
      <c r="K20" s="26"/>
      <c r="L20" s="54"/>
      <c r="M20" s="1006"/>
      <c r="N20" s="1006"/>
      <c r="O20" s="138"/>
      <c r="P20" s="26"/>
      <c r="Q20" s="54"/>
      <c r="R20" s="26"/>
      <c r="S20" s="1006"/>
      <c r="T20" s="138"/>
      <c r="U20" s="26"/>
      <c r="V20" s="54"/>
      <c r="W20" s="859"/>
      <c r="X20" s="1008"/>
    </row>
    <row r="21" spans="2:24" x14ac:dyDescent="0.3">
      <c r="B21" s="41" t="s">
        <v>101</v>
      </c>
      <c r="C21" s="59">
        <f>59.3*'Energy Inputs'!D8</f>
        <v>290.57</v>
      </c>
      <c r="D21" s="61">
        <f>52.25*'Energy Inputs'!D8</f>
        <v>256.02500000000003</v>
      </c>
      <c r="E21" s="138"/>
      <c r="F21" s="26"/>
      <c r="G21" s="54"/>
      <c r="H21" s="858">
        <v>1.4</v>
      </c>
      <c r="I21" s="1006">
        <f>H21*$C$4</f>
        <v>23.799999999999997</v>
      </c>
      <c r="J21" s="138"/>
      <c r="K21" s="26"/>
      <c r="L21" s="54"/>
      <c r="M21" s="1007">
        <v>1.4</v>
      </c>
      <c r="N21" s="1006">
        <f>M21*$C$4</f>
        <v>23.799999999999997</v>
      </c>
      <c r="O21" s="138"/>
      <c r="P21" s="26"/>
      <c r="Q21" s="54"/>
      <c r="R21" s="858">
        <v>1.4</v>
      </c>
      <c r="S21" s="1006">
        <f>R21*$C$4</f>
        <v>23.799999999999997</v>
      </c>
      <c r="T21" s="138"/>
      <c r="U21" s="26"/>
      <c r="V21" s="54"/>
      <c r="W21" s="858">
        <v>1.4</v>
      </c>
      <c r="X21" s="1008">
        <f>W21*$C$4</f>
        <v>23.799999999999997</v>
      </c>
    </row>
    <row r="22" spans="2:24" x14ac:dyDescent="0.3">
      <c r="B22" s="41" t="s">
        <v>102</v>
      </c>
      <c r="C22" s="59">
        <f>70.77*'Energy Inputs'!D8</f>
        <v>346.77300000000002</v>
      </c>
      <c r="D22" s="61">
        <f>59.72*'Energy Inputs'!D8</f>
        <v>292.62800000000004</v>
      </c>
      <c r="E22" s="138"/>
      <c r="F22" s="26"/>
      <c r="G22" s="54"/>
      <c r="H22" s="26"/>
      <c r="I22" s="1006"/>
      <c r="J22" s="138"/>
      <c r="K22" s="26"/>
      <c r="L22" s="54"/>
      <c r="M22" s="1006"/>
      <c r="N22" s="1006"/>
      <c r="O22" s="138"/>
      <c r="P22" s="26"/>
      <c r="Q22" s="54"/>
      <c r="R22" s="26"/>
      <c r="S22" s="1006"/>
      <c r="T22" s="138"/>
      <c r="U22" s="26"/>
      <c r="V22" s="54"/>
      <c r="W22" s="859"/>
      <c r="X22" s="1008"/>
    </row>
    <row r="23" spans="2:24" x14ac:dyDescent="0.3">
      <c r="B23" s="41" t="s">
        <v>44</v>
      </c>
      <c r="C23" s="59">
        <f>18.93*'Energy Inputs'!D8</f>
        <v>92.757000000000005</v>
      </c>
      <c r="D23" s="61">
        <f>15.22*'Energy Inputs'!D8</f>
        <v>74.578000000000003</v>
      </c>
      <c r="E23" s="138"/>
      <c r="F23" s="26"/>
      <c r="G23" s="54"/>
      <c r="H23" s="26"/>
      <c r="I23" s="1006"/>
      <c r="J23" s="138"/>
      <c r="K23" s="26"/>
      <c r="L23" s="54"/>
      <c r="M23" s="1006"/>
      <c r="N23" s="1006"/>
      <c r="O23" s="138"/>
      <c r="P23" s="26"/>
      <c r="Q23" s="54"/>
      <c r="R23" s="26"/>
      <c r="S23" s="1006"/>
      <c r="T23" s="138"/>
      <c r="U23" s="26"/>
      <c r="V23" s="54"/>
      <c r="W23" s="859"/>
      <c r="X23" s="1008"/>
    </row>
    <row r="24" spans="2:24" x14ac:dyDescent="0.3">
      <c r="B24" s="41" t="s">
        <v>125</v>
      </c>
      <c r="C24" s="59">
        <f>51.89*'Energy Inputs'!D8</f>
        <v>254.26100000000002</v>
      </c>
      <c r="D24" s="61">
        <f>33.4*'Energy Inputs'!D8</f>
        <v>163.66</v>
      </c>
      <c r="E24" s="138"/>
      <c r="F24" s="26"/>
      <c r="G24" s="54"/>
      <c r="H24" s="26"/>
      <c r="I24" s="1006"/>
      <c r="J24" s="138"/>
      <c r="K24" s="26"/>
      <c r="L24" s="54"/>
      <c r="M24" s="1006"/>
      <c r="N24" s="1006"/>
      <c r="O24" s="138"/>
      <c r="P24" s="26"/>
      <c r="Q24" s="54"/>
      <c r="R24" s="26"/>
      <c r="S24" s="1006"/>
      <c r="T24" s="138"/>
      <c r="U24" s="26"/>
      <c r="V24" s="54"/>
      <c r="W24" s="859"/>
      <c r="X24" s="1008"/>
    </row>
    <row r="25" spans="2:24" x14ac:dyDescent="0.3">
      <c r="B25" s="41" t="s">
        <v>124</v>
      </c>
      <c r="C25" s="59">
        <f>59.3*'Energy Inputs'!D8</f>
        <v>290.57</v>
      </c>
      <c r="D25" s="61">
        <f>41.49*'Energy Inputs'!D8</f>
        <v>203.30100000000002</v>
      </c>
      <c r="E25" s="138"/>
      <c r="F25" s="26"/>
      <c r="G25" s="54"/>
      <c r="H25" s="26"/>
      <c r="I25" s="1006"/>
      <c r="J25" s="138"/>
      <c r="K25" s="26"/>
      <c r="L25" s="54"/>
      <c r="M25" s="1006"/>
      <c r="N25" s="1006"/>
      <c r="O25" s="138"/>
      <c r="P25" s="26"/>
      <c r="Q25" s="54"/>
      <c r="R25" s="26"/>
      <c r="S25" s="1006"/>
      <c r="T25" s="138"/>
      <c r="U25" s="26"/>
      <c r="V25" s="54"/>
      <c r="W25" s="859"/>
      <c r="X25" s="1008"/>
    </row>
    <row r="26" spans="2:24" x14ac:dyDescent="0.3">
      <c r="B26" s="41" t="s">
        <v>126</v>
      </c>
      <c r="C26" s="59">
        <f>59.3*'Energy Inputs'!D8</f>
        <v>290.57</v>
      </c>
      <c r="D26" s="61">
        <f>52.41*'Energy Inputs'!D8</f>
        <v>256.80900000000003</v>
      </c>
      <c r="E26" s="138"/>
      <c r="F26" s="26"/>
      <c r="G26" s="54"/>
      <c r="H26" s="857">
        <v>1</v>
      </c>
      <c r="I26" s="1006">
        <f>H26*$C$4</f>
        <v>17</v>
      </c>
      <c r="J26" s="138"/>
      <c r="K26" s="26"/>
      <c r="L26" s="54"/>
      <c r="M26" s="1007">
        <v>1</v>
      </c>
      <c r="N26" s="1006">
        <f>M26*$C$4</f>
        <v>17</v>
      </c>
      <c r="O26" s="138"/>
      <c r="P26" s="26"/>
      <c r="Q26" s="54"/>
      <c r="R26" s="858">
        <v>2.1</v>
      </c>
      <c r="S26" s="1006">
        <f>R26*$C$4</f>
        <v>35.700000000000003</v>
      </c>
      <c r="T26" s="138"/>
      <c r="U26" s="26"/>
      <c r="V26" s="54"/>
      <c r="W26" s="859"/>
      <c r="X26" s="1008"/>
    </row>
    <row r="27" spans="2:24" x14ac:dyDescent="0.3">
      <c r="B27" s="41" t="s">
        <v>127</v>
      </c>
      <c r="C27" s="59">
        <f>51.89*'Energy Inputs'!D8</f>
        <v>254.26100000000002</v>
      </c>
      <c r="D27" s="61">
        <f>39.31*'Energy Inputs'!D8</f>
        <v>192.61900000000003</v>
      </c>
      <c r="E27" s="138"/>
      <c r="F27" s="26"/>
      <c r="G27" s="54"/>
      <c r="H27" s="26"/>
      <c r="I27" s="1006"/>
      <c r="J27" s="138"/>
      <c r="K27" s="26"/>
      <c r="L27" s="54"/>
      <c r="M27" s="1006"/>
      <c r="N27" s="1006"/>
      <c r="O27" s="138"/>
      <c r="P27" s="26"/>
      <c r="Q27" s="54"/>
      <c r="R27" s="858"/>
      <c r="S27" s="1006"/>
      <c r="T27" s="138"/>
      <c r="U27" s="26"/>
      <c r="V27" s="54"/>
      <c r="W27" s="859">
        <v>2.1</v>
      </c>
      <c r="X27" s="1008">
        <f>W27*$C$4</f>
        <v>35.700000000000003</v>
      </c>
    </row>
    <row r="28" spans="2:24" x14ac:dyDescent="0.3">
      <c r="B28" s="41" t="s">
        <v>103</v>
      </c>
      <c r="C28" s="59">
        <f>34.59*'Energy Inputs'!D8</f>
        <v>169.49100000000004</v>
      </c>
      <c r="D28" s="61">
        <f>21.76*'Energy Inputs'!D8</f>
        <v>106.62400000000001</v>
      </c>
      <c r="E28" s="138"/>
      <c r="F28" s="26"/>
      <c r="G28" s="54"/>
      <c r="H28" s="26"/>
      <c r="I28" s="1006"/>
      <c r="J28" s="138"/>
      <c r="K28" s="26"/>
      <c r="L28" s="54"/>
      <c r="M28" s="1006"/>
      <c r="N28" s="1006"/>
      <c r="O28" s="138"/>
      <c r="P28" s="26"/>
      <c r="Q28" s="54"/>
      <c r="R28" s="858"/>
      <c r="S28" s="1006"/>
      <c r="T28" s="138"/>
      <c r="U28" s="26"/>
      <c r="V28" s="54"/>
      <c r="W28" s="859"/>
      <c r="X28" s="1008"/>
    </row>
    <row r="29" spans="2:24" x14ac:dyDescent="0.3">
      <c r="B29" s="41" t="s">
        <v>104</v>
      </c>
      <c r="C29" s="59">
        <f>37.07*'Energy Inputs'!D8</f>
        <v>181.643</v>
      </c>
      <c r="D29" s="61">
        <f>25.65*'Energy Inputs'!D8</f>
        <v>125.685</v>
      </c>
      <c r="E29" s="138"/>
      <c r="F29" s="26"/>
      <c r="G29" s="54"/>
      <c r="H29" s="26"/>
      <c r="I29" s="1006"/>
      <c r="J29" s="138"/>
      <c r="K29" s="26"/>
      <c r="L29" s="54"/>
      <c r="M29" s="1006"/>
      <c r="N29" s="1006"/>
      <c r="O29" s="138"/>
      <c r="P29" s="26"/>
      <c r="Q29" s="54"/>
      <c r="R29" s="858"/>
      <c r="S29" s="1006"/>
      <c r="T29" s="138"/>
      <c r="U29" s="26"/>
      <c r="V29" s="54"/>
      <c r="W29" s="859"/>
      <c r="X29" s="1008"/>
    </row>
    <row r="30" spans="2:24" x14ac:dyDescent="0.3">
      <c r="B30" s="41" t="s">
        <v>107</v>
      </c>
      <c r="C30" s="59">
        <f>67.26*'Energy Inputs'!D8</f>
        <v>329.57400000000007</v>
      </c>
      <c r="D30" s="61">
        <f>52.91*'Energy Inputs'!D8</f>
        <v>259.25900000000001</v>
      </c>
      <c r="E30" s="138"/>
      <c r="F30" s="26"/>
      <c r="G30" s="54"/>
      <c r="H30" s="26"/>
      <c r="I30" s="1006"/>
      <c r="J30" s="138"/>
      <c r="K30" s="26"/>
      <c r="L30" s="54"/>
      <c r="M30" s="1006"/>
      <c r="N30" s="1006"/>
      <c r="O30" s="138"/>
      <c r="P30" s="26"/>
      <c r="Q30" s="54"/>
      <c r="R30" s="858"/>
      <c r="S30" s="1006"/>
      <c r="T30" s="138"/>
      <c r="U30" s="26"/>
      <c r="V30" s="54"/>
      <c r="W30" s="859"/>
      <c r="X30" s="1008"/>
    </row>
    <row r="31" spans="2:24" x14ac:dyDescent="0.3">
      <c r="B31" s="41" t="s">
        <v>106</v>
      </c>
      <c r="C31" s="59">
        <f>37.07*'Energy Inputs'!D8</f>
        <v>181.643</v>
      </c>
      <c r="D31" s="61">
        <f>37.32*'Energy Inputs'!D8</f>
        <v>182.86800000000002</v>
      </c>
      <c r="E31" s="138"/>
      <c r="F31" s="26"/>
      <c r="G31" s="54"/>
      <c r="H31" s="857"/>
      <c r="I31" s="1006"/>
      <c r="J31" s="138"/>
      <c r="K31" s="26"/>
      <c r="L31" s="54"/>
      <c r="M31" s="1007"/>
      <c r="N31" s="1006"/>
      <c r="O31" s="138"/>
      <c r="P31" s="26"/>
      <c r="Q31" s="54"/>
      <c r="R31" s="857"/>
      <c r="S31" s="1006"/>
      <c r="T31" s="138"/>
      <c r="U31" s="26"/>
      <c r="V31" s="54"/>
      <c r="W31" s="859"/>
      <c r="X31" s="1008"/>
    </row>
    <row r="32" spans="2:24" x14ac:dyDescent="0.3">
      <c r="B32" s="41" t="s">
        <v>105</v>
      </c>
      <c r="C32" s="59">
        <f>29.9*'Energy Inputs'!D8</f>
        <v>146.51</v>
      </c>
      <c r="D32" s="61">
        <f>16.68*'Energy Inputs'!D8</f>
        <v>81.731999999999999</v>
      </c>
      <c r="E32" s="138"/>
      <c r="F32" s="39"/>
      <c r="G32" s="54"/>
      <c r="H32" s="39"/>
      <c r="I32" s="1006"/>
      <c r="J32" s="138"/>
      <c r="K32" s="98"/>
      <c r="L32" s="54"/>
      <c r="M32" s="1006"/>
      <c r="N32" s="1006"/>
      <c r="O32" s="138"/>
      <c r="P32" s="26"/>
      <c r="Q32" s="54"/>
      <c r="R32" s="858"/>
      <c r="S32" s="1006"/>
      <c r="T32" s="138"/>
      <c r="U32" s="26"/>
      <c r="V32" s="54"/>
      <c r="W32" s="859"/>
      <c r="X32" s="1008"/>
    </row>
    <row r="33" spans="2:24" x14ac:dyDescent="0.3">
      <c r="B33" s="41" t="s">
        <v>128</v>
      </c>
      <c r="C33" s="59">
        <f>21.42*'Energy Inputs'!D8</f>
        <v>104.95800000000001</v>
      </c>
      <c r="D33" s="61">
        <f>8.89*'Energy Inputs'!D8</f>
        <v>43.561000000000007</v>
      </c>
      <c r="E33" s="138"/>
      <c r="F33" s="26"/>
      <c r="G33" s="54"/>
      <c r="H33" s="1007">
        <f>AVERAGE(1.1,1.2)</f>
        <v>1.1499999999999999</v>
      </c>
      <c r="I33" s="1006">
        <f>H33*$C$4</f>
        <v>19.549999999999997</v>
      </c>
      <c r="J33" s="138"/>
      <c r="K33" s="26"/>
      <c r="L33" s="54"/>
      <c r="M33" s="1007">
        <f>AVERAGE(1.1,1.2)</f>
        <v>1.1499999999999999</v>
      </c>
      <c r="N33" s="1006">
        <f>M33*$C$4</f>
        <v>19.549999999999997</v>
      </c>
      <c r="O33" s="138"/>
      <c r="P33" s="26"/>
      <c r="Q33" s="54"/>
      <c r="R33" s="1007">
        <v>1.1000000000000001</v>
      </c>
      <c r="S33" s="1006">
        <f>R33*$C$4</f>
        <v>18.700000000000003</v>
      </c>
      <c r="T33" s="138"/>
      <c r="U33" s="26"/>
      <c r="V33" s="54"/>
      <c r="W33" s="859">
        <v>1.1000000000000001</v>
      </c>
      <c r="X33" s="1008">
        <f>W33*$C$4</f>
        <v>18.700000000000003</v>
      </c>
    </row>
    <row r="34" spans="2:24" x14ac:dyDescent="0.3">
      <c r="B34" s="41" t="s">
        <v>52</v>
      </c>
      <c r="C34" s="59">
        <f>276.75*'Energy Inputs'!D8</f>
        <v>1356.075</v>
      </c>
      <c r="D34" s="131">
        <f>217.01*'Energy Inputs'!D8</f>
        <v>1063.3489999999999</v>
      </c>
      <c r="E34" s="138"/>
      <c r="F34" s="26"/>
      <c r="G34" s="54"/>
      <c r="H34" s="26"/>
      <c r="I34" s="1006"/>
      <c r="J34" s="138"/>
      <c r="K34" s="26"/>
      <c r="L34" s="54"/>
      <c r="M34" s="1006"/>
      <c r="N34" s="1006"/>
      <c r="O34" s="138"/>
      <c r="P34" s="26"/>
      <c r="Q34" s="54"/>
      <c r="R34" s="26"/>
      <c r="S34" s="1006"/>
      <c r="T34" s="138"/>
      <c r="U34" s="26"/>
      <c r="V34" s="54"/>
      <c r="W34" s="53"/>
      <c r="X34" s="1008"/>
    </row>
    <row r="35" spans="2:24" x14ac:dyDescent="0.3">
      <c r="B35" s="41" t="s">
        <v>53</v>
      </c>
      <c r="C35" s="60">
        <f>85.25*'Energy Inputs'!D8</f>
        <v>417.72500000000002</v>
      </c>
      <c r="D35" s="131">
        <f>56.5*'Energy Inputs'!D8</f>
        <v>276.85000000000002</v>
      </c>
      <c r="E35" s="138"/>
      <c r="F35" s="26"/>
      <c r="G35" s="54"/>
      <c r="H35" s="26"/>
      <c r="I35" s="1006"/>
      <c r="J35" s="138"/>
      <c r="K35" s="26"/>
      <c r="L35" s="54"/>
      <c r="M35" s="1006"/>
      <c r="N35" s="1006"/>
      <c r="O35" s="138"/>
      <c r="P35" s="26"/>
      <c r="Q35" s="54"/>
      <c r="R35" s="26"/>
      <c r="S35" s="1006"/>
      <c r="T35" s="138"/>
      <c r="U35" s="26"/>
      <c r="V35" s="54"/>
      <c r="W35" s="53"/>
      <c r="X35" s="1008"/>
    </row>
    <row r="36" spans="2:24" x14ac:dyDescent="0.3">
      <c r="B36" s="42" t="s">
        <v>45</v>
      </c>
      <c r="C36" s="365"/>
      <c r="D36" s="365"/>
      <c r="E36" s="136"/>
      <c r="F36" s="51" t="s">
        <v>10</v>
      </c>
      <c r="G36" s="1009">
        <v>812</v>
      </c>
      <c r="H36" s="1005">
        <f>SUM(H15:H35)</f>
        <v>4.9499999999999993</v>
      </c>
      <c r="I36" s="819">
        <f>SUM(I15:I35)</f>
        <v>84.149999999999991</v>
      </c>
      <c r="J36" s="145"/>
      <c r="K36" s="51"/>
      <c r="L36" s="1009">
        <v>812</v>
      </c>
      <c r="M36" s="1005">
        <f>SUM(M15:M35)</f>
        <v>4.9499999999999993</v>
      </c>
      <c r="N36" s="819">
        <f>SUM(N15:N35)</f>
        <v>84.149999999999991</v>
      </c>
      <c r="O36" s="145"/>
      <c r="P36" s="51"/>
      <c r="Q36" s="1009">
        <v>812</v>
      </c>
      <c r="R36" s="1005">
        <f>SUM(R15:R35)</f>
        <v>6</v>
      </c>
      <c r="S36" s="819">
        <f>SUM(S15:S35)</f>
        <v>102</v>
      </c>
      <c r="T36" s="145"/>
      <c r="U36" s="51"/>
      <c r="V36" s="1009">
        <v>812</v>
      </c>
      <c r="W36" s="1005">
        <f>SUM(W15:W35)</f>
        <v>6</v>
      </c>
      <c r="X36" s="983">
        <f>SUM(X15:X35)</f>
        <v>102</v>
      </c>
    </row>
    <row r="37" spans="2:24" x14ac:dyDescent="0.3">
      <c r="B37" s="42"/>
      <c r="C37" s="365"/>
      <c r="D37" s="365"/>
      <c r="E37" s="365"/>
      <c r="F37" s="51"/>
      <c r="G37" s="819"/>
      <c r="H37" s="51"/>
      <c r="I37" s="67"/>
      <c r="J37" s="820"/>
      <c r="K37" s="51"/>
      <c r="L37" s="819"/>
      <c r="M37" s="51"/>
      <c r="N37" s="67"/>
      <c r="O37" s="820"/>
      <c r="P37" s="51"/>
      <c r="Q37" s="819"/>
      <c r="R37" s="51"/>
      <c r="S37" s="67"/>
      <c r="T37" s="820"/>
      <c r="U37" s="51"/>
      <c r="V37" s="819"/>
      <c r="W37" s="51"/>
      <c r="X37" s="66"/>
    </row>
    <row r="38" spans="2:24" s="39" customFormat="1" x14ac:dyDescent="0.3">
      <c r="B38" s="429" t="s">
        <v>185</v>
      </c>
      <c r="C38" s="802"/>
      <c r="D38" s="802"/>
      <c r="E38" s="802"/>
      <c r="F38" s="428"/>
      <c r="G38" s="428"/>
      <c r="H38" s="428"/>
      <c r="I38" s="428"/>
      <c r="J38" s="428"/>
      <c r="K38" s="428"/>
      <c r="L38" s="428"/>
      <c r="M38" s="428"/>
      <c r="N38" s="428"/>
      <c r="O38" s="428"/>
      <c r="P38" s="428"/>
      <c r="Q38" s="428"/>
      <c r="R38" s="428"/>
      <c r="S38" s="428"/>
      <c r="T38" s="428"/>
      <c r="U38" s="428"/>
      <c r="V38" s="428"/>
      <c r="W38" s="428"/>
      <c r="X38" s="430"/>
    </row>
    <row r="39" spans="2:24" x14ac:dyDescent="0.3">
      <c r="B39" s="16" t="s">
        <v>108</v>
      </c>
      <c r="C39" s="455">
        <f>67.78*'Arable Inputs'!$D$8</f>
        <v>332.12200000000001</v>
      </c>
      <c r="D39" s="456">
        <f>57.48*'Arable Inputs'!$D$8</f>
        <v>281.65199999999999</v>
      </c>
      <c r="E39" s="488"/>
      <c r="F39" s="432"/>
      <c r="G39" s="458"/>
      <c r="H39" s="432"/>
      <c r="I39" s="432"/>
      <c r="J39" s="457"/>
      <c r="K39" s="432"/>
      <c r="L39" s="458"/>
      <c r="M39" s="432"/>
      <c r="N39" s="432"/>
      <c r="O39" s="457"/>
      <c r="P39" s="432"/>
      <c r="Q39" s="458"/>
      <c r="R39" s="432"/>
      <c r="S39" s="432"/>
      <c r="T39" s="457"/>
      <c r="U39" s="432"/>
      <c r="V39" s="458"/>
      <c r="W39" s="432"/>
      <c r="X39" s="458"/>
    </row>
    <row r="40" spans="2:24" x14ac:dyDescent="0.3">
      <c r="B40" s="16" t="s">
        <v>109</v>
      </c>
      <c r="C40" s="455">
        <f>50.14*'Arable Inputs'!$D$8</f>
        <v>245.68600000000001</v>
      </c>
      <c r="D40" s="456">
        <f>27.04*'Arable Inputs'!$D$8</f>
        <v>132.49600000000001</v>
      </c>
      <c r="E40" s="457"/>
      <c r="F40" s="432"/>
      <c r="G40" s="54"/>
      <c r="H40" s="810"/>
      <c r="I40" s="421"/>
      <c r="J40" s="457"/>
      <c r="K40" s="432"/>
      <c r="L40" s="54"/>
      <c r="M40" s="810"/>
      <c r="N40" s="421"/>
      <c r="O40" s="457"/>
      <c r="P40" s="432"/>
      <c r="Q40" s="458"/>
      <c r="R40" s="432"/>
      <c r="S40" s="432"/>
      <c r="T40" s="457"/>
      <c r="U40" s="432"/>
      <c r="V40" s="458"/>
      <c r="W40" s="459"/>
      <c r="X40" s="458"/>
    </row>
    <row r="41" spans="2:24" x14ac:dyDescent="0.3">
      <c r="B41" s="16" t="s">
        <v>110</v>
      </c>
      <c r="C41" s="455">
        <f>61.78*'Arable Inputs'!$D$8</f>
        <v>302.72200000000004</v>
      </c>
      <c r="D41" s="456">
        <f>58.52*'Arable Inputs'!$D$8</f>
        <v>286.74800000000005</v>
      </c>
      <c r="E41" s="481"/>
      <c r="F41" s="432"/>
      <c r="G41" s="458"/>
      <c r="H41" s="432"/>
      <c r="I41" s="432"/>
      <c r="J41" s="457"/>
      <c r="K41" s="432"/>
      <c r="L41" s="458"/>
      <c r="M41" s="432"/>
      <c r="N41" s="432"/>
      <c r="O41" s="457"/>
      <c r="P41" s="432"/>
      <c r="Q41" s="458"/>
      <c r="R41" s="432"/>
      <c r="S41" s="432"/>
      <c r="T41" s="457"/>
      <c r="U41" s="432"/>
      <c r="V41" s="458"/>
      <c r="W41" s="459"/>
      <c r="X41" s="458"/>
    </row>
    <row r="42" spans="2:24" x14ac:dyDescent="0.3">
      <c r="B42" s="16" t="s">
        <v>111</v>
      </c>
      <c r="C42" s="455">
        <f>51.89*'Arable Inputs'!$D$8</f>
        <v>254.26100000000002</v>
      </c>
      <c r="D42" s="456">
        <f>50.58*'Arable Inputs'!$D$8</f>
        <v>247.84200000000001</v>
      </c>
      <c r="E42" s="481"/>
      <c r="F42" s="432"/>
      <c r="G42" s="458"/>
      <c r="H42" s="432"/>
      <c r="I42" s="432"/>
      <c r="J42" s="457"/>
      <c r="K42" s="432"/>
      <c r="L42" s="458"/>
      <c r="M42" s="432"/>
      <c r="N42" s="432"/>
      <c r="O42" s="457"/>
      <c r="P42" s="432"/>
      <c r="Q42" s="458"/>
      <c r="R42" s="432"/>
      <c r="S42" s="432"/>
      <c r="T42" s="457"/>
      <c r="U42" s="432"/>
      <c r="V42" s="458"/>
      <c r="W42" s="459"/>
      <c r="X42" s="458"/>
    </row>
    <row r="43" spans="2:24" x14ac:dyDescent="0.3">
      <c r="B43" s="16" t="s">
        <v>112</v>
      </c>
      <c r="C43" s="455">
        <f>58.71*'Arable Inputs'!$D$8</f>
        <v>287.67900000000003</v>
      </c>
      <c r="D43" s="456">
        <f>61.14*'Arable Inputs'!$D$8</f>
        <v>299.58600000000001</v>
      </c>
      <c r="E43" s="481"/>
      <c r="F43" s="432"/>
      <c r="G43" s="458"/>
      <c r="H43" s="432"/>
      <c r="I43" s="432"/>
      <c r="J43" s="457"/>
      <c r="K43" s="432"/>
      <c r="L43" s="458"/>
      <c r="M43" s="432"/>
      <c r="N43" s="432"/>
      <c r="O43" s="457"/>
      <c r="P43" s="432"/>
      <c r="Q43" s="458"/>
      <c r="R43" s="432"/>
      <c r="S43" s="432"/>
      <c r="T43" s="457"/>
      <c r="U43" s="432"/>
      <c r="V43" s="458"/>
      <c r="W43" s="459"/>
      <c r="X43" s="458"/>
    </row>
    <row r="44" spans="2:24" x14ac:dyDescent="0.3">
      <c r="B44" s="16" t="s">
        <v>51</v>
      </c>
      <c r="C44" s="455">
        <f>51.97*'Arable Inputs'!$D$8</f>
        <v>254.65300000000002</v>
      </c>
      <c r="D44" s="456">
        <f>57.16*'Arable Inputs'!$D$8</f>
        <v>280.084</v>
      </c>
      <c r="E44" s="481"/>
      <c r="F44" s="432"/>
      <c r="G44" s="458"/>
      <c r="H44" s="432"/>
      <c r="I44" s="432"/>
      <c r="J44" s="457"/>
      <c r="K44" s="432"/>
      <c r="L44" s="458"/>
      <c r="M44" s="432"/>
      <c r="N44" s="432"/>
      <c r="O44" s="457"/>
      <c r="P44" s="432"/>
      <c r="Q44" s="54"/>
      <c r="R44" s="810"/>
      <c r="S44" s="421"/>
      <c r="T44" s="457"/>
      <c r="U44" s="432"/>
      <c r="V44" s="458"/>
      <c r="W44" s="459"/>
      <c r="X44" s="458"/>
    </row>
    <row r="45" spans="2:24" x14ac:dyDescent="0.3">
      <c r="B45" s="16" t="s">
        <v>113</v>
      </c>
      <c r="C45" s="455">
        <f>78.26*'Arable Inputs'!$D$8</f>
        <v>383.47400000000005</v>
      </c>
      <c r="D45" s="456" t="s">
        <v>116</v>
      </c>
      <c r="E45" s="481"/>
      <c r="F45" s="432"/>
      <c r="G45" s="458"/>
      <c r="H45" s="432"/>
      <c r="I45" s="432"/>
      <c r="J45" s="457"/>
      <c r="K45" s="432"/>
      <c r="L45" s="458"/>
      <c r="M45" s="432"/>
      <c r="N45" s="432"/>
      <c r="O45" s="457"/>
      <c r="P45" s="432"/>
      <c r="Q45" s="458"/>
      <c r="R45" s="432"/>
      <c r="S45" s="432"/>
      <c r="T45" s="457"/>
      <c r="U45" s="432"/>
      <c r="V45" s="458"/>
      <c r="W45" s="459"/>
      <c r="X45" s="458"/>
    </row>
    <row r="46" spans="2:24" x14ac:dyDescent="0.3">
      <c r="B46" s="16" t="s">
        <v>49</v>
      </c>
      <c r="C46" s="455">
        <f>29.31*'Arable Inputs'!$D$8</f>
        <v>143.619</v>
      </c>
      <c r="D46" s="456">
        <f>20*'Arable Inputs'!$D$8</f>
        <v>98</v>
      </c>
      <c r="E46" s="481"/>
      <c r="F46" s="432"/>
      <c r="G46" s="458"/>
      <c r="H46" s="432"/>
      <c r="I46" s="432"/>
      <c r="J46" s="457"/>
      <c r="K46" s="432"/>
      <c r="L46" s="458"/>
      <c r="M46" s="432"/>
      <c r="N46" s="432"/>
      <c r="O46" s="457"/>
      <c r="P46" s="432"/>
      <c r="Q46" s="458"/>
      <c r="R46" s="432"/>
      <c r="S46" s="432"/>
      <c r="T46" s="457"/>
      <c r="U46" s="432"/>
      <c r="V46" s="458"/>
      <c r="W46" s="459"/>
      <c r="X46" s="458"/>
    </row>
    <row r="47" spans="2:24" x14ac:dyDescent="0.3">
      <c r="B47" s="16" t="s">
        <v>114</v>
      </c>
      <c r="C47" s="455">
        <f>31.16*'Arable Inputs'!$D$8</f>
        <v>152.68400000000003</v>
      </c>
      <c r="D47" s="456">
        <f>20.54*'Arable Inputs'!$D$8</f>
        <v>100.646</v>
      </c>
      <c r="E47" s="481"/>
      <c r="F47" s="432"/>
      <c r="G47" s="458"/>
      <c r="H47" s="432"/>
      <c r="I47" s="432"/>
      <c r="J47" s="457"/>
      <c r="K47" s="432"/>
      <c r="L47" s="458"/>
      <c r="M47" s="432"/>
      <c r="N47" s="432"/>
      <c r="O47" s="457"/>
      <c r="P47" s="432"/>
      <c r="Q47" s="458"/>
      <c r="R47" s="432"/>
      <c r="S47" s="432"/>
      <c r="T47" s="457"/>
      <c r="U47" s="432"/>
      <c r="V47" s="458"/>
      <c r="W47" s="459"/>
      <c r="X47" s="458"/>
    </row>
    <row r="48" spans="2:24" x14ac:dyDescent="0.3">
      <c r="B48" s="16" t="s">
        <v>115</v>
      </c>
      <c r="C48" s="455">
        <f>74.13*'Arable Inputs'!$D$8</f>
        <v>363.23700000000002</v>
      </c>
      <c r="D48" s="456" t="s">
        <v>116</v>
      </c>
      <c r="E48" s="481"/>
      <c r="F48" s="432"/>
      <c r="G48" s="458"/>
      <c r="H48" s="432"/>
      <c r="I48" s="432"/>
      <c r="J48" s="457"/>
      <c r="K48" s="432"/>
      <c r="L48" s="458"/>
      <c r="M48" s="432"/>
      <c r="N48" s="432"/>
      <c r="O48" s="457"/>
      <c r="P48" s="432"/>
      <c r="Q48" s="458"/>
      <c r="R48" s="432"/>
      <c r="S48" s="432"/>
      <c r="T48" s="457"/>
      <c r="U48" s="432"/>
      <c r="V48" s="458"/>
      <c r="W48" s="459"/>
      <c r="X48" s="458"/>
    </row>
    <row r="49" spans="2:24" x14ac:dyDescent="0.3">
      <c r="B49" s="16" t="s">
        <v>117</v>
      </c>
      <c r="C49" s="455">
        <f>23.3*'Arable Inputs'!$D$8</f>
        <v>114.17000000000002</v>
      </c>
      <c r="D49" s="456">
        <f>14.67*'Arable Inputs'!$D$8</f>
        <v>71.88300000000001</v>
      </c>
      <c r="E49" s="481"/>
      <c r="F49" s="432"/>
      <c r="G49" s="458"/>
      <c r="H49" s="432"/>
      <c r="I49" s="432"/>
      <c r="J49" s="457"/>
      <c r="K49" s="432"/>
      <c r="L49" s="458"/>
      <c r="M49" s="432"/>
      <c r="N49" s="432"/>
      <c r="O49" s="457"/>
      <c r="P49" s="432"/>
      <c r="Q49" s="458"/>
      <c r="R49" s="432"/>
      <c r="S49" s="432"/>
      <c r="T49" s="457"/>
      <c r="U49" s="432"/>
      <c r="V49" s="458"/>
      <c r="W49" s="459"/>
      <c r="X49" s="458"/>
    </row>
    <row r="50" spans="2:24" x14ac:dyDescent="0.3">
      <c r="B50" s="16" t="s">
        <v>50</v>
      </c>
      <c r="C50" s="455">
        <f>46.55*'Arable Inputs'!$D$8</f>
        <v>228.095</v>
      </c>
      <c r="D50" s="456" t="s">
        <v>116</v>
      </c>
      <c r="E50" s="481"/>
      <c r="F50" s="432"/>
      <c r="G50" s="458"/>
      <c r="H50" s="432"/>
      <c r="I50" s="432"/>
      <c r="J50" s="457"/>
      <c r="K50" s="432"/>
      <c r="L50" s="458"/>
      <c r="M50" s="432"/>
      <c r="N50" s="432"/>
      <c r="O50" s="457"/>
      <c r="P50" s="432"/>
      <c r="Q50" s="458"/>
      <c r="R50" s="432"/>
      <c r="S50" s="432"/>
      <c r="T50" s="457"/>
      <c r="U50" s="432"/>
      <c r="V50" s="458"/>
      <c r="W50" s="860">
        <v>1.1000000000000001</v>
      </c>
      <c r="X50" s="993">
        <f>W50*$C$4</f>
        <v>18.700000000000003</v>
      </c>
    </row>
    <row r="51" spans="2:24" x14ac:dyDescent="0.3">
      <c r="B51" s="16" t="s">
        <v>118</v>
      </c>
      <c r="C51" s="455">
        <f>123.87*'Arable Inputs'!$D$8</f>
        <v>606.96300000000008</v>
      </c>
      <c r="D51" s="456" t="s">
        <v>116</v>
      </c>
      <c r="E51" s="481"/>
      <c r="F51" s="489"/>
      <c r="G51" s="490"/>
      <c r="H51" s="491"/>
      <c r="I51" s="491"/>
      <c r="J51" s="492"/>
      <c r="K51" s="489"/>
      <c r="L51" s="490"/>
      <c r="M51" s="491"/>
      <c r="N51" s="491"/>
      <c r="O51" s="492"/>
      <c r="P51" s="489"/>
      <c r="Q51" s="490"/>
      <c r="R51" s="493"/>
      <c r="S51" s="489"/>
      <c r="T51" s="457"/>
      <c r="U51" s="432"/>
      <c r="V51" s="54"/>
      <c r="W51" s="811"/>
      <c r="X51" s="461"/>
    </row>
    <row r="52" spans="2:24" x14ac:dyDescent="0.3">
      <c r="B52" s="16" t="s">
        <v>54</v>
      </c>
      <c r="C52" s="455">
        <f>187.8*'Arable Inputs'!$D$8</f>
        <v>920.22000000000014</v>
      </c>
      <c r="D52" s="456">
        <f>126.29*'Arable Inputs'!$D$8</f>
        <v>618.82100000000003</v>
      </c>
      <c r="E52" s="481"/>
      <c r="F52" s="432"/>
      <c r="G52" s="458"/>
      <c r="H52" s="853">
        <v>1</v>
      </c>
      <c r="I52" s="576">
        <f>H52*$C$4</f>
        <v>17</v>
      </c>
      <c r="J52" s="457"/>
      <c r="K52" s="432"/>
      <c r="L52" s="458"/>
      <c r="M52" s="853">
        <v>1</v>
      </c>
      <c r="N52" s="576">
        <f>M52*$C$4</f>
        <v>17</v>
      </c>
      <c r="O52" s="457"/>
      <c r="P52" s="432"/>
      <c r="Q52" s="54"/>
      <c r="R52" s="853">
        <v>1.1000000000000001</v>
      </c>
      <c r="S52" s="576">
        <f>R52*$C$4</f>
        <v>18.700000000000003</v>
      </c>
      <c r="T52" s="457"/>
      <c r="U52" s="432"/>
      <c r="V52" s="54"/>
      <c r="W52" s="810"/>
      <c r="X52" s="461"/>
    </row>
    <row r="53" spans="2:24" x14ac:dyDescent="0.3">
      <c r="B53" s="16" t="s">
        <v>206</v>
      </c>
      <c r="C53" s="455">
        <f>42*'Arable Inputs'!$D$8</f>
        <v>205.8</v>
      </c>
      <c r="D53" s="456">
        <f>35.63*'Arable Inputs'!$D$8</f>
        <v>174.58700000000002</v>
      </c>
      <c r="E53" s="481"/>
      <c r="F53" s="432"/>
      <c r="G53" s="458"/>
      <c r="H53" s="432"/>
      <c r="I53" s="432"/>
      <c r="J53" s="457"/>
      <c r="K53" s="432"/>
      <c r="L53" s="458"/>
      <c r="M53" s="432"/>
      <c r="N53" s="432"/>
      <c r="O53" s="457"/>
      <c r="P53" s="432"/>
      <c r="Q53" s="458"/>
      <c r="R53" s="432"/>
      <c r="S53" s="432"/>
      <c r="T53" s="457"/>
      <c r="U53" s="425"/>
      <c r="V53" s="458"/>
      <c r="W53" s="459"/>
      <c r="X53" s="458"/>
    </row>
    <row r="54" spans="2:24" x14ac:dyDescent="0.3">
      <c r="B54" s="429" t="s">
        <v>55</v>
      </c>
      <c r="C54" s="802"/>
      <c r="D54" s="802"/>
      <c r="E54" s="467"/>
      <c r="F54" s="427"/>
      <c r="G54" s="1003">
        <v>450</v>
      </c>
      <c r="H54" s="429">
        <f>SUM(H39:H53)</f>
        <v>1</v>
      </c>
      <c r="I54" s="834">
        <f>SUM(I39:I53)</f>
        <v>17</v>
      </c>
      <c r="J54" s="470"/>
      <c r="K54" s="427"/>
      <c r="L54" s="1003">
        <v>450</v>
      </c>
      <c r="M54" s="429">
        <f>SUM(M39:M53)</f>
        <v>1</v>
      </c>
      <c r="N54" s="834">
        <f>SUM(N39:N53)</f>
        <v>17</v>
      </c>
      <c r="O54" s="470"/>
      <c r="P54" s="427"/>
      <c r="Q54" s="1003">
        <v>450</v>
      </c>
      <c r="R54" s="429">
        <f>SUM(R39:R53)</f>
        <v>1.1000000000000001</v>
      </c>
      <c r="S54" s="834">
        <f>SUM(S39:S53)</f>
        <v>18.700000000000003</v>
      </c>
      <c r="T54" s="470"/>
      <c r="U54" s="427"/>
      <c r="V54" s="1003">
        <f>45*'Arable Inputs'!D8</f>
        <v>220.50000000000003</v>
      </c>
      <c r="W54" s="429">
        <f>SUM(W39:W53)</f>
        <v>1.1000000000000001</v>
      </c>
      <c r="X54" s="468">
        <f>SUM(X39:X53)</f>
        <v>18.700000000000003</v>
      </c>
    </row>
    <row r="56" spans="2:24" x14ac:dyDescent="0.3">
      <c r="B56" s="429" t="s">
        <v>472</v>
      </c>
      <c r="C56" s="827"/>
      <c r="D56" s="827"/>
      <c r="E56" s="827"/>
      <c r="F56" s="428"/>
      <c r="G56" s="428"/>
      <c r="H56" s="428"/>
      <c r="I56" s="428"/>
      <c r="J56" s="428"/>
      <c r="K56" s="428"/>
      <c r="L56" s="428"/>
      <c r="M56" s="428"/>
      <c r="N56" s="428"/>
      <c r="O56" s="428"/>
      <c r="P56" s="428"/>
      <c r="Q56" s="428"/>
      <c r="R56" s="428"/>
      <c r="S56" s="428"/>
      <c r="T56" s="428"/>
      <c r="U56" s="428"/>
      <c r="V56" s="428"/>
      <c r="W56" s="428"/>
      <c r="X56" s="430"/>
    </row>
    <row r="57" spans="2:24" x14ac:dyDescent="0.3">
      <c r="B57" s="16" t="s">
        <v>473</v>
      </c>
      <c r="C57" s="849"/>
      <c r="D57" s="851"/>
      <c r="E57" s="481"/>
      <c r="F57" s="473"/>
      <c r="G57" s="474"/>
      <c r="H57" s="853">
        <v>0.5</v>
      </c>
      <c r="I57" s="421">
        <f>H57*$C$4</f>
        <v>8.5</v>
      </c>
      <c r="J57" s="457"/>
      <c r="K57" s="473"/>
      <c r="L57" s="474"/>
      <c r="M57" s="853">
        <v>0.5</v>
      </c>
      <c r="N57" s="421">
        <f>M57*$C$4</f>
        <v>8.5</v>
      </c>
      <c r="O57" s="457"/>
      <c r="P57" s="473"/>
      <c r="Q57" s="474"/>
      <c r="R57" s="853">
        <v>0.5</v>
      </c>
      <c r="S57" s="421">
        <f>R57*$C$4</f>
        <v>8.5</v>
      </c>
      <c r="T57" s="457"/>
      <c r="U57" s="473"/>
      <c r="V57" s="474"/>
      <c r="W57" s="853">
        <v>0.5</v>
      </c>
      <c r="X57" s="847">
        <f>W57*$C$4</f>
        <v>8.5</v>
      </c>
    </row>
    <row r="58" spans="2:24" x14ac:dyDescent="0.3">
      <c r="B58" s="429" t="s">
        <v>202</v>
      </c>
      <c r="C58" s="827"/>
      <c r="D58" s="827"/>
      <c r="E58" s="467"/>
      <c r="F58" s="427" t="s">
        <v>10</v>
      </c>
      <c r="G58" s="839">
        <v>50</v>
      </c>
      <c r="H58" s="429">
        <f>SUM(H57:H57)</f>
        <v>0.5</v>
      </c>
      <c r="I58" s="469">
        <f>SUM(I57:I57)</f>
        <v>8.5</v>
      </c>
      <c r="J58" s="470"/>
      <c r="K58" s="427"/>
      <c r="L58" s="837">
        <v>20</v>
      </c>
      <c r="M58" s="429">
        <f>SUM(M57:M57)</f>
        <v>0.5</v>
      </c>
      <c r="N58" s="469">
        <f>SUM(N57:N57)</f>
        <v>8.5</v>
      </c>
      <c r="O58" s="470"/>
      <c r="P58" s="427"/>
      <c r="Q58" s="846">
        <f>L58</f>
        <v>20</v>
      </c>
      <c r="R58" s="429">
        <f>SUM(R57:R57)</f>
        <v>0.5</v>
      </c>
      <c r="S58" s="427">
        <f>SUM(S43:S57)</f>
        <v>45.900000000000006</v>
      </c>
      <c r="T58" s="470"/>
      <c r="U58" s="427"/>
      <c r="V58" s="846">
        <f>L58</f>
        <v>20</v>
      </c>
      <c r="W58" s="429">
        <f>SUM(W57:W57)</f>
        <v>0.5</v>
      </c>
      <c r="X58" s="471">
        <f>SUM(X57:X57)</f>
        <v>8.5</v>
      </c>
    </row>
    <row r="59" spans="2:24" x14ac:dyDescent="0.3">
      <c r="B59" s="429"/>
      <c r="C59" s="827"/>
      <c r="D59" s="827"/>
      <c r="E59" s="827"/>
      <c r="F59" s="427"/>
      <c r="G59" s="427"/>
      <c r="H59" s="427"/>
      <c r="I59" s="427"/>
      <c r="J59" s="835"/>
      <c r="K59" s="427"/>
      <c r="L59" s="427"/>
      <c r="M59" s="427"/>
      <c r="N59" s="427"/>
      <c r="O59" s="835"/>
      <c r="P59" s="427"/>
      <c r="Q59" s="834"/>
      <c r="R59" s="427"/>
      <c r="S59" s="469"/>
      <c r="T59" s="835"/>
      <c r="U59" s="427"/>
      <c r="V59" s="834"/>
      <c r="W59" s="427"/>
      <c r="X59" s="471"/>
    </row>
    <row r="60" spans="2:24" x14ac:dyDescent="0.3">
      <c r="B60" s="429" t="s">
        <v>253</v>
      </c>
      <c r="C60" s="802"/>
      <c r="D60" s="802"/>
      <c r="E60" s="802"/>
      <c r="F60" s="428"/>
      <c r="G60" s="428"/>
      <c r="H60" s="428"/>
      <c r="I60" s="428"/>
      <c r="J60" s="428"/>
      <c r="K60" s="428"/>
      <c r="L60" s="428"/>
      <c r="M60" s="428"/>
      <c r="N60" s="428"/>
      <c r="O60" s="428"/>
      <c r="P60" s="428"/>
      <c r="Q60" s="428"/>
      <c r="R60" s="428"/>
      <c r="S60" s="428"/>
      <c r="T60" s="428"/>
      <c r="U60" s="428"/>
      <c r="V60" s="428"/>
      <c r="W60" s="428"/>
      <c r="X60" s="430"/>
    </row>
    <row r="61" spans="2:24" x14ac:dyDescent="0.3">
      <c r="B61" s="16" t="s">
        <v>194</v>
      </c>
      <c r="C61" s="455">
        <f>40.25*'Arable Inputs'!$D$8</f>
        <v>197.22500000000002</v>
      </c>
      <c r="D61" s="456" t="s">
        <v>116</v>
      </c>
      <c r="E61" s="481"/>
      <c r="F61" s="432"/>
      <c r="G61" s="458"/>
      <c r="H61" s="432"/>
      <c r="I61" s="432"/>
      <c r="J61" s="457"/>
      <c r="K61" s="432"/>
      <c r="L61" s="458"/>
      <c r="M61" s="432"/>
      <c r="N61" s="432"/>
      <c r="O61" s="457">
        <v>1</v>
      </c>
      <c r="P61" s="432">
        <v>3</v>
      </c>
      <c r="Q61" s="1008">
        <f>IF(P61&gt;=1,CHOOSE(O61,$C61,$D61)*P61)</f>
        <v>591.67500000000007</v>
      </c>
      <c r="R61" s="861">
        <f>0.3*P61</f>
        <v>0.89999999999999991</v>
      </c>
      <c r="S61" s="576">
        <f>R61*$C$4</f>
        <v>15.299999999999999</v>
      </c>
      <c r="T61" s="457">
        <v>1</v>
      </c>
      <c r="U61" s="432">
        <v>3</v>
      </c>
      <c r="V61" s="1008">
        <f>IF(U61&gt;=1,CHOOSE(T61,$C61,$D61)*U61)</f>
        <v>591.67500000000007</v>
      </c>
      <c r="W61" s="861">
        <f>0.3*3</f>
        <v>0.89999999999999991</v>
      </c>
      <c r="X61" s="993">
        <f>W61*$C$4</f>
        <v>15.299999999999999</v>
      </c>
    </row>
    <row r="62" spans="2:24" x14ac:dyDescent="0.3">
      <c r="B62" s="429" t="s">
        <v>202</v>
      </c>
      <c r="C62" s="802"/>
      <c r="D62" s="802"/>
      <c r="E62" s="467"/>
      <c r="F62" s="427" t="s">
        <v>10</v>
      </c>
      <c r="G62" s="468"/>
      <c r="H62" s="427"/>
      <c r="I62" s="427"/>
      <c r="J62" s="470"/>
      <c r="K62" s="427"/>
      <c r="L62" s="468"/>
      <c r="M62" s="427"/>
      <c r="N62" s="427"/>
      <c r="O62" s="470"/>
      <c r="P62" s="427"/>
      <c r="Q62" s="822">
        <f>SUM(Q61:Q61)</f>
        <v>591.67500000000007</v>
      </c>
      <c r="R62" s="429">
        <f>SUM(R61:R61)</f>
        <v>0.89999999999999991</v>
      </c>
      <c r="S62" s="834">
        <f>SUM(S61:S61)</f>
        <v>15.299999999999999</v>
      </c>
      <c r="T62" s="470"/>
      <c r="U62" s="427"/>
      <c r="V62" s="822">
        <f>SUM(V61:V61)</f>
        <v>591.67500000000007</v>
      </c>
      <c r="W62" s="429">
        <f>SUM(W61:W61)</f>
        <v>0.89999999999999991</v>
      </c>
      <c r="X62" s="822">
        <f>SUM(X61:X61)</f>
        <v>15.299999999999999</v>
      </c>
    </row>
    <row r="64" spans="2:24" x14ac:dyDescent="0.3">
      <c r="B64" s="429" t="s">
        <v>33</v>
      </c>
      <c r="C64" s="802"/>
      <c r="D64" s="802"/>
      <c r="E64" s="802"/>
      <c r="F64" s="428"/>
      <c r="G64" s="428"/>
      <c r="H64" s="428"/>
      <c r="I64" s="428"/>
      <c r="J64" s="428"/>
      <c r="K64" s="428"/>
      <c r="L64" s="428"/>
      <c r="M64" s="428"/>
      <c r="N64" s="428"/>
      <c r="O64" s="428"/>
      <c r="P64" s="428"/>
      <c r="Q64" s="428"/>
      <c r="R64" s="428"/>
      <c r="S64" s="428"/>
      <c r="T64" s="428"/>
      <c r="U64" s="428"/>
      <c r="V64" s="428"/>
      <c r="W64" s="428"/>
      <c r="X64" s="430"/>
    </row>
    <row r="65" spans="2:24" x14ac:dyDescent="0.3">
      <c r="B65" s="16" t="s">
        <v>58</v>
      </c>
      <c r="C65" s="455">
        <f>12.63*'Arable Inputs'!$D$8</f>
        <v>61.887000000000008</v>
      </c>
      <c r="D65" s="494">
        <f>10.08*'Arable Inputs'!$D$8</f>
        <v>49.392000000000003</v>
      </c>
      <c r="E65" s="457">
        <v>2</v>
      </c>
      <c r="F65" s="602">
        <v>4</v>
      </c>
      <c r="G65" s="993">
        <f>IF(F65&gt;=1,CHOOSE(E65,$C65,$D65)*F65)</f>
        <v>197.56800000000001</v>
      </c>
      <c r="H65" s="862">
        <f>0.3*F65</f>
        <v>1.2</v>
      </c>
      <c r="I65" s="576">
        <f>H65*$C$4</f>
        <v>20.399999999999999</v>
      </c>
      <c r="J65" s="457">
        <v>2</v>
      </c>
      <c r="K65" s="602">
        <v>4</v>
      </c>
      <c r="L65" s="993">
        <f>IF(K65&gt;=1,CHOOSE(J65,$C65,$D65)*K65)</f>
        <v>197.56800000000001</v>
      </c>
      <c r="M65" s="862">
        <f>0.3*K65</f>
        <v>1.2</v>
      </c>
      <c r="N65" s="576">
        <f>M65*$C$4</f>
        <v>20.399999999999999</v>
      </c>
      <c r="O65" s="457">
        <v>2</v>
      </c>
      <c r="P65" s="602">
        <v>2</v>
      </c>
      <c r="Q65" s="993">
        <f>IF(P65&gt;=1,CHOOSE(O65,$C65,$D65)*P65)</f>
        <v>98.784000000000006</v>
      </c>
      <c r="R65" s="862">
        <f>0.3*P65</f>
        <v>0.6</v>
      </c>
      <c r="S65" s="576">
        <f>R65*$C$4</f>
        <v>10.199999999999999</v>
      </c>
      <c r="T65" s="457">
        <v>2</v>
      </c>
      <c r="U65" s="602">
        <v>2</v>
      </c>
      <c r="V65" s="993">
        <f>IF(U65&gt;=1,CHOOSE(T65,$C65,$D65)*U65)</f>
        <v>98.784000000000006</v>
      </c>
      <c r="W65" s="862">
        <f>0.3*U65</f>
        <v>0.6</v>
      </c>
      <c r="X65" s="1010">
        <f>W65*$C$4</f>
        <v>10.199999999999999</v>
      </c>
    </row>
    <row r="66" spans="2:24" x14ac:dyDescent="0.3">
      <c r="B66" s="16" t="s">
        <v>57</v>
      </c>
      <c r="C66" s="455" t="s">
        <v>116</v>
      </c>
      <c r="D66" s="456">
        <f>8.16*'Arable Inputs'!$D$8</f>
        <v>39.984000000000002</v>
      </c>
      <c r="E66" s="457"/>
      <c r="F66" s="432"/>
      <c r="G66" s="432"/>
      <c r="H66" s="16"/>
      <c r="I66" s="432"/>
      <c r="J66" s="457"/>
      <c r="K66" s="432"/>
      <c r="L66" s="432"/>
      <c r="M66" s="16"/>
      <c r="N66" s="432"/>
      <c r="O66" s="457"/>
      <c r="P66" s="432"/>
      <c r="Q66" s="432"/>
      <c r="R66" s="16"/>
      <c r="S66" s="432"/>
      <c r="T66" s="457"/>
      <c r="U66" s="432"/>
      <c r="V66" s="432"/>
      <c r="W66" s="16"/>
      <c r="X66" s="458"/>
    </row>
    <row r="67" spans="2:24" x14ac:dyDescent="0.3">
      <c r="B67" s="10" t="s">
        <v>56</v>
      </c>
      <c r="C67" s="497">
        <f>(C65+4.32)*'Arable Inputs'!$D$8</f>
        <v>324.41430000000008</v>
      </c>
      <c r="D67" s="456" t="s">
        <v>116</v>
      </c>
      <c r="E67" s="457"/>
      <c r="F67" s="432"/>
      <c r="G67" s="432"/>
      <c r="H67" s="16"/>
      <c r="I67" s="432"/>
      <c r="J67" s="457"/>
      <c r="K67" s="432"/>
      <c r="L67" s="432"/>
      <c r="M67" s="16"/>
      <c r="N67" s="432"/>
      <c r="O67" s="457"/>
      <c r="P67" s="432"/>
      <c r="Q67" s="432"/>
      <c r="R67" s="16"/>
      <c r="S67" s="432"/>
      <c r="T67" s="457"/>
      <c r="U67" s="432"/>
      <c r="V67" s="432"/>
      <c r="W67" s="16"/>
      <c r="X67" s="458"/>
    </row>
    <row r="68" spans="2:24" x14ac:dyDescent="0.3">
      <c r="B68" s="16" t="s">
        <v>133</v>
      </c>
      <c r="C68" s="455">
        <f>12.36*'Arable Inputs'!$D$8</f>
        <v>60.564</v>
      </c>
      <c r="D68" s="456" t="s">
        <v>116</v>
      </c>
      <c r="E68" s="457"/>
      <c r="F68" s="491"/>
      <c r="G68" s="491"/>
      <c r="H68" s="493"/>
      <c r="I68" s="489"/>
      <c r="J68" s="492"/>
      <c r="K68" s="491"/>
      <c r="L68" s="491"/>
      <c r="M68" s="493"/>
      <c r="N68" s="491"/>
      <c r="O68" s="457"/>
      <c r="P68" s="491"/>
      <c r="Q68" s="491"/>
      <c r="R68" s="493"/>
      <c r="S68" s="489"/>
      <c r="T68" s="457"/>
      <c r="U68" s="491"/>
      <c r="V68" s="491"/>
      <c r="W68" s="493"/>
      <c r="X68" s="490"/>
    </row>
    <row r="69" spans="2:24" x14ac:dyDescent="0.3">
      <c r="B69" s="16" t="s">
        <v>134</v>
      </c>
      <c r="C69" s="455">
        <f>8.9*'Arable Inputs'!$D$8</f>
        <v>43.610000000000007</v>
      </c>
      <c r="D69" s="456">
        <f>2.89*'Arable Inputs'!$D$8</f>
        <v>14.161000000000001</v>
      </c>
      <c r="E69" s="457"/>
      <c r="F69" s="491"/>
      <c r="G69" s="491"/>
      <c r="H69" s="493"/>
      <c r="I69" s="489"/>
      <c r="J69" s="492"/>
      <c r="K69" s="491"/>
      <c r="L69" s="491"/>
      <c r="M69" s="493"/>
      <c r="N69" s="491"/>
      <c r="O69" s="457"/>
      <c r="P69" s="491"/>
      <c r="Q69" s="491"/>
      <c r="R69" s="493"/>
      <c r="S69" s="489"/>
      <c r="T69" s="457"/>
      <c r="U69" s="491"/>
      <c r="V69" s="491"/>
      <c r="W69" s="493"/>
      <c r="X69" s="490"/>
    </row>
    <row r="70" spans="2:24" x14ac:dyDescent="0.3">
      <c r="B70" s="16" t="s">
        <v>59</v>
      </c>
      <c r="C70" s="455">
        <f>25.95*'Arable Inputs'!$D$8</f>
        <v>127.155</v>
      </c>
      <c r="D70" s="456" t="s">
        <v>116</v>
      </c>
      <c r="E70" s="457"/>
      <c r="F70" s="432"/>
      <c r="G70" s="432"/>
      <c r="H70" s="16"/>
      <c r="I70" s="432"/>
      <c r="J70" s="457"/>
      <c r="K70" s="432"/>
      <c r="L70" s="432"/>
      <c r="M70" s="16"/>
      <c r="N70" s="432"/>
      <c r="O70" s="457"/>
      <c r="P70" s="432"/>
      <c r="Q70" s="432"/>
      <c r="R70" s="16"/>
      <c r="S70" s="432"/>
      <c r="T70" s="457"/>
      <c r="U70" s="432"/>
      <c r="V70" s="432"/>
      <c r="W70" s="16"/>
      <c r="X70" s="458"/>
    </row>
    <row r="71" spans="2:24" x14ac:dyDescent="0.3">
      <c r="B71" s="16" t="s">
        <v>135</v>
      </c>
      <c r="C71" s="455">
        <f>19.77*'Arable Inputs'!$D$8</f>
        <v>96.873000000000005</v>
      </c>
      <c r="D71" s="456" t="s">
        <v>116</v>
      </c>
      <c r="E71" s="457"/>
      <c r="F71" s="432"/>
      <c r="G71" s="458"/>
      <c r="H71" s="823"/>
      <c r="I71" s="421"/>
      <c r="J71" s="457"/>
      <c r="K71" s="425"/>
      <c r="L71" s="458"/>
      <c r="M71" s="823"/>
      <c r="N71" s="421"/>
      <c r="O71" s="457"/>
      <c r="P71" s="432"/>
      <c r="Q71" s="458"/>
      <c r="R71" s="823"/>
      <c r="S71" s="421"/>
      <c r="T71" s="457"/>
      <c r="U71" s="432"/>
      <c r="V71" s="458"/>
      <c r="W71" s="823"/>
      <c r="X71" s="824"/>
    </row>
    <row r="72" spans="2:24" x14ac:dyDescent="0.3">
      <c r="B72" s="429" t="s">
        <v>60</v>
      </c>
      <c r="C72" s="802"/>
      <c r="D72" s="802"/>
      <c r="E72" s="467"/>
      <c r="F72" s="427" t="s">
        <v>10</v>
      </c>
      <c r="G72" s="822">
        <f>SUM(G65:G71)</f>
        <v>197.56800000000001</v>
      </c>
      <c r="H72" s="805">
        <f>SUM(H65:H71)</f>
        <v>1.2</v>
      </c>
      <c r="I72" s="834">
        <f>SUM(I65:I71)</f>
        <v>20.399999999999999</v>
      </c>
      <c r="J72" s="470"/>
      <c r="K72" s="427"/>
      <c r="L72" s="822">
        <f>SUM(L65:L71)</f>
        <v>197.56800000000001</v>
      </c>
      <c r="M72" s="805">
        <f>SUM(M65:M71)</f>
        <v>1.2</v>
      </c>
      <c r="N72" s="834">
        <f>SUM(N65:N71)</f>
        <v>20.399999999999999</v>
      </c>
      <c r="O72" s="467"/>
      <c r="P72" s="427" t="s">
        <v>10</v>
      </c>
      <c r="Q72" s="822">
        <f>SUM(Q65:Q71)</f>
        <v>98.784000000000006</v>
      </c>
      <c r="R72" s="805">
        <f>SUM(R65:R71)</f>
        <v>0.6</v>
      </c>
      <c r="S72" s="834">
        <f>SUM(S65:S71)</f>
        <v>10.199999999999999</v>
      </c>
      <c r="T72" s="467"/>
      <c r="U72" s="427" t="s">
        <v>10</v>
      </c>
      <c r="V72" s="822">
        <f>SUM(V65:V71)</f>
        <v>98.784000000000006</v>
      </c>
      <c r="W72" s="805">
        <f>SUM(W65:W71)</f>
        <v>0.6</v>
      </c>
      <c r="X72" s="822">
        <f>SUM(X65:X71)</f>
        <v>10.199999999999999</v>
      </c>
    </row>
    <row r="73" spans="2:24" x14ac:dyDescent="0.3">
      <c r="S73" s="979"/>
    </row>
    <row r="74" spans="2:24" x14ac:dyDescent="0.3">
      <c r="B74" s="429" t="s">
        <v>469</v>
      </c>
      <c r="C74" s="827"/>
      <c r="D74" s="827"/>
      <c r="E74" s="827"/>
      <c r="F74" s="428"/>
      <c r="G74" s="428"/>
      <c r="H74" s="428"/>
      <c r="I74" s="428"/>
      <c r="J74" s="428"/>
      <c r="K74" s="428"/>
      <c r="L74" s="428"/>
      <c r="M74" s="428"/>
      <c r="N74" s="428"/>
      <c r="O74" s="428"/>
      <c r="P74" s="428"/>
      <c r="Q74" s="428"/>
      <c r="R74" s="428"/>
      <c r="S74" s="428"/>
      <c r="T74" s="428"/>
      <c r="U74" s="428"/>
      <c r="V74" s="428"/>
      <c r="W74" s="428"/>
      <c r="X74" s="430"/>
    </row>
    <row r="75" spans="2:24" x14ac:dyDescent="0.3">
      <c r="B75" s="16" t="s">
        <v>204</v>
      </c>
      <c r="C75" s="455">
        <f>12.36*'Arable Inputs'!$D$8</f>
        <v>60.564</v>
      </c>
      <c r="D75" s="456">
        <f>6.69*'Arable Inputs'!$D$8</f>
        <v>32.781000000000006</v>
      </c>
      <c r="E75" s="457"/>
      <c r="F75" s="473"/>
      <c r="G75" s="474"/>
      <c r="H75" s="432"/>
      <c r="I75" s="432"/>
      <c r="J75" s="457"/>
      <c r="K75" s="473"/>
      <c r="L75" s="474"/>
      <c r="M75" s="432"/>
      <c r="N75" s="432"/>
      <c r="O75" s="457"/>
      <c r="P75" s="473"/>
      <c r="Q75" s="474"/>
      <c r="R75" s="432"/>
      <c r="S75" s="432"/>
      <c r="T75" s="457"/>
      <c r="U75" s="473"/>
      <c r="V75" s="474"/>
      <c r="W75" s="459"/>
      <c r="X75" s="458"/>
    </row>
    <row r="76" spans="2:24" x14ac:dyDescent="0.3">
      <c r="B76" s="16" t="s">
        <v>46</v>
      </c>
      <c r="C76" s="455">
        <f>(C75+3.71)*'Arable Inputs'!$D$8</f>
        <v>314.94260000000003</v>
      </c>
      <c r="D76" s="456" t="s">
        <v>116</v>
      </c>
      <c r="E76" s="457"/>
      <c r="F76" s="432"/>
      <c r="G76" s="458"/>
      <c r="H76" s="853">
        <v>1.2</v>
      </c>
      <c r="I76" s="421">
        <f>H76*$C$4</f>
        <v>20.399999999999999</v>
      </c>
      <c r="J76" s="457"/>
      <c r="K76" s="432"/>
      <c r="L76" s="458"/>
      <c r="M76" s="853">
        <v>1.2</v>
      </c>
      <c r="N76" s="421">
        <f>M76*$C$4</f>
        <v>20.399999999999999</v>
      </c>
      <c r="O76" s="457"/>
      <c r="P76" s="432"/>
      <c r="Q76" s="458"/>
      <c r="R76" s="853">
        <v>1.2</v>
      </c>
      <c r="S76" s="421">
        <f>R76*$C$4</f>
        <v>20.399999999999999</v>
      </c>
      <c r="T76" s="457"/>
      <c r="U76" s="432"/>
      <c r="V76" s="458"/>
      <c r="W76" s="853">
        <v>1.2</v>
      </c>
      <c r="X76" s="461">
        <f>W76*$C$4</f>
        <v>20.399999999999999</v>
      </c>
    </row>
    <row r="77" spans="2:24" x14ac:dyDescent="0.3">
      <c r="B77" s="16" t="s">
        <v>129</v>
      </c>
      <c r="C77" s="455">
        <f>6.1*'Arable Inputs'!$D$8</f>
        <v>29.89</v>
      </c>
      <c r="D77" s="456" t="s">
        <v>116</v>
      </c>
      <c r="E77" s="457"/>
      <c r="F77" s="432"/>
      <c r="G77" s="458"/>
      <c r="H77" s="432"/>
      <c r="I77" s="432"/>
      <c r="J77" s="457"/>
      <c r="K77" s="432"/>
      <c r="L77" s="458"/>
      <c r="M77" s="432"/>
      <c r="N77" s="432"/>
      <c r="O77" s="457"/>
      <c r="P77" s="432"/>
      <c r="Q77" s="458"/>
      <c r="R77" s="432"/>
      <c r="S77" s="432"/>
      <c r="T77" s="457"/>
      <c r="U77" s="432"/>
      <c r="V77" s="458"/>
      <c r="W77" s="459"/>
      <c r="X77" s="458"/>
    </row>
    <row r="78" spans="2:24" x14ac:dyDescent="0.3">
      <c r="B78" s="16" t="s">
        <v>47</v>
      </c>
      <c r="C78" s="455">
        <f>14.83*'Arable Inputs'!$D$8</f>
        <v>72.667000000000002</v>
      </c>
      <c r="D78" s="456">
        <f>12.09*'Arable Inputs'!$D$8</f>
        <v>59.241000000000007</v>
      </c>
      <c r="E78" s="457"/>
      <c r="F78" s="432"/>
      <c r="G78" s="458"/>
      <c r="H78" s="432"/>
      <c r="I78" s="432"/>
      <c r="J78" s="457"/>
      <c r="K78" s="432"/>
      <c r="L78" s="458"/>
      <c r="M78" s="432"/>
      <c r="N78" s="432"/>
      <c r="O78" s="457"/>
      <c r="P78" s="432"/>
      <c r="Q78" s="458"/>
      <c r="R78" s="432"/>
      <c r="S78" s="432"/>
      <c r="T78" s="457"/>
      <c r="U78" s="432"/>
      <c r="V78" s="458"/>
      <c r="W78" s="459"/>
      <c r="X78" s="458"/>
    </row>
    <row r="79" spans="2:24" x14ac:dyDescent="0.3">
      <c r="B79" s="16" t="s">
        <v>174</v>
      </c>
      <c r="C79" s="455">
        <f>49.5*'Arable Inputs'!$D$8</f>
        <v>242.55</v>
      </c>
      <c r="D79" s="456">
        <f>49.64*'Arable Inputs'!$D$8</f>
        <v>243.23600000000002</v>
      </c>
      <c r="E79" s="457"/>
      <c r="F79" s="432"/>
      <c r="G79" s="458"/>
      <c r="H79" s="836"/>
      <c r="I79" s="421"/>
      <c r="J79" s="457"/>
      <c r="K79" s="432"/>
      <c r="L79" s="458"/>
      <c r="M79" s="836"/>
      <c r="N79" s="421"/>
      <c r="O79" s="457"/>
      <c r="P79" s="432"/>
      <c r="Q79" s="458"/>
      <c r="R79" s="836"/>
      <c r="S79" s="421"/>
      <c r="T79" s="457"/>
      <c r="U79" s="432"/>
      <c r="V79" s="458"/>
      <c r="W79" s="811"/>
      <c r="X79" s="461"/>
    </row>
    <row r="80" spans="2:24" x14ac:dyDescent="0.3">
      <c r="B80" s="16" t="s">
        <v>175</v>
      </c>
      <c r="C80" s="455">
        <f>44.5*'Arable Inputs'!$D$8</f>
        <v>218.05</v>
      </c>
      <c r="D80" s="456" t="s">
        <v>116</v>
      </c>
      <c r="E80" s="457"/>
      <c r="F80" s="432"/>
      <c r="G80" s="458"/>
      <c r="H80" s="432"/>
      <c r="I80" s="432"/>
      <c r="J80" s="457"/>
      <c r="K80" s="432"/>
      <c r="L80" s="458"/>
      <c r="M80" s="432"/>
      <c r="N80" s="432"/>
      <c r="O80" s="457"/>
      <c r="P80" s="432"/>
      <c r="Q80" s="458"/>
      <c r="R80" s="432"/>
      <c r="S80" s="432"/>
      <c r="T80" s="457"/>
      <c r="U80" s="432"/>
      <c r="V80" s="458"/>
      <c r="W80" s="459"/>
      <c r="X80" s="458"/>
    </row>
    <row r="81" spans="2:24" x14ac:dyDescent="0.3">
      <c r="B81" s="16" t="s">
        <v>176</v>
      </c>
      <c r="C81" s="455">
        <f>50*'Arable Inputs'!$D$8</f>
        <v>245.00000000000003</v>
      </c>
      <c r="D81" s="456">
        <f>54.11*'Arable Inputs'!$D$8</f>
        <v>265.13900000000001</v>
      </c>
      <c r="E81" s="457"/>
      <c r="F81" s="432"/>
      <c r="G81" s="458"/>
      <c r="H81" s="432"/>
      <c r="I81" s="432"/>
      <c r="J81" s="457"/>
      <c r="K81" s="432"/>
      <c r="L81" s="458"/>
      <c r="M81" s="432"/>
      <c r="N81" s="432"/>
      <c r="O81" s="457"/>
      <c r="P81" s="432"/>
      <c r="Q81" s="458"/>
      <c r="R81" s="432"/>
      <c r="S81" s="432"/>
      <c r="T81" s="457"/>
      <c r="U81" s="432"/>
      <c r="V81" s="458"/>
      <c r="W81" s="459"/>
      <c r="X81" s="458"/>
    </row>
    <row r="82" spans="2:24" x14ac:dyDescent="0.3">
      <c r="B82" s="16" t="s">
        <v>177</v>
      </c>
      <c r="C82" s="455">
        <f>78.2*'Arable Inputs'!$D$8</f>
        <v>383.18000000000006</v>
      </c>
      <c r="D82" s="456" t="s">
        <v>116</v>
      </c>
      <c r="E82" s="457"/>
      <c r="F82" s="432"/>
      <c r="G82" s="458"/>
      <c r="H82" s="432"/>
      <c r="I82" s="432"/>
      <c r="J82" s="457"/>
      <c r="K82" s="432"/>
      <c r="L82" s="458"/>
      <c r="M82" s="432"/>
      <c r="N82" s="432"/>
      <c r="O82" s="457"/>
      <c r="P82" s="432"/>
      <c r="Q82" s="458"/>
      <c r="R82" s="432"/>
      <c r="S82" s="432"/>
      <c r="T82" s="457"/>
      <c r="U82" s="432"/>
      <c r="V82" s="458"/>
      <c r="W82" s="459"/>
      <c r="X82" s="458"/>
    </row>
    <row r="83" spans="2:24" x14ac:dyDescent="0.3">
      <c r="B83" s="16" t="s">
        <v>178</v>
      </c>
      <c r="C83" s="455">
        <f>40*'Arable Inputs'!$D$8</f>
        <v>196</v>
      </c>
      <c r="D83" s="456" t="s">
        <v>116</v>
      </c>
      <c r="E83" s="457"/>
      <c r="F83" s="432"/>
      <c r="G83" s="458"/>
      <c r="H83" s="432"/>
      <c r="I83" s="432"/>
      <c r="J83" s="457"/>
      <c r="K83" s="432"/>
      <c r="L83" s="458"/>
      <c r="M83" s="432"/>
      <c r="N83" s="432"/>
      <c r="O83" s="457"/>
      <c r="P83" s="432"/>
      <c r="Q83" s="458"/>
      <c r="R83" s="432"/>
      <c r="S83" s="432"/>
      <c r="T83" s="457"/>
      <c r="U83" s="432"/>
      <c r="V83" s="458"/>
      <c r="W83" s="459"/>
      <c r="X83" s="458"/>
    </row>
    <row r="84" spans="2:24" x14ac:dyDescent="0.3">
      <c r="B84" s="16" t="s">
        <v>179</v>
      </c>
      <c r="C84" s="465">
        <f>54.83*'Arable Inputs'!$D$8</f>
        <v>268.66700000000003</v>
      </c>
      <c r="D84" s="475" t="s">
        <v>116</v>
      </c>
      <c r="E84" s="476"/>
      <c r="F84" s="425"/>
      <c r="G84" s="477"/>
      <c r="H84" s="432"/>
      <c r="I84" s="432"/>
      <c r="J84" s="457"/>
      <c r="K84" s="425"/>
      <c r="L84" s="477"/>
      <c r="M84" s="432"/>
      <c r="N84" s="432"/>
      <c r="O84" s="457"/>
      <c r="P84" s="425"/>
      <c r="Q84" s="477"/>
      <c r="R84" s="432"/>
      <c r="S84" s="432"/>
      <c r="T84" s="457"/>
      <c r="U84" s="425"/>
      <c r="V84" s="477"/>
      <c r="W84" s="459"/>
      <c r="X84" s="458"/>
    </row>
    <row r="85" spans="2:24" x14ac:dyDescent="0.3">
      <c r="B85" s="429" t="s">
        <v>48</v>
      </c>
      <c r="C85" s="827"/>
      <c r="D85" s="827"/>
      <c r="E85" s="467"/>
      <c r="F85" s="427" t="s">
        <v>10</v>
      </c>
      <c r="G85" s="1003">
        <v>327</v>
      </c>
      <c r="H85" s="805">
        <f>SUM(H75:H84)</f>
        <v>1.2</v>
      </c>
      <c r="I85" s="469">
        <f>SUM(I75:I84)</f>
        <v>20.399999999999999</v>
      </c>
      <c r="J85" s="470"/>
      <c r="K85" s="427"/>
      <c r="L85" s="1003">
        <v>327</v>
      </c>
      <c r="M85" s="805">
        <f>SUM(M75:M84)</f>
        <v>1.2</v>
      </c>
      <c r="N85" s="469">
        <f>SUM(N75:N84)</f>
        <v>20.399999999999999</v>
      </c>
      <c r="O85" s="470"/>
      <c r="P85" s="427"/>
      <c r="Q85" s="1003">
        <v>327</v>
      </c>
      <c r="R85" s="805">
        <f>SUM(R75:R84)</f>
        <v>1.2</v>
      </c>
      <c r="S85" s="469">
        <f>SUM(S75:S84)</f>
        <v>20.399999999999999</v>
      </c>
      <c r="T85" s="470"/>
      <c r="U85" s="427"/>
      <c r="V85" s="1003">
        <v>327</v>
      </c>
      <c r="W85" s="805">
        <f>SUM(W75:W84)</f>
        <v>1.2</v>
      </c>
      <c r="X85" s="471">
        <f>SUM(X75:X84)</f>
        <v>20.399999999999999</v>
      </c>
    </row>
    <row r="89" spans="2:24" x14ac:dyDescent="0.3">
      <c r="B89" s="429" t="s">
        <v>477</v>
      </c>
      <c r="C89" s="827"/>
      <c r="D89" s="827"/>
      <c r="E89" s="827"/>
      <c r="F89" s="427"/>
      <c r="G89" s="834"/>
      <c r="H89" s="834"/>
      <c r="I89" s="469"/>
      <c r="J89" s="835"/>
      <c r="K89" s="427"/>
      <c r="L89" s="834"/>
      <c r="M89" s="834"/>
      <c r="N89" s="469"/>
      <c r="O89" s="835"/>
      <c r="P89" s="427"/>
      <c r="Q89" s="834"/>
      <c r="R89" s="834"/>
      <c r="S89" s="469"/>
      <c r="T89" s="835"/>
      <c r="U89" s="427"/>
      <c r="V89" s="834"/>
      <c r="W89" s="834"/>
      <c r="X89" s="471"/>
    </row>
    <row r="90" spans="2:24" x14ac:dyDescent="0.3">
      <c r="B90" s="429" t="s">
        <v>468</v>
      </c>
      <c r="C90" s="802"/>
      <c r="D90" s="802"/>
      <c r="E90" s="802"/>
      <c r="F90" s="428"/>
      <c r="G90" s="428"/>
      <c r="H90" s="428"/>
      <c r="I90" s="428"/>
      <c r="J90" s="428"/>
      <c r="K90" s="428"/>
      <c r="L90" s="428"/>
      <c r="M90" s="428"/>
      <c r="N90" s="428"/>
      <c r="O90" s="428"/>
      <c r="P90" s="428"/>
      <c r="Q90" s="428"/>
      <c r="R90" s="428"/>
      <c r="S90" s="428"/>
      <c r="T90" s="428"/>
      <c r="U90" s="428"/>
      <c r="V90" s="428"/>
      <c r="W90" s="428"/>
      <c r="X90" s="430"/>
    </row>
    <row r="91" spans="2:24" x14ac:dyDescent="0.3">
      <c r="B91" s="16" t="s">
        <v>204</v>
      </c>
      <c r="C91" s="455">
        <f>12.36*'Arable Inputs'!$D$8</f>
        <v>60.564</v>
      </c>
      <c r="D91" s="456">
        <f>6.69*'Arable Inputs'!$D$8</f>
        <v>32.781000000000006</v>
      </c>
      <c r="E91" s="457"/>
      <c r="F91" s="473"/>
      <c r="G91" s="474"/>
      <c r="H91" s="432"/>
      <c r="I91" s="432"/>
      <c r="J91" s="457"/>
      <c r="K91" s="473"/>
      <c r="L91" s="474"/>
      <c r="M91" s="432"/>
      <c r="N91" s="432"/>
      <c r="O91" s="457"/>
      <c r="P91" s="473"/>
      <c r="Q91" s="474"/>
      <c r="R91" s="432"/>
      <c r="S91" s="432"/>
      <c r="T91" s="457"/>
      <c r="U91" s="473"/>
      <c r="V91" s="474"/>
      <c r="W91" s="459"/>
      <c r="X91" s="458"/>
    </row>
    <row r="92" spans="2:24" x14ac:dyDescent="0.3">
      <c r="B92" s="16" t="s">
        <v>46</v>
      </c>
      <c r="C92" s="455">
        <f>(C91+3.71)*'Arable Inputs'!$D$8</f>
        <v>314.94260000000003</v>
      </c>
      <c r="D92" s="456" t="s">
        <v>116</v>
      </c>
      <c r="E92" s="457"/>
      <c r="F92" s="432"/>
      <c r="G92" s="458"/>
      <c r="H92" s="853">
        <v>0.3</v>
      </c>
      <c r="I92" s="421">
        <f>H92*$C$4</f>
        <v>5.0999999999999996</v>
      </c>
      <c r="J92" s="457"/>
      <c r="K92" s="432"/>
      <c r="L92" s="458"/>
      <c r="M92" s="853">
        <v>0.3</v>
      </c>
      <c r="N92" s="421">
        <f>M92*$C$4</f>
        <v>5.0999999999999996</v>
      </c>
      <c r="O92" s="457"/>
      <c r="P92" s="432"/>
      <c r="Q92" s="458"/>
      <c r="R92" s="853">
        <v>0.3</v>
      </c>
      <c r="S92" s="421">
        <f>R92*$C$4</f>
        <v>5.0999999999999996</v>
      </c>
      <c r="T92" s="457"/>
      <c r="U92" s="432"/>
      <c r="V92" s="458"/>
      <c r="W92" s="853">
        <v>0.3</v>
      </c>
      <c r="X92" s="461">
        <f>W92*$C$4</f>
        <v>5.0999999999999996</v>
      </c>
    </row>
    <row r="93" spans="2:24" x14ac:dyDescent="0.3">
      <c r="B93" s="16" t="s">
        <v>129</v>
      </c>
      <c r="C93" s="455">
        <f>6.1*'Arable Inputs'!$D$8</f>
        <v>29.89</v>
      </c>
      <c r="D93" s="456" t="s">
        <v>116</v>
      </c>
      <c r="E93" s="457"/>
      <c r="F93" s="432"/>
      <c r="G93" s="458"/>
      <c r="H93" s="853"/>
      <c r="I93" s="432"/>
      <c r="J93" s="457"/>
      <c r="K93" s="432"/>
      <c r="L93" s="458"/>
      <c r="M93" s="853"/>
      <c r="N93" s="432"/>
      <c r="O93" s="457"/>
      <c r="P93" s="432"/>
      <c r="Q93" s="458"/>
      <c r="R93" s="853"/>
      <c r="S93" s="432"/>
      <c r="T93" s="457"/>
      <c r="U93" s="432"/>
      <c r="V93" s="458"/>
      <c r="W93" s="860"/>
      <c r="X93" s="458"/>
    </row>
    <row r="94" spans="2:24" x14ac:dyDescent="0.3">
      <c r="B94" s="16" t="s">
        <v>47</v>
      </c>
      <c r="C94" s="455">
        <f>14.83*'Arable Inputs'!$D$8</f>
        <v>72.667000000000002</v>
      </c>
      <c r="D94" s="456">
        <f>12.09*'Arable Inputs'!$D$8</f>
        <v>59.241000000000007</v>
      </c>
      <c r="E94" s="457"/>
      <c r="F94" s="432"/>
      <c r="G94" s="458"/>
      <c r="H94" s="853"/>
      <c r="I94" s="432"/>
      <c r="J94" s="457"/>
      <c r="K94" s="432"/>
      <c r="L94" s="458"/>
      <c r="M94" s="853"/>
      <c r="N94" s="432"/>
      <c r="O94" s="457"/>
      <c r="P94" s="432"/>
      <c r="Q94" s="458"/>
      <c r="R94" s="853"/>
      <c r="S94" s="432"/>
      <c r="T94" s="457"/>
      <c r="U94" s="432"/>
      <c r="V94" s="458"/>
      <c r="W94" s="860"/>
      <c r="X94" s="458"/>
    </row>
    <row r="95" spans="2:24" x14ac:dyDescent="0.3">
      <c r="B95" s="16" t="s">
        <v>174</v>
      </c>
      <c r="C95" s="455">
        <f>49.5*'Arable Inputs'!$D$8</f>
        <v>242.55</v>
      </c>
      <c r="D95" s="456">
        <f>49.64*'Arable Inputs'!$D$8</f>
        <v>243.23600000000002</v>
      </c>
      <c r="E95" s="457"/>
      <c r="F95" s="432"/>
      <c r="G95" s="458"/>
      <c r="H95" s="853"/>
      <c r="I95" s="421"/>
      <c r="J95" s="457"/>
      <c r="K95" s="432"/>
      <c r="L95" s="458"/>
      <c r="M95" s="853"/>
      <c r="N95" s="421"/>
      <c r="O95" s="457"/>
      <c r="P95" s="432"/>
      <c r="Q95" s="458"/>
      <c r="R95" s="853"/>
      <c r="S95" s="421"/>
      <c r="T95" s="457"/>
      <c r="U95" s="432"/>
      <c r="V95" s="458"/>
      <c r="W95" s="860"/>
      <c r="X95" s="461"/>
    </row>
    <row r="96" spans="2:24" x14ac:dyDescent="0.3">
      <c r="B96" s="16" t="s">
        <v>175</v>
      </c>
      <c r="C96" s="455">
        <f>44.5*'Arable Inputs'!$D$8</f>
        <v>218.05</v>
      </c>
      <c r="D96" s="456" t="s">
        <v>116</v>
      </c>
      <c r="E96" s="457"/>
      <c r="F96" s="432"/>
      <c r="G96" s="458"/>
      <c r="H96" s="432"/>
      <c r="I96" s="432"/>
      <c r="J96" s="457"/>
      <c r="K96" s="432"/>
      <c r="L96" s="458"/>
      <c r="M96" s="432"/>
      <c r="N96" s="432"/>
      <c r="O96" s="457"/>
      <c r="P96" s="432"/>
      <c r="Q96" s="458"/>
      <c r="R96" s="432"/>
      <c r="S96" s="432"/>
      <c r="T96" s="457"/>
      <c r="U96" s="432"/>
      <c r="V96" s="458"/>
      <c r="W96" s="459"/>
      <c r="X96" s="458"/>
    </row>
    <row r="97" spans="2:24" x14ac:dyDescent="0.3">
      <c r="B97" s="16" t="s">
        <v>176</v>
      </c>
      <c r="C97" s="455">
        <f>50*'Arable Inputs'!$D$8</f>
        <v>245.00000000000003</v>
      </c>
      <c r="D97" s="456">
        <f>54.11*'Arable Inputs'!$D$8</f>
        <v>265.13900000000001</v>
      </c>
      <c r="E97" s="457"/>
      <c r="F97" s="432"/>
      <c r="G97" s="458"/>
      <c r="H97" s="432"/>
      <c r="I97" s="432"/>
      <c r="J97" s="457"/>
      <c r="K97" s="432"/>
      <c r="L97" s="458"/>
      <c r="M97" s="432"/>
      <c r="N97" s="432"/>
      <c r="O97" s="457"/>
      <c r="P97" s="432"/>
      <c r="Q97" s="458"/>
      <c r="R97" s="432"/>
      <c r="S97" s="432"/>
      <c r="T97" s="457"/>
      <c r="U97" s="432"/>
      <c r="V97" s="458"/>
      <c r="W97" s="459"/>
      <c r="X97" s="458"/>
    </row>
    <row r="98" spans="2:24" x14ac:dyDescent="0.3">
      <c r="B98" s="16" t="s">
        <v>177</v>
      </c>
      <c r="C98" s="455">
        <f>78.2*'Arable Inputs'!$D$8</f>
        <v>383.18000000000006</v>
      </c>
      <c r="D98" s="456" t="s">
        <v>116</v>
      </c>
      <c r="E98" s="457"/>
      <c r="F98" s="432"/>
      <c r="G98" s="458"/>
      <c r="H98" s="432"/>
      <c r="I98" s="432"/>
      <c r="J98" s="457"/>
      <c r="K98" s="432"/>
      <c r="L98" s="458"/>
      <c r="M98" s="432"/>
      <c r="N98" s="432"/>
      <c r="O98" s="457"/>
      <c r="P98" s="432"/>
      <c r="Q98" s="458"/>
      <c r="R98" s="432"/>
      <c r="S98" s="432"/>
      <c r="T98" s="457"/>
      <c r="U98" s="432"/>
      <c r="V98" s="458"/>
      <c r="W98" s="459"/>
      <c r="X98" s="458"/>
    </row>
    <row r="99" spans="2:24" x14ac:dyDescent="0.3">
      <c r="B99" s="16" t="s">
        <v>178</v>
      </c>
      <c r="C99" s="455">
        <f>40*'Arable Inputs'!$D$8</f>
        <v>196</v>
      </c>
      <c r="D99" s="456" t="s">
        <v>116</v>
      </c>
      <c r="E99" s="457"/>
      <c r="F99" s="432"/>
      <c r="G99" s="458"/>
      <c r="H99" s="432"/>
      <c r="I99" s="432"/>
      <c r="J99" s="457"/>
      <c r="K99" s="432"/>
      <c r="L99" s="458"/>
      <c r="M99" s="432"/>
      <c r="N99" s="432"/>
      <c r="O99" s="457"/>
      <c r="P99" s="432"/>
      <c r="Q99" s="458"/>
      <c r="R99" s="432"/>
      <c r="S99" s="432"/>
      <c r="T99" s="457"/>
      <c r="U99" s="432"/>
      <c r="V99" s="458"/>
      <c r="W99" s="459"/>
      <c r="X99" s="458"/>
    </row>
    <row r="100" spans="2:24" x14ac:dyDescent="0.3">
      <c r="B100" s="16" t="s">
        <v>179</v>
      </c>
      <c r="C100" s="465">
        <f>54.83*'Arable Inputs'!$D$8</f>
        <v>268.66700000000003</v>
      </c>
      <c r="D100" s="475" t="s">
        <v>116</v>
      </c>
      <c r="E100" s="476"/>
      <c r="F100" s="425"/>
      <c r="G100" s="477"/>
      <c r="H100" s="432"/>
      <c r="I100" s="432"/>
      <c r="J100" s="457"/>
      <c r="K100" s="425"/>
      <c r="L100" s="477"/>
      <c r="M100" s="432"/>
      <c r="N100" s="432"/>
      <c r="O100" s="457"/>
      <c r="P100" s="425"/>
      <c r="Q100" s="477"/>
      <c r="R100" s="432"/>
      <c r="S100" s="432"/>
      <c r="T100" s="457"/>
      <c r="U100" s="425"/>
      <c r="V100" s="477"/>
      <c r="W100" s="459"/>
      <c r="X100" s="458"/>
    </row>
    <row r="101" spans="2:24" x14ac:dyDescent="0.3">
      <c r="B101" s="429" t="s">
        <v>48</v>
      </c>
      <c r="C101" s="802"/>
      <c r="D101" s="802"/>
      <c r="E101" s="467"/>
      <c r="F101" s="427" t="s">
        <v>10</v>
      </c>
      <c r="G101" s="1003">
        <v>327</v>
      </c>
      <c r="H101" s="805">
        <f>SUM(H91:H100)</f>
        <v>0.3</v>
      </c>
      <c r="I101" s="469">
        <f>SUM(I91:I100)</f>
        <v>5.0999999999999996</v>
      </c>
      <c r="J101" s="470"/>
      <c r="K101" s="427"/>
      <c r="L101" s="1003">
        <v>327</v>
      </c>
      <c r="M101" s="805">
        <f>SUM(M91:M100)</f>
        <v>0.3</v>
      </c>
      <c r="N101" s="469">
        <f>SUM(N91:N100)</f>
        <v>5.0999999999999996</v>
      </c>
      <c r="O101" s="470"/>
      <c r="P101" s="427"/>
      <c r="Q101" s="1003">
        <v>327</v>
      </c>
      <c r="R101" s="805">
        <f>SUM(R91:R100)</f>
        <v>0.3</v>
      </c>
      <c r="S101" s="469">
        <f>SUM(S91:S100)</f>
        <v>5.0999999999999996</v>
      </c>
      <c r="T101" s="470"/>
      <c r="U101" s="427"/>
      <c r="V101" s="1003">
        <v>327</v>
      </c>
      <c r="W101" s="805">
        <f>SUM(W91:W100)</f>
        <v>0.3</v>
      </c>
      <c r="X101" s="471">
        <f>SUM(X91:X100)</f>
        <v>5.0999999999999996</v>
      </c>
    </row>
    <row r="103" spans="2:24" x14ac:dyDescent="0.3">
      <c r="B103" s="429" t="s">
        <v>253</v>
      </c>
      <c r="C103" s="827"/>
      <c r="D103" s="827"/>
      <c r="E103" s="827"/>
      <c r="F103" s="428"/>
      <c r="G103" s="428"/>
      <c r="H103" s="428"/>
      <c r="I103" s="428"/>
      <c r="J103" s="428"/>
      <c r="K103" s="428"/>
      <c r="L103" s="428"/>
      <c r="M103" s="428"/>
      <c r="N103" s="428"/>
      <c r="O103" s="428"/>
      <c r="P103" s="428"/>
      <c r="Q103" s="428"/>
      <c r="R103" s="428"/>
      <c r="S103" s="428"/>
      <c r="T103" s="428"/>
      <c r="U103" s="428"/>
      <c r="V103" s="428"/>
      <c r="W103" s="428"/>
      <c r="X103" s="430"/>
    </row>
    <row r="104" spans="2:24" x14ac:dyDescent="0.3">
      <c r="B104" s="16" t="s">
        <v>194</v>
      </c>
      <c r="C104" s="455">
        <f>40.25*'Arable Inputs'!$D$8</f>
        <v>197.22500000000002</v>
      </c>
      <c r="D104" s="456" t="s">
        <v>116</v>
      </c>
      <c r="E104" s="481"/>
      <c r="F104" s="432"/>
      <c r="G104" s="458"/>
      <c r="H104" s="432"/>
      <c r="I104" s="432"/>
      <c r="J104" s="457"/>
      <c r="K104" s="432"/>
      <c r="L104" s="458"/>
      <c r="M104" s="432"/>
      <c r="N104" s="432"/>
      <c r="O104" s="457">
        <v>1</v>
      </c>
      <c r="P104" s="432">
        <v>4</v>
      </c>
      <c r="Q104" s="54">
        <f>IF(P104&gt;=1,CHOOSE(O104,$C104,$D104)*P104)</f>
        <v>788.90000000000009</v>
      </c>
      <c r="R104" s="861">
        <f>0.3*4</f>
        <v>1.2</v>
      </c>
      <c r="S104" s="576">
        <f>R104*$C$4</f>
        <v>20.399999999999999</v>
      </c>
      <c r="T104" s="457">
        <v>1</v>
      </c>
      <c r="U104" s="432">
        <v>4</v>
      </c>
      <c r="V104" s="54">
        <f>IF(U104&gt;=1,CHOOSE(T104,$C104,$D104)*U104)</f>
        <v>788.90000000000009</v>
      </c>
      <c r="W104" s="861">
        <f>0.3*4</f>
        <v>1.2</v>
      </c>
      <c r="X104" s="993">
        <f>W104*$C$4</f>
        <v>20.399999999999999</v>
      </c>
    </row>
    <row r="105" spans="2:24" x14ac:dyDescent="0.3">
      <c r="B105" s="429" t="s">
        <v>202</v>
      </c>
      <c r="C105" s="827"/>
      <c r="D105" s="827"/>
      <c r="E105" s="467"/>
      <c r="F105" s="427" t="s">
        <v>10</v>
      </c>
      <c r="G105" s="468"/>
      <c r="H105" s="427"/>
      <c r="I105" s="427"/>
      <c r="J105" s="470"/>
      <c r="K105" s="427"/>
      <c r="L105" s="468"/>
      <c r="M105" s="427"/>
      <c r="N105" s="427"/>
      <c r="O105" s="470"/>
      <c r="P105" s="427"/>
      <c r="Q105" s="822">
        <f>SUM(Q104:Q104)</f>
        <v>788.90000000000009</v>
      </c>
      <c r="R105" s="429">
        <f>SUM(R104:R104)</f>
        <v>1.2</v>
      </c>
      <c r="S105" s="834">
        <f>SUM(S104:S104)</f>
        <v>20.399999999999999</v>
      </c>
      <c r="T105" s="470"/>
      <c r="U105" s="427"/>
      <c r="V105" s="822">
        <f>SUM(V104:V104)</f>
        <v>788.90000000000009</v>
      </c>
      <c r="W105" s="429">
        <f>SUM(W104:W104)</f>
        <v>1.2</v>
      </c>
      <c r="X105" s="822">
        <f>SUM(X104:X104)</f>
        <v>20.399999999999999</v>
      </c>
    </row>
    <row r="106" spans="2:24" x14ac:dyDescent="0.3">
      <c r="B106" s="503"/>
      <c r="C106" s="502"/>
      <c r="D106" s="502"/>
      <c r="E106" s="502"/>
      <c r="F106" s="503"/>
      <c r="G106" s="503"/>
      <c r="H106" s="503"/>
      <c r="I106" s="503"/>
      <c r="J106" s="833"/>
      <c r="K106" s="503"/>
      <c r="L106" s="503"/>
      <c r="M106" s="503"/>
      <c r="N106" s="503"/>
      <c r="O106" s="833"/>
      <c r="P106" s="503"/>
      <c r="Q106" s="832"/>
      <c r="R106" s="503"/>
      <c r="S106" s="655"/>
      <c r="T106" s="833"/>
      <c r="U106" s="503"/>
      <c r="V106" s="832"/>
      <c r="W106" s="503"/>
      <c r="X106" s="655"/>
    </row>
    <row r="107" spans="2:24" x14ac:dyDescent="0.3">
      <c r="B107" s="429" t="s">
        <v>33</v>
      </c>
      <c r="C107" s="827"/>
      <c r="D107" s="827"/>
      <c r="E107" s="827"/>
      <c r="F107" s="428"/>
      <c r="G107" s="428"/>
      <c r="H107" s="428"/>
      <c r="I107" s="428"/>
      <c r="J107" s="428"/>
      <c r="K107" s="428"/>
      <c r="L107" s="428"/>
      <c r="M107" s="428"/>
      <c r="N107" s="428"/>
      <c r="O107" s="428"/>
      <c r="P107" s="428"/>
      <c r="Q107" s="428"/>
      <c r="R107" s="428"/>
      <c r="S107" s="428"/>
      <c r="T107" s="428"/>
      <c r="U107" s="428"/>
      <c r="V107" s="428"/>
      <c r="W107" s="428"/>
      <c r="X107" s="430"/>
    </row>
    <row r="108" spans="2:24" x14ac:dyDescent="0.3">
      <c r="B108" s="16" t="s">
        <v>58</v>
      </c>
      <c r="C108" s="455">
        <f>12.63*'Arable Inputs'!$D$8</f>
        <v>61.887000000000008</v>
      </c>
      <c r="D108" s="494">
        <f>10.08*'Arable Inputs'!$D$8</f>
        <v>49.392000000000003</v>
      </c>
      <c r="E108" s="457">
        <v>2</v>
      </c>
      <c r="F108" s="602">
        <v>4</v>
      </c>
      <c r="G108" s="993">
        <f>IF(F108&gt;=1,CHOOSE(E108,$C108,$D108)*F108)</f>
        <v>197.56800000000001</v>
      </c>
      <c r="H108" s="862">
        <f>0.3*F108</f>
        <v>1.2</v>
      </c>
      <c r="I108" s="576">
        <f>H108*$C$4</f>
        <v>20.399999999999999</v>
      </c>
      <c r="J108" s="457">
        <v>2</v>
      </c>
      <c r="K108" s="602">
        <v>4</v>
      </c>
      <c r="L108" s="993">
        <f>IF(K108&gt;=1,CHOOSE(J108,$C108,$D108)*K108)</f>
        <v>197.56800000000001</v>
      </c>
      <c r="M108" s="862">
        <f>0.3*K108</f>
        <v>1.2</v>
      </c>
      <c r="N108" s="576">
        <f>M108*$C$4</f>
        <v>20.399999999999999</v>
      </c>
      <c r="O108" s="457"/>
      <c r="P108" s="602"/>
      <c r="Q108" s="458"/>
      <c r="R108" s="862"/>
      <c r="S108" s="421"/>
      <c r="T108" s="457"/>
      <c r="U108" s="602"/>
      <c r="V108" s="458"/>
      <c r="W108" s="862"/>
      <c r="X108" s="461"/>
    </row>
    <row r="109" spans="2:24" x14ac:dyDescent="0.3">
      <c r="B109" s="16" t="s">
        <v>57</v>
      </c>
      <c r="C109" s="455" t="s">
        <v>116</v>
      </c>
      <c r="D109" s="456">
        <f>8.16*'Arable Inputs'!$D$8</f>
        <v>39.984000000000002</v>
      </c>
      <c r="E109" s="457"/>
      <c r="F109" s="432"/>
      <c r="G109" s="432"/>
      <c r="H109" s="16"/>
      <c r="I109" s="432"/>
      <c r="J109" s="457"/>
      <c r="K109" s="432"/>
      <c r="L109" s="432"/>
      <c r="M109" s="16"/>
      <c r="N109" s="432"/>
      <c r="O109" s="457"/>
      <c r="P109" s="432"/>
      <c r="Q109" s="432"/>
      <c r="R109" s="16"/>
      <c r="S109" s="432"/>
      <c r="T109" s="457"/>
      <c r="U109" s="432"/>
      <c r="V109" s="432"/>
      <c r="W109" s="16"/>
      <c r="X109" s="458"/>
    </row>
    <row r="110" spans="2:24" x14ac:dyDescent="0.3">
      <c r="B110" s="10" t="s">
        <v>56</v>
      </c>
      <c r="C110" s="497">
        <f>(C108+4.32)*'Arable Inputs'!$D$8</f>
        <v>324.41430000000008</v>
      </c>
      <c r="D110" s="456" t="s">
        <v>116</v>
      </c>
      <c r="E110" s="457"/>
      <c r="F110" s="432"/>
      <c r="G110" s="432"/>
      <c r="H110" s="16"/>
      <c r="I110" s="432"/>
      <c r="J110" s="457"/>
      <c r="K110" s="432"/>
      <c r="L110" s="432"/>
      <c r="M110" s="16"/>
      <c r="N110" s="432"/>
      <c r="O110" s="457"/>
      <c r="P110" s="432"/>
      <c r="Q110" s="432"/>
      <c r="R110" s="16"/>
      <c r="S110" s="432"/>
      <c r="T110" s="457"/>
      <c r="U110" s="432"/>
      <c r="V110" s="432"/>
      <c r="W110" s="16"/>
      <c r="X110" s="458"/>
    </row>
    <row r="111" spans="2:24" x14ac:dyDescent="0.3">
      <c r="B111" s="16" t="s">
        <v>133</v>
      </c>
      <c r="C111" s="455">
        <f>12.36*'Arable Inputs'!$D$8</f>
        <v>60.564</v>
      </c>
      <c r="D111" s="456" t="s">
        <v>116</v>
      </c>
      <c r="E111" s="457"/>
      <c r="F111" s="491"/>
      <c r="G111" s="491"/>
      <c r="H111" s="493"/>
      <c r="I111" s="489"/>
      <c r="J111" s="492"/>
      <c r="K111" s="491"/>
      <c r="L111" s="491"/>
      <c r="M111" s="493"/>
      <c r="N111" s="491"/>
      <c r="O111" s="457"/>
      <c r="P111" s="491"/>
      <c r="Q111" s="491"/>
      <c r="R111" s="493"/>
      <c r="S111" s="489"/>
      <c r="T111" s="457"/>
      <c r="U111" s="491"/>
      <c r="V111" s="491"/>
      <c r="W111" s="493"/>
      <c r="X111" s="490"/>
    </row>
    <row r="112" spans="2:24" x14ac:dyDescent="0.3">
      <c r="B112" s="16" t="s">
        <v>134</v>
      </c>
      <c r="C112" s="455">
        <f>8.9*'Arable Inputs'!$D$8</f>
        <v>43.610000000000007</v>
      </c>
      <c r="D112" s="456">
        <f>2.89*'Arable Inputs'!$D$8</f>
        <v>14.161000000000001</v>
      </c>
      <c r="E112" s="457"/>
      <c r="F112" s="491"/>
      <c r="G112" s="491"/>
      <c r="H112" s="493"/>
      <c r="I112" s="489"/>
      <c r="J112" s="492"/>
      <c r="K112" s="491"/>
      <c r="L112" s="491"/>
      <c r="M112" s="493"/>
      <c r="N112" s="491"/>
      <c r="O112" s="457"/>
      <c r="P112" s="491"/>
      <c r="Q112" s="491"/>
      <c r="R112" s="493"/>
      <c r="S112" s="489"/>
      <c r="T112" s="457"/>
      <c r="U112" s="491"/>
      <c r="V112" s="491"/>
      <c r="W112" s="493"/>
      <c r="X112" s="490"/>
    </row>
    <row r="113" spans="2:24" x14ac:dyDescent="0.3">
      <c r="B113" s="16" t="s">
        <v>59</v>
      </c>
      <c r="C113" s="455">
        <f>25.95*'Arable Inputs'!$D$8</f>
        <v>127.155</v>
      </c>
      <c r="D113" s="456" t="s">
        <v>116</v>
      </c>
      <c r="E113" s="457"/>
      <c r="F113" s="432"/>
      <c r="G113" s="432"/>
      <c r="H113" s="16"/>
      <c r="I113" s="432"/>
      <c r="J113" s="457"/>
      <c r="K113" s="432"/>
      <c r="L113" s="432"/>
      <c r="M113" s="16"/>
      <c r="N113" s="432"/>
      <c r="O113" s="457"/>
      <c r="P113" s="432"/>
      <c r="Q113" s="432"/>
      <c r="R113" s="16"/>
      <c r="S113" s="432"/>
      <c r="T113" s="457"/>
      <c r="U113" s="432"/>
      <c r="V113" s="432"/>
      <c r="W113" s="16"/>
      <c r="X113" s="458"/>
    </row>
    <row r="114" spans="2:24" x14ac:dyDescent="0.3">
      <c r="B114" s="16" t="s">
        <v>135</v>
      </c>
      <c r="C114" s="455">
        <f>19.77*'Arable Inputs'!$D$8</f>
        <v>96.873000000000005</v>
      </c>
      <c r="D114" s="456" t="s">
        <v>116</v>
      </c>
      <c r="E114" s="457"/>
      <c r="F114" s="432"/>
      <c r="G114" s="458"/>
      <c r="H114" s="823"/>
      <c r="I114" s="421"/>
      <c r="J114" s="457"/>
      <c r="K114" s="425"/>
      <c r="L114" s="458"/>
      <c r="M114" s="823"/>
      <c r="N114" s="421"/>
      <c r="O114" s="457"/>
      <c r="P114" s="432"/>
      <c r="Q114" s="458"/>
      <c r="R114" s="823"/>
      <c r="S114" s="421"/>
      <c r="T114" s="457"/>
      <c r="U114" s="432"/>
      <c r="V114" s="458"/>
      <c r="W114" s="823"/>
      <c r="X114" s="461"/>
    </row>
    <row r="115" spans="2:24" x14ac:dyDescent="0.3">
      <c r="B115" s="429" t="s">
        <v>60</v>
      </c>
      <c r="C115" s="827"/>
      <c r="D115" s="827"/>
      <c r="E115" s="467"/>
      <c r="F115" s="427" t="s">
        <v>10</v>
      </c>
      <c r="G115" s="822">
        <f>SUM(G108:G114)</f>
        <v>197.56800000000001</v>
      </c>
      <c r="H115" s="805">
        <f>SUM(H108:H114)</f>
        <v>1.2</v>
      </c>
      <c r="I115" s="469">
        <f>SUM(I108:I114)</f>
        <v>20.399999999999999</v>
      </c>
      <c r="J115" s="470"/>
      <c r="K115" s="427"/>
      <c r="L115" s="822">
        <f>SUM(L108:L114)</f>
        <v>197.56800000000001</v>
      </c>
      <c r="M115" s="805">
        <f>SUM(M108:M114)</f>
        <v>1.2</v>
      </c>
      <c r="N115" s="834">
        <f>SUM(N108:N114)</f>
        <v>20.399999999999999</v>
      </c>
      <c r="O115" s="467"/>
      <c r="P115" s="427"/>
      <c r="Q115" s="822"/>
      <c r="R115" s="805"/>
      <c r="S115" s="469"/>
      <c r="T115" s="467"/>
      <c r="U115" s="427"/>
      <c r="V115" s="822"/>
      <c r="W115" s="805"/>
      <c r="X115" s="471"/>
    </row>
    <row r="116" spans="2:24" x14ac:dyDescent="0.3">
      <c r="B116" s="503"/>
      <c r="C116" s="502"/>
      <c r="D116" s="502"/>
      <c r="E116" s="502"/>
      <c r="F116" s="503"/>
      <c r="G116" s="832"/>
      <c r="H116" s="832"/>
      <c r="I116" s="655"/>
      <c r="J116" s="833"/>
      <c r="K116" s="503"/>
      <c r="L116" s="832"/>
      <c r="M116" s="832"/>
      <c r="N116" s="655"/>
      <c r="O116" s="502"/>
      <c r="P116" s="503"/>
      <c r="Q116" s="832"/>
      <c r="R116" s="832"/>
      <c r="S116" s="655"/>
      <c r="T116" s="502"/>
      <c r="U116" s="503"/>
      <c r="V116" s="832"/>
      <c r="W116" s="832"/>
      <c r="X116" s="655"/>
    </row>
    <row r="117" spans="2:24" x14ac:dyDescent="0.3">
      <c r="B117" s="429" t="s">
        <v>180</v>
      </c>
      <c r="C117" s="827"/>
      <c r="D117" s="827"/>
      <c r="E117" s="827"/>
      <c r="F117" s="428"/>
      <c r="G117" s="428"/>
      <c r="H117" s="428"/>
      <c r="I117" s="428"/>
      <c r="J117" s="428"/>
      <c r="K117" s="428"/>
      <c r="L117" s="428"/>
      <c r="M117" s="428"/>
      <c r="N117" s="428"/>
      <c r="O117" s="428"/>
      <c r="P117" s="428"/>
      <c r="Q117" s="428"/>
      <c r="R117" s="428"/>
      <c r="S117" s="428"/>
      <c r="T117" s="428"/>
      <c r="U117" s="428"/>
      <c r="V117" s="428"/>
      <c r="W117" s="428"/>
      <c r="X117" s="430"/>
    </row>
    <row r="118" spans="2:24" x14ac:dyDescent="0.3">
      <c r="B118" s="16" t="s">
        <v>479</v>
      </c>
      <c r="C118" s="849"/>
      <c r="D118" s="850"/>
      <c r="E118" s="457"/>
      <c r="F118" s="432"/>
      <c r="G118" s="458"/>
      <c r="H118" s="861">
        <v>2</v>
      </c>
      <c r="I118" s="421">
        <f>H118*$C$4</f>
        <v>34</v>
      </c>
      <c r="J118" s="457"/>
      <c r="K118" s="432"/>
      <c r="L118" s="458"/>
      <c r="M118" s="821"/>
      <c r="N118" s="421"/>
      <c r="O118" s="457"/>
      <c r="P118" s="432"/>
      <c r="Q118" s="458"/>
      <c r="R118" s="432"/>
      <c r="S118" s="432"/>
      <c r="T118" s="457"/>
      <c r="U118" s="432"/>
      <c r="V118" s="458"/>
      <c r="W118" s="432"/>
      <c r="X118" s="458"/>
    </row>
    <row r="119" spans="2:24" x14ac:dyDescent="0.3">
      <c r="B119" s="16" t="s">
        <v>464</v>
      </c>
      <c r="C119" s="849"/>
      <c r="D119" s="851"/>
      <c r="E119" s="457"/>
      <c r="F119" s="432"/>
      <c r="G119" s="458"/>
      <c r="H119" s="810"/>
      <c r="I119" s="421"/>
      <c r="J119" s="457"/>
      <c r="K119" s="432"/>
      <c r="L119" s="458"/>
      <c r="M119" s="861">
        <v>2</v>
      </c>
      <c r="N119" s="421">
        <f>M119*$C$4</f>
        <v>34</v>
      </c>
      <c r="O119" s="457"/>
      <c r="P119" s="432"/>
      <c r="Q119" s="458"/>
      <c r="R119" s="432"/>
      <c r="S119" s="432"/>
      <c r="T119" s="457"/>
      <c r="U119" s="432"/>
      <c r="V119" s="458"/>
      <c r="W119" s="810"/>
      <c r="X119" s="461"/>
    </row>
    <row r="120" spans="2:24" x14ac:dyDescent="0.3">
      <c r="B120" s="16" t="s">
        <v>180</v>
      </c>
      <c r="C120" s="849"/>
      <c r="D120" s="851"/>
      <c r="E120" s="457"/>
      <c r="F120" s="432"/>
      <c r="G120" s="458"/>
      <c r="H120" s="821"/>
      <c r="I120" s="421"/>
      <c r="J120" s="457"/>
      <c r="K120" s="16"/>
      <c r="L120" s="458"/>
      <c r="M120" s="821"/>
      <c r="N120" s="421"/>
      <c r="O120" s="457"/>
      <c r="P120" s="16"/>
      <c r="Q120" s="458"/>
      <c r="R120" s="861">
        <v>2</v>
      </c>
      <c r="S120" s="421">
        <f>R120*$C$4</f>
        <v>34</v>
      </c>
      <c r="T120" s="457"/>
      <c r="U120" s="432"/>
      <c r="V120" s="458"/>
      <c r="W120" s="432"/>
      <c r="X120" s="458"/>
    </row>
    <row r="121" spans="2:24" x14ac:dyDescent="0.3">
      <c r="B121" s="16" t="s">
        <v>480</v>
      </c>
      <c r="C121" s="852"/>
      <c r="D121" s="485"/>
      <c r="E121" s="457"/>
      <c r="F121" s="432"/>
      <c r="G121" s="458"/>
      <c r="H121" s="821"/>
      <c r="I121" s="421"/>
      <c r="J121" s="457"/>
      <c r="K121" s="425"/>
      <c r="L121" s="458"/>
      <c r="M121" s="821"/>
      <c r="N121" s="421"/>
      <c r="O121" s="457"/>
      <c r="P121" s="425"/>
      <c r="Q121" s="458"/>
      <c r="R121" s="821"/>
      <c r="S121" s="421"/>
      <c r="T121" s="457"/>
      <c r="U121" s="432"/>
      <c r="V121" s="458"/>
      <c r="W121" s="861">
        <v>2</v>
      </c>
      <c r="X121" s="824">
        <f>W121*$C$4</f>
        <v>34</v>
      </c>
    </row>
    <row r="122" spans="2:24" x14ac:dyDescent="0.3">
      <c r="B122" s="429" t="s">
        <v>181</v>
      </c>
      <c r="C122" s="827"/>
      <c r="D122" s="827"/>
      <c r="E122" s="467"/>
      <c r="F122" s="427" t="s">
        <v>10</v>
      </c>
      <c r="G122" s="1003">
        <v>805</v>
      </c>
      <c r="H122" s="805">
        <f>SUM(H118:H121)</f>
        <v>2</v>
      </c>
      <c r="I122" s="469">
        <f>SUM(I118:I121)</f>
        <v>34</v>
      </c>
      <c r="J122" s="470"/>
      <c r="K122" s="427"/>
      <c r="L122" s="1003">
        <v>650</v>
      </c>
      <c r="M122" s="805">
        <f>SUM(M118:M121)</f>
        <v>2</v>
      </c>
      <c r="N122" s="469">
        <f>SUM(N118:N121)</f>
        <v>34</v>
      </c>
      <c r="O122" s="470"/>
      <c r="P122" s="848">
        <f>100*'Arable Inputs'!D8</f>
        <v>490.00000000000006</v>
      </c>
      <c r="Q122" s="468">
        <f>SUM(Q118:Q120)</f>
        <v>0</v>
      </c>
      <c r="R122" s="805">
        <f>SUM(R118:R121)</f>
        <v>2</v>
      </c>
      <c r="S122" s="469">
        <f>SUM(S118:S121)</f>
        <v>34</v>
      </c>
      <c r="T122" s="470"/>
      <c r="U122" s="427"/>
      <c r="V122" s="838">
        <f>175*'Arable Inputs'!D8</f>
        <v>857.50000000000011</v>
      </c>
      <c r="W122" s="429">
        <f>SUM(W118:W121)</f>
        <v>2</v>
      </c>
      <c r="X122" s="471">
        <f>SUM(X118:X121)</f>
        <v>34</v>
      </c>
    </row>
    <row r="123" spans="2:24" x14ac:dyDescent="0.3">
      <c r="B123" s="845"/>
      <c r="C123" s="826"/>
      <c r="D123" s="826"/>
      <c r="E123" s="502"/>
      <c r="F123" s="503"/>
      <c r="G123" s="503"/>
      <c r="H123" s="503"/>
      <c r="I123" s="503"/>
      <c r="J123" s="503"/>
      <c r="K123" s="503"/>
      <c r="L123" s="503"/>
      <c r="M123" s="503"/>
      <c r="N123" s="503"/>
      <c r="O123" s="503"/>
      <c r="P123" s="503"/>
      <c r="Q123" s="503"/>
      <c r="R123" s="503"/>
      <c r="S123" s="503"/>
      <c r="T123" s="503"/>
      <c r="U123" s="503"/>
      <c r="V123" s="503"/>
      <c r="W123" s="503"/>
      <c r="X123" s="503"/>
    </row>
    <row r="124" spans="2:24" x14ac:dyDescent="0.3">
      <c r="B124" s="503"/>
      <c r="C124" s="502"/>
      <c r="D124" s="502"/>
      <c r="E124" s="502"/>
      <c r="F124" s="503"/>
      <c r="G124" s="832"/>
      <c r="H124" s="832"/>
      <c r="I124" s="655"/>
      <c r="J124" s="833"/>
      <c r="K124" s="503"/>
      <c r="L124" s="832"/>
      <c r="M124" s="832"/>
      <c r="N124" s="655"/>
      <c r="O124" s="502"/>
      <c r="P124" s="503"/>
      <c r="Q124" s="832"/>
      <c r="R124" s="832"/>
      <c r="S124" s="655"/>
      <c r="T124" s="502"/>
      <c r="U124" s="503"/>
      <c r="V124" s="832"/>
      <c r="W124" s="832"/>
      <c r="X124" s="655"/>
    </row>
    <row r="126" spans="2:24" x14ac:dyDescent="0.3">
      <c r="B126" s="74"/>
      <c r="C126" s="19"/>
      <c r="D126" s="20"/>
      <c r="E126" s="20"/>
      <c r="F126" s="510"/>
      <c r="G126" s="510"/>
      <c r="H126" s="510"/>
      <c r="I126" s="510"/>
    </row>
    <row r="127" spans="2:24" x14ac:dyDescent="0.3">
      <c r="B127" s="424"/>
      <c r="C127" s="423"/>
      <c r="D127" s="423"/>
      <c r="E127" s="423"/>
      <c r="F127" s="511" t="s">
        <v>92</v>
      </c>
      <c r="G127" s="511" t="s">
        <v>93</v>
      </c>
      <c r="H127" s="511" t="s">
        <v>94</v>
      </c>
      <c r="I127" s="511" t="s">
        <v>437</v>
      </c>
    </row>
    <row r="128" spans="2:24" x14ac:dyDescent="0.3">
      <c r="B128" s="76" t="s">
        <v>80</v>
      </c>
      <c r="C128" s="81" t="s">
        <v>470</v>
      </c>
      <c r="D128" s="83" t="s">
        <v>571</v>
      </c>
      <c r="E128" s="79"/>
      <c r="F128" s="803">
        <f>G36</f>
        <v>812</v>
      </c>
      <c r="G128" s="803">
        <f>L36</f>
        <v>812</v>
      </c>
      <c r="H128" s="803">
        <f>Q36</f>
        <v>812</v>
      </c>
      <c r="I128" s="803">
        <f>V36</f>
        <v>812</v>
      </c>
    </row>
    <row r="129" spans="2:9" x14ac:dyDescent="0.3">
      <c r="B129" s="9"/>
      <c r="C129" s="32" t="s">
        <v>145</v>
      </c>
      <c r="D129" s="79" t="s">
        <v>571</v>
      </c>
      <c r="E129" s="79"/>
      <c r="F129" s="803">
        <f>G85</f>
        <v>327</v>
      </c>
      <c r="G129" s="803">
        <f>L85</f>
        <v>327</v>
      </c>
      <c r="H129" s="803">
        <f>Q85</f>
        <v>327</v>
      </c>
      <c r="I129" s="803">
        <f>V85</f>
        <v>327</v>
      </c>
    </row>
    <row r="130" spans="2:9" x14ac:dyDescent="0.3">
      <c r="B130" s="10"/>
      <c r="C130" s="33" t="s">
        <v>33</v>
      </c>
      <c r="D130" s="79" t="s">
        <v>571</v>
      </c>
      <c r="E130" s="79"/>
      <c r="F130" s="803">
        <f>G72</f>
        <v>197.56800000000001</v>
      </c>
      <c r="G130" s="803">
        <f>L72</f>
        <v>197.56800000000001</v>
      </c>
      <c r="H130" s="803">
        <f>Q72</f>
        <v>98.784000000000006</v>
      </c>
      <c r="I130" s="803">
        <f>V72</f>
        <v>98.784000000000006</v>
      </c>
    </row>
    <row r="131" spans="2:9" ht="20" x14ac:dyDescent="0.3">
      <c r="B131" s="10"/>
      <c r="C131" s="33" t="s">
        <v>253</v>
      </c>
      <c r="D131" s="79" t="s">
        <v>571</v>
      </c>
      <c r="E131" s="79"/>
      <c r="F131" s="803">
        <v>0</v>
      </c>
      <c r="G131" s="803">
        <v>0</v>
      </c>
      <c r="H131" s="803">
        <f>Q62</f>
        <v>591.67500000000007</v>
      </c>
      <c r="I131" s="803">
        <f>V62</f>
        <v>591.67500000000007</v>
      </c>
    </row>
    <row r="132" spans="2:9" x14ac:dyDescent="0.3">
      <c r="B132" s="10"/>
      <c r="C132" s="33" t="s">
        <v>83</v>
      </c>
      <c r="D132" s="79" t="s">
        <v>571</v>
      </c>
      <c r="E132" s="79"/>
      <c r="F132" s="513">
        <f>G54</f>
        <v>450</v>
      </c>
      <c r="G132" s="513">
        <f>L54</f>
        <v>450</v>
      </c>
      <c r="H132" s="513">
        <f>Q54</f>
        <v>450</v>
      </c>
      <c r="I132" s="513">
        <f>V54</f>
        <v>220.50000000000003</v>
      </c>
    </row>
    <row r="133" spans="2:9" x14ac:dyDescent="0.3">
      <c r="B133" s="10"/>
      <c r="C133" s="33" t="s">
        <v>471</v>
      </c>
      <c r="D133" s="79" t="s">
        <v>571</v>
      </c>
      <c r="E133" s="79"/>
      <c r="F133" s="513">
        <f>G58</f>
        <v>50</v>
      </c>
      <c r="G133" s="513">
        <f>L58</f>
        <v>20</v>
      </c>
      <c r="H133" s="513">
        <f>Q58</f>
        <v>20</v>
      </c>
      <c r="I133" s="513">
        <f>V58</f>
        <v>20</v>
      </c>
    </row>
    <row r="134" spans="2:9" x14ac:dyDescent="0.3">
      <c r="B134" s="429" t="s">
        <v>476</v>
      </c>
      <c r="C134" s="840"/>
      <c r="D134" s="841" t="s">
        <v>571</v>
      </c>
      <c r="E134" s="179"/>
      <c r="F134" s="842">
        <f>SUM(F128:F133)</f>
        <v>1836.568</v>
      </c>
      <c r="G134" s="842">
        <f>SUM(G128:G133)</f>
        <v>1806.568</v>
      </c>
      <c r="H134" s="842">
        <f>SUM(H128:H133)</f>
        <v>2299.4590000000003</v>
      </c>
      <c r="I134" s="842">
        <f>SUM(I128:I133)</f>
        <v>2069.9590000000003</v>
      </c>
    </row>
    <row r="135" spans="2:9" ht="15.5" x14ac:dyDescent="0.35">
      <c r="B135" s="514"/>
      <c r="C135" s="514"/>
      <c r="D135" s="514"/>
      <c r="E135" s="514"/>
      <c r="F135" s="854"/>
      <c r="G135" s="854"/>
      <c r="H135" s="854"/>
      <c r="I135" s="854"/>
    </row>
    <row r="136" spans="2:9" x14ac:dyDescent="0.3">
      <c r="B136" s="515" t="s">
        <v>481</v>
      </c>
      <c r="C136" s="516"/>
      <c r="D136" s="38" t="s">
        <v>215</v>
      </c>
      <c r="E136" s="38"/>
      <c r="F136" s="804">
        <f>H36+H54+H58+H72+H85</f>
        <v>8.85</v>
      </c>
      <c r="G136" s="804">
        <f>M36+M54+M58+M72+M85</f>
        <v>8.85</v>
      </c>
      <c r="H136" s="804">
        <f>R36+R54+R58+R62+R72+R85</f>
        <v>10.299999999999999</v>
      </c>
      <c r="I136" s="804">
        <f>W36+W54+W58+W62+W72+W85</f>
        <v>10.299999999999999</v>
      </c>
    </row>
    <row r="139" spans="2:9" x14ac:dyDescent="0.3">
      <c r="B139" s="424"/>
      <c r="C139" s="423"/>
      <c r="D139" s="423"/>
      <c r="E139" s="423"/>
      <c r="F139" s="511" t="s">
        <v>92</v>
      </c>
      <c r="G139" s="511" t="s">
        <v>93</v>
      </c>
      <c r="H139" s="511" t="s">
        <v>94</v>
      </c>
      <c r="I139" s="511" t="s">
        <v>437</v>
      </c>
    </row>
    <row r="140" spans="2:9" ht="20" x14ac:dyDescent="0.3">
      <c r="B140" s="76" t="s">
        <v>86</v>
      </c>
      <c r="C140" s="81" t="s">
        <v>474</v>
      </c>
      <c r="D140" s="83" t="s">
        <v>571</v>
      </c>
      <c r="E140" s="79"/>
      <c r="F140" s="803">
        <v>0</v>
      </c>
      <c r="G140" s="803">
        <v>0</v>
      </c>
      <c r="H140" s="803">
        <f>Q105</f>
        <v>788.90000000000009</v>
      </c>
      <c r="I140" s="803">
        <f>V105</f>
        <v>788.90000000000009</v>
      </c>
    </row>
    <row r="141" spans="2:9" x14ac:dyDescent="0.3">
      <c r="B141" s="9"/>
      <c r="C141" s="32" t="s">
        <v>31</v>
      </c>
      <c r="D141" s="79" t="s">
        <v>571</v>
      </c>
      <c r="E141" s="79"/>
      <c r="F141" s="803">
        <f>G101</f>
        <v>327</v>
      </c>
      <c r="G141" s="803">
        <f>L101</f>
        <v>327</v>
      </c>
      <c r="H141" s="803">
        <f>Q101</f>
        <v>327</v>
      </c>
      <c r="I141" s="803">
        <f>V101</f>
        <v>327</v>
      </c>
    </row>
    <row r="142" spans="2:9" x14ac:dyDescent="0.3">
      <c r="B142" s="10"/>
      <c r="C142" s="33" t="s">
        <v>33</v>
      </c>
      <c r="D142" s="79" t="s">
        <v>571</v>
      </c>
      <c r="E142" s="79"/>
      <c r="F142" s="803">
        <f>G115</f>
        <v>197.56800000000001</v>
      </c>
      <c r="G142" s="803">
        <f>L115</f>
        <v>197.56800000000001</v>
      </c>
      <c r="H142" s="803">
        <v>0</v>
      </c>
      <c r="I142" s="803">
        <f>V52</f>
        <v>0</v>
      </c>
    </row>
    <row r="143" spans="2:9" x14ac:dyDescent="0.3">
      <c r="B143" s="10"/>
      <c r="C143" s="33" t="s">
        <v>180</v>
      </c>
      <c r="D143" s="79" t="s">
        <v>571</v>
      </c>
      <c r="E143" s="79"/>
      <c r="F143" s="803">
        <f>G122</f>
        <v>805</v>
      </c>
      <c r="G143" s="803">
        <f>L122</f>
        <v>650</v>
      </c>
      <c r="H143" s="803">
        <f>P122</f>
        <v>490.00000000000006</v>
      </c>
      <c r="I143" s="803">
        <f>V122</f>
        <v>857.50000000000011</v>
      </c>
    </row>
    <row r="144" spans="2:9" x14ac:dyDescent="0.3">
      <c r="B144" s="429" t="s">
        <v>482</v>
      </c>
      <c r="C144" s="840"/>
      <c r="D144" s="841" t="s">
        <v>571</v>
      </c>
      <c r="E144" s="179"/>
      <c r="F144" s="842">
        <f>SUM(F140:F143)</f>
        <v>1329.568</v>
      </c>
      <c r="G144" s="842">
        <f>SUM(G140:G143)</f>
        <v>1174.568</v>
      </c>
      <c r="H144" s="842">
        <f>SUM(H140:H143)</f>
        <v>1605.9</v>
      </c>
      <c r="I144" s="842">
        <f>SUM(I140:I143)</f>
        <v>1973.4</v>
      </c>
    </row>
    <row r="145" spans="2:9" ht="15.5" x14ac:dyDescent="0.35">
      <c r="B145" s="514"/>
      <c r="C145" s="514"/>
      <c r="D145" s="514"/>
      <c r="E145" s="514"/>
      <c r="F145" s="514"/>
      <c r="G145" s="514"/>
      <c r="H145" s="514"/>
      <c r="I145" s="514"/>
    </row>
    <row r="146" spans="2:9" x14ac:dyDescent="0.3">
      <c r="B146" s="515" t="s">
        <v>483</v>
      </c>
      <c r="C146" s="516"/>
      <c r="D146" s="38" t="s">
        <v>215</v>
      </c>
      <c r="E146" s="38"/>
      <c r="F146" s="804">
        <f>H101+H115+H122</f>
        <v>3.5</v>
      </c>
      <c r="G146" s="804">
        <f>M101+M115+M122</f>
        <v>3.5</v>
      </c>
      <c r="H146" s="804">
        <f>R101+R105+R115+R122</f>
        <v>3.5</v>
      </c>
      <c r="I146" s="804">
        <f>W101+W105+W115+W122</f>
        <v>3.5</v>
      </c>
    </row>
  </sheetData>
  <mergeCells count="32">
    <mergeCell ref="F11:G11"/>
    <mergeCell ref="H11:I11"/>
    <mergeCell ref="K11:L11"/>
    <mergeCell ref="M11:N11"/>
    <mergeCell ref="P11:Q11"/>
    <mergeCell ref="R11:S11"/>
    <mergeCell ref="U11:V11"/>
    <mergeCell ref="W11:X11"/>
    <mergeCell ref="P10:Q10"/>
    <mergeCell ref="R10:S10"/>
    <mergeCell ref="U10:V10"/>
    <mergeCell ref="W10:X10"/>
    <mergeCell ref="F10:G10"/>
    <mergeCell ref="H10:I10"/>
    <mergeCell ref="K10:L10"/>
    <mergeCell ref="M10:N10"/>
    <mergeCell ref="P9:Q9"/>
    <mergeCell ref="P8:Q8"/>
    <mergeCell ref="R8:S8"/>
    <mergeCell ref="U8:V8"/>
    <mergeCell ref="W8:X8"/>
    <mergeCell ref="F9:G9"/>
    <mergeCell ref="H9:I9"/>
    <mergeCell ref="K9:L9"/>
    <mergeCell ref="M9:N9"/>
    <mergeCell ref="F8:G8"/>
    <mergeCell ref="H8:I8"/>
    <mergeCell ref="K8:L8"/>
    <mergeCell ref="M8:N8"/>
    <mergeCell ref="R9:S9"/>
    <mergeCell ref="U9:V9"/>
    <mergeCell ref="W9:X9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5"/>
  <sheetViews>
    <sheetView topLeftCell="A23" workbookViewId="0">
      <selection activeCell="E24" sqref="E24"/>
    </sheetView>
  </sheetViews>
  <sheetFormatPr defaultColWidth="9" defaultRowHeight="14" x14ac:dyDescent="0.3"/>
  <cols>
    <col min="1" max="1" width="14.5" customWidth="1"/>
    <col min="2" max="2" width="31.83203125" customWidth="1"/>
    <col min="3" max="3" width="24.33203125" customWidth="1"/>
  </cols>
  <sheetData>
    <row r="1" spans="1:32" ht="14.5" thickBot="1" x14ac:dyDescent="0.35"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366"/>
      <c r="Y1" s="366"/>
      <c r="Z1" s="366"/>
      <c r="AA1" s="366"/>
      <c r="AB1" s="366"/>
      <c r="AC1" s="366"/>
      <c r="AD1" s="366"/>
      <c r="AE1" s="366"/>
      <c r="AF1" s="366"/>
    </row>
    <row r="2" spans="1:32" ht="14.5" thickBot="1" x14ac:dyDescent="0.35">
      <c r="B2" s="418" t="s">
        <v>581</v>
      </c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66"/>
      <c r="AD2" s="366"/>
      <c r="AE2" s="366"/>
      <c r="AF2" s="366"/>
    </row>
    <row r="3" spans="1:32" x14ac:dyDescent="0.3">
      <c r="B3" s="419"/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66"/>
      <c r="AD3" s="366"/>
      <c r="AE3" s="366"/>
      <c r="AF3" s="366"/>
    </row>
    <row r="4" spans="1:32" x14ac:dyDescent="0.3">
      <c r="B4" s="419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  <c r="AA4" s="366"/>
      <c r="AB4" s="366"/>
      <c r="AC4" s="366"/>
      <c r="AD4" s="366"/>
      <c r="AE4" s="366"/>
      <c r="AF4" s="366"/>
    </row>
    <row r="5" spans="1:32" x14ac:dyDescent="0.3">
      <c r="B5" s="366"/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366"/>
      <c r="V5" s="366"/>
      <c r="W5" s="366"/>
      <c r="X5" s="366"/>
      <c r="Y5" s="366"/>
      <c r="Z5" s="366"/>
      <c r="AA5" s="366"/>
      <c r="AB5" s="366"/>
      <c r="AC5" s="366"/>
      <c r="AD5" s="366"/>
      <c r="AE5" s="366"/>
      <c r="AF5" s="366"/>
    </row>
    <row r="6" spans="1:32" x14ac:dyDescent="0.3">
      <c r="B6" s="366"/>
      <c r="C6" s="366"/>
      <c r="D6" s="366"/>
      <c r="E6" s="586" t="s">
        <v>92</v>
      </c>
      <c r="F6" s="38"/>
      <c r="G6" s="38"/>
      <c r="H6" s="38"/>
      <c r="I6" s="38"/>
      <c r="J6" s="38"/>
      <c r="K6" s="38"/>
      <c r="L6" s="587" t="s">
        <v>93</v>
      </c>
      <c r="M6" s="18"/>
      <c r="N6" s="18"/>
      <c r="O6" s="18"/>
      <c r="P6" s="18"/>
      <c r="Q6" s="18"/>
      <c r="R6" s="18"/>
      <c r="S6" s="588" t="s">
        <v>94</v>
      </c>
      <c r="T6" s="38"/>
      <c r="U6" s="38"/>
      <c r="V6" s="38"/>
      <c r="W6" s="38"/>
      <c r="X6" s="38"/>
      <c r="Y6" s="38"/>
      <c r="Z6" s="589" t="s">
        <v>95</v>
      </c>
      <c r="AA6" s="18"/>
      <c r="AB6" s="18"/>
      <c r="AC6" s="18"/>
      <c r="AD6" s="18"/>
      <c r="AE6" s="18"/>
      <c r="AF6" s="157"/>
    </row>
    <row r="7" spans="1:32" x14ac:dyDescent="0.3">
      <c r="A7" s="21"/>
      <c r="B7" s="423"/>
      <c r="C7" s="423"/>
      <c r="D7" s="366"/>
      <c r="E7" s="590"/>
      <c r="F7" s="1068" t="s">
        <v>71</v>
      </c>
      <c r="G7" s="1068"/>
      <c r="H7" s="1068"/>
      <c r="I7" s="1069"/>
      <c r="J7" s="423"/>
      <c r="K7" s="591"/>
      <c r="L7" s="590"/>
      <c r="M7" s="1074" t="s">
        <v>71</v>
      </c>
      <c r="N7" s="1074"/>
      <c r="O7" s="1074"/>
      <c r="P7" s="1075"/>
      <c r="Q7" s="592"/>
      <c r="R7" s="593"/>
      <c r="S7" s="590"/>
      <c r="T7" s="1068" t="s">
        <v>71</v>
      </c>
      <c r="U7" s="1068"/>
      <c r="V7" s="1068"/>
      <c r="W7" s="1069"/>
      <c r="X7" s="593"/>
      <c r="Y7" s="593"/>
      <c r="Z7" s="590"/>
      <c r="AA7" s="1067" t="s">
        <v>71</v>
      </c>
      <c r="AB7" s="1068"/>
      <c r="AC7" s="1068"/>
      <c r="AD7" s="1069"/>
      <c r="AE7" s="592"/>
      <c r="AF7" s="594"/>
    </row>
    <row r="8" spans="1:32" ht="25.5" customHeight="1" x14ac:dyDescent="0.3">
      <c r="B8" s="432"/>
      <c r="C8" s="432"/>
      <c r="D8" s="423"/>
      <c r="E8" s="488"/>
      <c r="F8" s="1072" t="s">
        <v>72</v>
      </c>
      <c r="G8" s="1058" t="s">
        <v>261</v>
      </c>
      <c r="H8" s="1072" t="s">
        <v>262</v>
      </c>
      <c r="I8" s="1072" t="s">
        <v>73</v>
      </c>
      <c r="J8" s="1060" t="s">
        <v>263</v>
      </c>
      <c r="K8" s="1064" t="s">
        <v>74</v>
      </c>
      <c r="L8" s="595"/>
      <c r="M8" s="1070" t="s">
        <v>72</v>
      </c>
      <c r="N8" s="1058" t="s">
        <v>261</v>
      </c>
      <c r="O8" s="1058" t="s">
        <v>262</v>
      </c>
      <c r="P8" s="1070" t="s">
        <v>73</v>
      </c>
      <c r="Q8" s="1060" t="s">
        <v>263</v>
      </c>
      <c r="R8" s="1064" t="s">
        <v>74</v>
      </c>
      <c r="S8" s="596"/>
      <c r="T8" s="1058" t="s">
        <v>72</v>
      </c>
      <c r="U8" s="1058" t="s">
        <v>261</v>
      </c>
      <c r="V8" s="1058" t="s">
        <v>262</v>
      </c>
      <c r="W8" s="1058" t="s">
        <v>73</v>
      </c>
      <c r="X8" s="1060" t="s">
        <v>263</v>
      </c>
      <c r="Y8" s="1064" t="s">
        <v>74</v>
      </c>
      <c r="Z8" s="596"/>
      <c r="AA8" s="1066" t="s">
        <v>72</v>
      </c>
      <c r="AB8" s="1058" t="s">
        <v>261</v>
      </c>
      <c r="AC8" s="1066" t="s">
        <v>262</v>
      </c>
      <c r="AD8" s="1066" t="s">
        <v>73</v>
      </c>
      <c r="AE8" s="1060" t="s">
        <v>263</v>
      </c>
      <c r="AF8" s="1062" t="s">
        <v>74</v>
      </c>
    </row>
    <row r="9" spans="1:32" ht="25.5" customHeight="1" x14ac:dyDescent="0.3">
      <c r="B9" s="423"/>
      <c r="C9" s="423"/>
      <c r="D9" s="423"/>
      <c r="E9" s="488"/>
      <c r="F9" s="1072"/>
      <c r="G9" s="1059"/>
      <c r="H9" s="1072"/>
      <c r="I9" s="1072"/>
      <c r="J9" s="1061"/>
      <c r="K9" s="1073"/>
      <c r="L9" s="595"/>
      <c r="M9" s="1071"/>
      <c r="N9" s="1059"/>
      <c r="O9" s="1059"/>
      <c r="P9" s="1071"/>
      <c r="Q9" s="1061"/>
      <c r="R9" s="1073"/>
      <c r="S9" s="597"/>
      <c r="T9" s="1059"/>
      <c r="U9" s="1059"/>
      <c r="V9" s="1059"/>
      <c r="W9" s="1059"/>
      <c r="X9" s="1061"/>
      <c r="Y9" s="1065"/>
      <c r="Z9" s="597"/>
      <c r="AA9" s="1066"/>
      <c r="AB9" s="1059"/>
      <c r="AC9" s="1066"/>
      <c r="AD9" s="1066"/>
      <c r="AE9" s="1061"/>
      <c r="AF9" s="1063"/>
    </row>
    <row r="10" spans="1:32" x14ac:dyDescent="0.3">
      <c r="B10" s="91" t="s">
        <v>1</v>
      </c>
      <c r="C10" s="93" t="s">
        <v>75</v>
      </c>
      <c r="D10" s="159" t="s">
        <v>89</v>
      </c>
      <c r="E10" s="598"/>
      <c r="F10" s="155">
        <f>'Energy Inputs'!D17</f>
        <v>4</v>
      </c>
      <c r="G10" s="155">
        <f>'Energy Inputs'!D16</f>
        <v>16</v>
      </c>
      <c r="H10" s="155">
        <f>'Energy Inputs'!D18</f>
        <v>3</v>
      </c>
      <c r="I10" s="92">
        <f>IF(F10="",0,INT(1+((G10-F10)/H10)))</f>
        <v>5</v>
      </c>
      <c r="J10" s="966">
        <f>SUM('Energy NPV'!D13:D28)</f>
        <v>125</v>
      </c>
      <c r="K10" s="176">
        <f>J10/'Energy Inputs'!D16</f>
        <v>7.8125</v>
      </c>
      <c r="L10" s="598"/>
      <c r="M10" s="155">
        <f>'Energy Inputs'!E17</f>
        <v>1</v>
      </c>
      <c r="N10" s="155">
        <f>'Energy Inputs'!E16</f>
        <v>16</v>
      </c>
      <c r="O10" s="155">
        <f>'Energy Inputs'!E18</f>
        <v>1</v>
      </c>
      <c r="P10" s="92">
        <f>IF(M10="",0,INT(1+((N10-M10)/O10)))</f>
        <v>16</v>
      </c>
      <c r="Q10" s="966">
        <f>SUM('Energy NPV'!D39:D54)</f>
        <v>178.64499999999992</v>
      </c>
      <c r="R10" s="176">
        <f>Q10/'Energy Inputs'!E16</f>
        <v>11.165312499999995</v>
      </c>
      <c r="S10" s="599"/>
      <c r="T10" s="155">
        <f>'Energy Inputs'!F17</f>
        <v>1</v>
      </c>
      <c r="U10" s="155">
        <f>'Energy Inputs'!F16</f>
        <v>16</v>
      </c>
      <c r="V10" s="155">
        <f>'Energy Inputs'!F18</f>
        <v>1</v>
      </c>
      <c r="W10" s="92">
        <f>IF(T10="",0,INT(1+((U10-T10)/V10)))</f>
        <v>16</v>
      </c>
      <c r="X10" s="966">
        <f>SUM('Energy NPV'!D65:D80)</f>
        <v>172.26433333333333</v>
      </c>
      <c r="Y10" s="176">
        <f>X10/'Energy Inputs'!F16</f>
        <v>10.766520833333333</v>
      </c>
      <c r="Z10" s="600"/>
      <c r="AA10" s="155">
        <f>'Energy Inputs'!G17</f>
        <v>2</v>
      </c>
      <c r="AB10" s="155">
        <f>'Energy Inputs'!G16</f>
        <v>16</v>
      </c>
      <c r="AC10" s="155">
        <f>'Energy Inputs'!G18</f>
        <v>1</v>
      </c>
      <c r="AD10" s="92">
        <f>IF(AA10="",0,INT(1+((AB10-AA10)/AC10)))</f>
        <v>15</v>
      </c>
      <c r="AE10" s="967">
        <f>SUM('Energy NPV'!D91:D106)</f>
        <v>235.96666666666673</v>
      </c>
      <c r="AF10" s="156">
        <f>AE10/'Energy Inputs'!G16</f>
        <v>14.74791666666667</v>
      </c>
    </row>
    <row r="11" spans="1:32" x14ac:dyDescent="0.3">
      <c r="B11" s="96"/>
      <c r="C11" s="27"/>
      <c r="D11" s="27"/>
      <c r="E11" s="601"/>
      <c r="F11" s="602"/>
      <c r="G11" s="602"/>
      <c r="H11" s="602"/>
      <c r="I11" s="602"/>
      <c r="J11" s="421"/>
      <c r="K11" s="603"/>
      <c r="L11" s="601"/>
      <c r="M11" s="602"/>
      <c r="N11" s="602"/>
      <c r="O11" s="602"/>
      <c r="P11" s="602"/>
      <c r="Q11" s="421"/>
      <c r="R11" s="604"/>
      <c r="S11" s="605"/>
      <c r="T11" s="602"/>
      <c r="U11" s="602"/>
      <c r="V11" s="602"/>
      <c r="W11" s="602"/>
      <c r="X11" s="421"/>
      <c r="Y11" s="604"/>
      <c r="Z11" s="576"/>
      <c r="AA11" s="602"/>
      <c r="AB11" s="602"/>
      <c r="AC11" s="602"/>
      <c r="AD11" s="602"/>
      <c r="AE11" s="421"/>
      <c r="AF11" s="604"/>
    </row>
    <row r="12" spans="1:32" x14ac:dyDescent="0.3">
      <c r="B12" s="97" t="s">
        <v>7</v>
      </c>
      <c r="C12" s="81" t="s">
        <v>76</v>
      </c>
      <c r="D12" s="160" t="s">
        <v>573</v>
      </c>
      <c r="E12" s="606">
        <f>'Energy Inputs'!$D$58</f>
        <v>269.5</v>
      </c>
      <c r="F12" s="607"/>
      <c r="G12" s="607"/>
      <c r="H12" s="607"/>
      <c r="I12" s="607"/>
      <c r="J12" s="607"/>
      <c r="K12" s="592"/>
      <c r="L12" s="608">
        <f>'Energy Inputs'!$E$58</f>
        <v>269.5</v>
      </c>
      <c r="M12" s="609"/>
      <c r="N12" s="609"/>
      <c r="O12" s="609"/>
      <c r="P12" s="609"/>
      <c r="Q12" s="607"/>
      <c r="R12" s="610"/>
      <c r="S12" s="608">
        <f>'Energy Inputs'!$F$58</f>
        <v>269.5</v>
      </c>
      <c r="T12" s="607"/>
      <c r="U12" s="592"/>
      <c r="V12" s="591"/>
      <c r="W12" s="607"/>
      <c r="X12" s="607"/>
      <c r="Y12" s="610"/>
      <c r="Z12" s="608">
        <f>'Energy Inputs'!$G$58</f>
        <v>269.5</v>
      </c>
      <c r="AA12" s="607"/>
      <c r="AB12" s="592"/>
      <c r="AC12" s="591"/>
      <c r="AD12" s="607"/>
      <c r="AE12" s="607"/>
      <c r="AF12" s="610"/>
    </row>
    <row r="13" spans="1:32" ht="15" customHeight="1" x14ac:dyDescent="0.3">
      <c r="B13" s="94"/>
      <c r="C13" s="28" t="s">
        <v>77</v>
      </c>
      <c r="D13" s="157" t="s">
        <v>573</v>
      </c>
      <c r="E13" s="611"/>
      <c r="F13" s="366"/>
      <c r="G13" s="366"/>
      <c r="H13" s="366"/>
      <c r="I13" s="366"/>
      <c r="J13" s="612"/>
      <c r="K13" s="613">
        <f>K14/K10</f>
        <v>269.5</v>
      </c>
      <c r="L13" s="614"/>
      <c r="M13" s="408"/>
      <c r="N13" s="408"/>
      <c r="O13" s="408"/>
      <c r="P13" s="408"/>
      <c r="Q13" s="612"/>
      <c r="R13" s="615">
        <f>R14/R10</f>
        <v>269.5</v>
      </c>
      <c r="S13" s="614"/>
      <c r="T13" s="463"/>
      <c r="U13" s="463"/>
      <c r="V13" s="408"/>
      <c r="W13" s="463"/>
      <c r="X13" s="612"/>
      <c r="Y13" s="615">
        <f>Y14/Y10</f>
        <v>269.5</v>
      </c>
      <c r="Z13" s="614"/>
      <c r="AA13" s="463"/>
      <c r="AB13" s="463"/>
      <c r="AC13" s="408"/>
      <c r="AD13" s="463"/>
      <c r="AE13" s="612"/>
      <c r="AF13" s="613">
        <f>AF14/AF10</f>
        <v>269.5</v>
      </c>
    </row>
    <row r="14" spans="1:32" x14ac:dyDescent="0.3">
      <c r="B14" s="94"/>
      <c r="C14" s="29"/>
      <c r="D14" s="30" t="s">
        <v>571</v>
      </c>
      <c r="E14" s="611"/>
      <c r="F14" s="366"/>
      <c r="G14" s="366"/>
      <c r="H14" s="366"/>
      <c r="I14" s="366"/>
      <c r="J14" s="616">
        <f>J10*E12</f>
        <v>33687.5</v>
      </c>
      <c r="K14" s="617">
        <f>K10*E12</f>
        <v>2105.46875</v>
      </c>
      <c r="L14" s="611"/>
      <c r="M14" s="366"/>
      <c r="N14" s="366"/>
      <c r="O14" s="366"/>
      <c r="P14" s="366"/>
      <c r="Q14" s="618">
        <f>Q10*L12</f>
        <v>48144.827499999978</v>
      </c>
      <c r="R14" s="617">
        <f>R10*L12</f>
        <v>3009.0517187499986</v>
      </c>
      <c r="S14" s="611"/>
      <c r="T14" s="366"/>
      <c r="U14" s="366"/>
      <c r="V14" s="366"/>
      <c r="W14" s="366"/>
      <c r="X14" s="618">
        <f>X10*S12</f>
        <v>46425.237833333333</v>
      </c>
      <c r="Y14" s="617">
        <f>Y10*S12</f>
        <v>2901.5773645833333</v>
      </c>
      <c r="Z14" s="611"/>
      <c r="AA14" s="366"/>
      <c r="AB14" s="366"/>
      <c r="AC14" s="366"/>
      <c r="AD14" s="366"/>
      <c r="AE14" s="616">
        <f>AE10*Z12</f>
        <v>63593.016666666685</v>
      </c>
      <c r="AF14" s="617">
        <f>AF10*Z12</f>
        <v>3974.5635416666678</v>
      </c>
    </row>
    <row r="15" spans="1:32" x14ac:dyDescent="0.3">
      <c r="B15" s="16"/>
      <c r="C15" s="81" t="s">
        <v>78</v>
      </c>
      <c r="D15" s="157" t="s">
        <v>571</v>
      </c>
      <c r="E15" s="619"/>
      <c r="F15" s="164"/>
      <c r="G15" s="164"/>
      <c r="H15" s="164"/>
      <c r="I15" s="162"/>
      <c r="J15" s="532"/>
      <c r="K15" s="659"/>
      <c r="L15" s="619"/>
      <c r="M15" s="164"/>
      <c r="N15" s="164"/>
      <c r="O15" s="164"/>
      <c r="P15" s="162"/>
      <c r="Q15" s="532"/>
      <c r="R15" s="659"/>
      <c r="S15" s="619"/>
      <c r="T15" s="164"/>
      <c r="U15" s="162"/>
      <c r="V15" s="162"/>
      <c r="W15" s="162"/>
      <c r="X15" s="532"/>
      <c r="Y15" s="659"/>
      <c r="Z15" s="619"/>
      <c r="AA15" s="164"/>
      <c r="AB15" s="162"/>
      <c r="AC15" s="162"/>
      <c r="AD15" s="162"/>
      <c r="AE15" s="532"/>
      <c r="AF15" s="659"/>
    </row>
    <row r="16" spans="1:32" x14ac:dyDescent="0.3">
      <c r="B16" s="77"/>
      <c r="C16" s="82" t="s">
        <v>591</v>
      </c>
      <c r="D16" s="34" t="s">
        <v>571</v>
      </c>
      <c r="E16" s="621">
        <f>'Energy Inputs'!$D$10</f>
        <v>471.64</v>
      </c>
      <c r="F16" s="153">
        <v>1</v>
      </c>
      <c r="G16" s="153">
        <v>16</v>
      </c>
      <c r="H16" s="153">
        <v>1</v>
      </c>
      <c r="I16" s="153">
        <f>IF(F16="",0,INT(1+((G16-F16)/H16)))</f>
        <v>16</v>
      </c>
      <c r="J16" s="534">
        <f>I16*E16</f>
        <v>7546.24</v>
      </c>
      <c r="K16" s="622">
        <f>J16/'Energy Inputs'!$D$16</f>
        <v>471.64</v>
      </c>
      <c r="L16" s="621">
        <f>'Energy Inputs'!$D$10</f>
        <v>471.64</v>
      </c>
      <c r="M16" s="153">
        <v>1</v>
      </c>
      <c r="N16" s="153">
        <v>16</v>
      </c>
      <c r="O16" s="153">
        <v>1</v>
      </c>
      <c r="P16" s="153">
        <f>IF(M16="",0,INT(1+((N16-M16)/O16)))</f>
        <v>16</v>
      </c>
      <c r="Q16" s="534">
        <f>P16*L16</f>
        <v>7546.24</v>
      </c>
      <c r="R16" s="622">
        <f>Q16/'Energy Inputs'!$E$16</f>
        <v>471.64</v>
      </c>
      <c r="S16" s="621">
        <f>'Energy Inputs'!$D$10</f>
        <v>471.64</v>
      </c>
      <c r="T16" s="153">
        <v>1</v>
      </c>
      <c r="U16" s="542">
        <v>16</v>
      </c>
      <c r="V16" s="542">
        <v>1</v>
      </c>
      <c r="W16" s="153">
        <f>IF(T16="",0,INT(1+((U16-T16)/V16)))</f>
        <v>16</v>
      </c>
      <c r="X16" s="534">
        <f>W16*S16</f>
        <v>7546.24</v>
      </c>
      <c r="Y16" s="622">
        <f>X16/'Energy Inputs'!$F$16</f>
        <v>471.64</v>
      </c>
      <c r="Z16" s="621">
        <f>'Energy Inputs'!$D$10</f>
        <v>471.64</v>
      </c>
      <c r="AA16" s="153">
        <v>1</v>
      </c>
      <c r="AB16" s="542">
        <v>16</v>
      </c>
      <c r="AC16" s="542">
        <v>1</v>
      </c>
      <c r="AD16" s="153">
        <f>IF(AA16="",0,INT(1+((AB16-AA16)/AC16)))</f>
        <v>16</v>
      </c>
      <c r="AE16" s="534">
        <f>AD16*Z16</f>
        <v>7546.24</v>
      </c>
      <c r="AF16" s="622">
        <f>AE16/'Energy Inputs'!$G$16</f>
        <v>471.64</v>
      </c>
    </row>
    <row r="17" spans="2:32" x14ac:dyDescent="0.3">
      <c r="B17" s="96" t="s">
        <v>79</v>
      </c>
      <c r="C17" s="161"/>
      <c r="D17" s="30" t="s">
        <v>573</v>
      </c>
      <c r="E17" s="623"/>
      <c r="F17" s="367"/>
      <c r="G17" s="367"/>
      <c r="H17" s="367"/>
      <c r="I17" s="367"/>
      <c r="J17" s="624"/>
      <c r="K17" s="625">
        <f>K18/K10</f>
        <v>329.86991999999998</v>
      </c>
      <c r="L17" s="623"/>
      <c r="M17" s="367"/>
      <c r="N17" s="367"/>
      <c r="O17" s="367"/>
      <c r="P17" s="367"/>
      <c r="Q17" s="624"/>
      <c r="R17" s="625">
        <f>R18/R10</f>
        <v>311.74154048532006</v>
      </c>
      <c r="S17" s="623"/>
      <c r="T17" s="367"/>
      <c r="U17" s="367"/>
      <c r="V17" s="367"/>
      <c r="W17" s="367"/>
      <c r="X17" s="624"/>
      <c r="Y17" s="625">
        <f>Y18/Y10</f>
        <v>313.30616610519104</v>
      </c>
      <c r="Z17" s="623"/>
      <c r="AA17" s="367"/>
      <c r="AB17" s="367"/>
      <c r="AC17" s="367"/>
      <c r="AD17" s="367"/>
      <c r="AE17" s="624"/>
      <c r="AF17" s="625">
        <f>AF18/AF10</f>
        <v>301.4801101850544</v>
      </c>
    </row>
    <row r="18" spans="2:32" x14ac:dyDescent="0.3">
      <c r="B18" s="626"/>
      <c r="C18" s="375"/>
      <c r="D18" s="182" t="s">
        <v>571</v>
      </c>
      <c r="E18" s="367"/>
      <c r="F18" s="367"/>
      <c r="G18" s="367"/>
      <c r="H18" s="367"/>
      <c r="I18" s="367"/>
      <c r="J18" s="627">
        <f>J14+J16</f>
        <v>41233.74</v>
      </c>
      <c r="K18" s="628">
        <f>K14+K15+K16</f>
        <v>2577.1087499999999</v>
      </c>
      <c r="L18" s="367"/>
      <c r="M18" s="367"/>
      <c r="N18" s="367"/>
      <c r="O18" s="367"/>
      <c r="P18" s="367"/>
      <c r="Q18" s="627">
        <f>Q14+Q16</f>
        <v>55691.067499999976</v>
      </c>
      <c r="R18" s="628">
        <f>R14+R15+R16</f>
        <v>3480.6917187499985</v>
      </c>
      <c r="S18" s="367"/>
      <c r="T18" s="367"/>
      <c r="U18" s="367"/>
      <c r="V18" s="367"/>
      <c r="W18" s="367"/>
      <c r="X18" s="627">
        <f>X14+X15+X16</f>
        <v>53971.477833333331</v>
      </c>
      <c r="Y18" s="628">
        <f>Y14+Y15+Y16</f>
        <v>3373.2173645833332</v>
      </c>
      <c r="Z18" s="367"/>
      <c r="AA18" s="367"/>
      <c r="AB18" s="367"/>
      <c r="AC18" s="367"/>
      <c r="AD18" s="367"/>
      <c r="AE18" s="627">
        <f>AE14+AE15+AE16</f>
        <v>71139.256666666683</v>
      </c>
      <c r="AF18" s="628">
        <f>AF14+AF15+AF16</f>
        <v>4446.2035416666677</v>
      </c>
    </row>
    <row r="19" spans="2:32" x14ac:dyDescent="0.3">
      <c r="B19" s="629"/>
      <c r="C19" s="423"/>
      <c r="D19" s="423"/>
      <c r="E19" s="630"/>
      <c r="F19" s="593"/>
      <c r="G19" s="593"/>
      <c r="H19" s="593"/>
      <c r="I19" s="593"/>
      <c r="J19" s="593"/>
      <c r="K19" s="594"/>
      <c r="L19" s="593"/>
      <c r="M19" s="593"/>
      <c r="N19" s="593"/>
      <c r="O19" s="593"/>
      <c r="P19" s="593"/>
      <c r="Q19" s="593"/>
      <c r="R19" s="594"/>
      <c r="S19" s="593"/>
      <c r="T19" s="593"/>
      <c r="U19" s="593"/>
      <c r="V19" s="593"/>
      <c r="W19" s="593"/>
      <c r="X19" s="593"/>
      <c r="Y19" s="594"/>
      <c r="Z19" s="593"/>
      <c r="AA19" s="593"/>
      <c r="AB19" s="593"/>
      <c r="AC19" s="593"/>
      <c r="AD19" s="593"/>
      <c r="AE19" s="593"/>
      <c r="AF19" s="594"/>
    </row>
    <row r="20" spans="2:32" x14ac:dyDescent="0.3">
      <c r="B20" s="163" t="s">
        <v>80</v>
      </c>
      <c r="C20" s="81" t="s">
        <v>81</v>
      </c>
      <c r="D20" s="157" t="s">
        <v>571</v>
      </c>
      <c r="E20" s="631">
        <f>'Energy Inputs'!D65</f>
        <v>3675</v>
      </c>
      <c r="F20" s="164">
        <v>1</v>
      </c>
      <c r="G20" s="164">
        <v>1</v>
      </c>
      <c r="H20" s="164">
        <v>16</v>
      </c>
      <c r="I20" s="164">
        <f>IF(F20="",0,INT(1+((G20-F20)/H20)))</f>
        <v>1</v>
      </c>
      <c r="J20" s="532">
        <f>I20*E20</f>
        <v>3675</v>
      </c>
      <c r="K20" s="632">
        <f>J20/'Energy Inputs'!$D$16</f>
        <v>229.6875</v>
      </c>
      <c r="L20" s="631">
        <f>'Energy Inputs'!E65</f>
        <v>63000</v>
      </c>
      <c r="M20" s="164">
        <v>1</v>
      </c>
      <c r="N20" s="164">
        <v>1</v>
      </c>
      <c r="O20" s="164">
        <v>16</v>
      </c>
      <c r="P20" s="164">
        <f>IF(M20="",0,INT(1+((N20-M20)/O20)))</f>
        <v>1</v>
      </c>
      <c r="Q20" s="532">
        <f>P20*L20</f>
        <v>63000</v>
      </c>
      <c r="R20" s="620">
        <f>Q20/'Energy Inputs'!$E$16</f>
        <v>3937.5</v>
      </c>
      <c r="S20" s="633">
        <f>'Energy Inputs'!F65</f>
        <v>24010.000000000004</v>
      </c>
      <c r="T20" s="164">
        <v>1</v>
      </c>
      <c r="U20" s="164">
        <v>1</v>
      </c>
      <c r="V20" s="164">
        <v>16</v>
      </c>
      <c r="W20" s="164">
        <f>IF(T20="",0,INT(1+((U20-T20)/V20)))</f>
        <v>1</v>
      </c>
      <c r="X20" s="532">
        <f>W20*S20</f>
        <v>24010.000000000004</v>
      </c>
      <c r="Y20" s="620">
        <f>X20/'Energy Inputs'!$F$16</f>
        <v>1500.6250000000002</v>
      </c>
      <c r="Z20" s="633">
        <f>'Energy Inputs'!G65</f>
        <v>7227.5</v>
      </c>
      <c r="AA20" s="164">
        <v>1</v>
      </c>
      <c r="AB20" s="164">
        <v>1</v>
      </c>
      <c r="AC20" s="164">
        <v>16</v>
      </c>
      <c r="AD20" s="164">
        <f>IF(AA20="",0,INT(1+((AB20-AA20)/AC20)))</f>
        <v>1</v>
      </c>
      <c r="AE20" s="532">
        <f>AD20*Z20</f>
        <v>7227.5</v>
      </c>
      <c r="AF20" s="620">
        <f>AE20/'Energy Inputs'!$G$16</f>
        <v>451.71875</v>
      </c>
    </row>
    <row r="21" spans="2:32" x14ac:dyDescent="0.3">
      <c r="B21" s="16"/>
      <c r="C21" s="28" t="s">
        <v>82</v>
      </c>
      <c r="D21" s="157" t="s">
        <v>573</v>
      </c>
      <c r="E21" s="623"/>
      <c r="F21" s="637"/>
      <c r="G21" s="637"/>
      <c r="H21" s="408"/>
      <c r="I21" s="637"/>
      <c r="J21" s="612"/>
      <c r="K21" s="613">
        <f>K22/K10</f>
        <v>29.4</v>
      </c>
      <c r="L21" s="623"/>
      <c r="M21" s="637"/>
      <c r="N21" s="637"/>
      <c r="O21" s="408"/>
      <c r="P21" s="637"/>
      <c r="Q21" s="612"/>
      <c r="R21" s="613">
        <f>R22/R10</f>
        <v>352.65470626102064</v>
      </c>
      <c r="S21" s="623"/>
      <c r="T21" s="637"/>
      <c r="U21" s="637"/>
      <c r="V21" s="408"/>
      <c r="W21" s="637"/>
      <c r="X21" s="612"/>
      <c r="Y21" s="613">
        <f>Y22/Y10</f>
        <v>139.37882285557276</v>
      </c>
      <c r="Z21" s="623"/>
      <c r="AA21" s="637"/>
      <c r="AB21" s="637"/>
      <c r="AC21" s="408"/>
      <c r="AD21" s="637"/>
      <c r="AE21" s="612"/>
      <c r="AF21" s="613">
        <f>AF22/AF10</f>
        <v>30.629326176013553</v>
      </c>
    </row>
    <row r="22" spans="2:32" x14ac:dyDescent="0.3">
      <c r="B22" s="638"/>
      <c r="C22" s="31"/>
      <c r="D22" s="34" t="s">
        <v>571</v>
      </c>
      <c r="E22" s="639"/>
      <c r="F22" s="640"/>
      <c r="G22" s="640"/>
      <c r="H22" s="640"/>
      <c r="I22" s="640"/>
      <c r="J22" s="616">
        <f>J20</f>
        <v>3675</v>
      </c>
      <c r="K22" s="641">
        <f>J22/'Energy Inputs'!$D$16</f>
        <v>229.6875</v>
      </c>
      <c r="L22" s="639"/>
      <c r="M22" s="640"/>
      <c r="N22" s="640"/>
      <c r="O22" s="640"/>
      <c r="P22" s="640"/>
      <c r="Q22" s="616">
        <f>Q20</f>
        <v>63000</v>
      </c>
      <c r="R22" s="641">
        <f>Q22/'Energy Inputs'!$E$16</f>
        <v>3937.5</v>
      </c>
      <c r="S22" s="639"/>
      <c r="T22" s="640"/>
      <c r="U22" s="640"/>
      <c r="V22" s="640"/>
      <c r="W22" s="640"/>
      <c r="X22" s="616">
        <f>X20</f>
        <v>24010.000000000004</v>
      </c>
      <c r="Y22" s="641">
        <f>X22/'Energy Inputs'!$F$16</f>
        <v>1500.6250000000002</v>
      </c>
      <c r="Z22" s="639"/>
      <c r="AA22" s="640"/>
      <c r="AB22" s="640"/>
      <c r="AC22" s="640"/>
      <c r="AD22" s="640"/>
      <c r="AE22" s="616">
        <f>AE20</f>
        <v>7227.5</v>
      </c>
      <c r="AF22" s="641">
        <f>AE22/'Energy Inputs'!$G$16</f>
        <v>451.71875</v>
      </c>
    </row>
    <row r="23" spans="2:32" x14ac:dyDescent="0.3">
      <c r="B23" s="638"/>
      <c r="C23" s="33" t="s">
        <v>252</v>
      </c>
      <c r="D23" s="30" t="s">
        <v>571</v>
      </c>
      <c r="E23" s="633">
        <f>'Energy Inputs'!$D$80</f>
        <v>812</v>
      </c>
      <c r="F23" s="166">
        <v>1</v>
      </c>
      <c r="G23" s="166">
        <v>1</v>
      </c>
      <c r="H23" s="166">
        <v>16</v>
      </c>
      <c r="I23" s="164">
        <f t="shared" ref="I23:I29" si="0">IF(F23="",0,INT(1+((G23-F23)/H23)))</f>
        <v>1</v>
      </c>
      <c r="J23" s="461">
        <f>I23*E23</f>
        <v>812</v>
      </c>
      <c r="K23" s="642">
        <f>J23/'Energy Inputs'!$D$16</f>
        <v>50.75</v>
      </c>
      <c r="L23" s="633">
        <f>'Energy Inputs'!$E$80</f>
        <v>812</v>
      </c>
      <c r="M23" s="166">
        <v>1</v>
      </c>
      <c r="N23" s="166">
        <v>1</v>
      </c>
      <c r="O23" s="166">
        <v>16</v>
      </c>
      <c r="P23" s="164">
        <f>IF(M23="",0,INT(1+((N23-M23)/O23)))</f>
        <v>1</v>
      </c>
      <c r="Q23" s="461">
        <f t="shared" ref="Q23:Q29" si="1">P23*L23</f>
        <v>812</v>
      </c>
      <c r="R23" s="642">
        <f>Q23/'Energy Inputs'!$E$16</f>
        <v>50.75</v>
      </c>
      <c r="S23" s="633">
        <f>'Energy Inputs'!$F80</f>
        <v>812</v>
      </c>
      <c r="T23" s="166">
        <v>1</v>
      </c>
      <c r="U23" s="166">
        <v>1</v>
      </c>
      <c r="V23" s="166">
        <v>16</v>
      </c>
      <c r="W23" s="164">
        <f>IF(T23="",0,INT(1+((U23-T23)/V23)))</f>
        <v>1</v>
      </c>
      <c r="X23" s="461">
        <f>W23*S23</f>
        <v>812</v>
      </c>
      <c r="Y23" s="642">
        <f>X23/'Energy Inputs'!$F$16</f>
        <v>50.75</v>
      </c>
      <c r="Z23" s="633">
        <f>'Energy Inputs'!$G80</f>
        <v>812</v>
      </c>
      <c r="AA23" s="166">
        <v>1</v>
      </c>
      <c r="AB23" s="166">
        <v>1</v>
      </c>
      <c r="AC23" s="166">
        <v>16</v>
      </c>
      <c r="AD23" s="164">
        <f>IF(AA23="",0,INT(1+((AB23-AA23)/AC23)))</f>
        <v>1</v>
      </c>
      <c r="AE23" s="461">
        <f>AD23*Z23</f>
        <v>812</v>
      </c>
      <c r="AF23" s="642">
        <f>AE23/'Energy Inputs'!$G$16</f>
        <v>50.75</v>
      </c>
    </row>
    <row r="24" spans="2:32" x14ac:dyDescent="0.3">
      <c r="B24" s="638"/>
      <c r="C24" s="33" t="s">
        <v>463</v>
      </c>
      <c r="D24" s="30" t="s">
        <v>571</v>
      </c>
      <c r="E24" s="636">
        <f>'Energy fixed costs'!G101</f>
        <v>327</v>
      </c>
      <c r="F24" s="166">
        <v>1</v>
      </c>
      <c r="G24" s="166">
        <v>1</v>
      </c>
      <c r="H24" s="166">
        <v>16</v>
      </c>
      <c r="I24" s="166">
        <f t="shared" si="0"/>
        <v>1</v>
      </c>
      <c r="J24" s="461">
        <f t="shared" ref="J24:J29" si="2">I24*E24</f>
        <v>327</v>
      </c>
      <c r="K24" s="642">
        <f>J24/'Energy Inputs'!$D$16</f>
        <v>20.4375</v>
      </c>
      <c r="L24" s="636">
        <f>'Energy fixed costs'!L101</f>
        <v>327</v>
      </c>
      <c r="M24" s="166">
        <v>1</v>
      </c>
      <c r="N24" s="166">
        <v>1</v>
      </c>
      <c r="O24" s="166">
        <v>16</v>
      </c>
      <c r="P24" s="166">
        <f t="shared" ref="P24:P29" si="3">IF(M24="",0,INT(1+((N24-M24)/O24)))</f>
        <v>1</v>
      </c>
      <c r="Q24" s="461">
        <f t="shared" si="1"/>
        <v>327</v>
      </c>
      <c r="R24" s="642">
        <f>Q24/'Energy Inputs'!$E$16</f>
        <v>20.4375</v>
      </c>
      <c r="S24" s="636">
        <f>'Energy fixed costs'!Q101</f>
        <v>327</v>
      </c>
      <c r="T24" s="166">
        <v>1</v>
      </c>
      <c r="U24" s="166">
        <v>1</v>
      </c>
      <c r="V24" s="166">
        <v>16</v>
      </c>
      <c r="W24" s="166">
        <f t="shared" ref="W24:W29" si="4">IF(T24="",0,INT(1+((U24-T24)/V24)))</f>
        <v>1</v>
      </c>
      <c r="X24" s="461">
        <f t="shared" ref="X24:X29" si="5">W24*S24</f>
        <v>327</v>
      </c>
      <c r="Y24" s="642">
        <f>X24/'Energy Inputs'!$F$16</f>
        <v>20.4375</v>
      </c>
      <c r="Z24" s="636">
        <f>'Energy fixed costs'!V101</f>
        <v>327</v>
      </c>
      <c r="AA24" s="166">
        <v>1</v>
      </c>
      <c r="AB24" s="166">
        <v>1</v>
      </c>
      <c r="AC24" s="166">
        <v>16</v>
      </c>
      <c r="AD24" s="166">
        <f t="shared" ref="AD24:AD29" si="6">IF(AA24="",0,INT(1+((AB24-AA24)/AC24)))</f>
        <v>1</v>
      </c>
      <c r="AE24" s="461">
        <f t="shared" ref="AE24:AE29" si="7">AD24*Z24</f>
        <v>327</v>
      </c>
      <c r="AF24" s="642">
        <f>AE24/'Energy Inputs'!$G$16</f>
        <v>20.4375</v>
      </c>
    </row>
    <row r="25" spans="2:32" x14ac:dyDescent="0.3">
      <c r="B25" s="638"/>
      <c r="C25" s="33" t="s">
        <v>33</v>
      </c>
      <c r="D25" s="30" t="s">
        <v>571</v>
      </c>
      <c r="E25" s="636">
        <f>'Energy Inputs'!$D$83</f>
        <v>980.00000000000011</v>
      </c>
      <c r="F25" s="166">
        <v>1</v>
      </c>
      <c r="G25" s="166">
        <v>1</v>
      </c>
      <c r="H25" s="166">
        <v>16</v>
      </c>
      <c r="I25" s="166">
        <f t="shared" si="0"/>
        <v>1</v>
      </c>
      <c r="J25" s="461">
        <f t="shared" si="2"/>
        <v>980.00000000000011</v>
      </c>
      <c r="K25" s="642">
        <f>J25/'Energy Inputs'!$D$16</f>
        <v>61.250000000000007</v>
      </c>
      <c r="L25" s="636">
        <f>'Energy Inputs'!$E$83</f>
        <v>588</v>
      </c>
      <c r="M25" s="166">
        <v>1</v>
      </c>
      <c r="N25" s="166">
        <v>1</v>
      </c>
      <c r="O25" s="166">
        <v>16</v>
      </c>
      <c r="P25" s="166">
        <f t="shared" si="3"/>
        <v>1</v>
      </c>
      <c r="Q25" s="461">
        <f t="shared" si="1"/>
        <v>588</v>
      </c>
      <c r="R25" s="642">
        <f>Q25/'Energy Inputs'!$E$16</f>
        <v>36.75</v>
      </c>
      <c r="S25" s="636">
        <f>'Energy Inputs'!$F83</f>
        <v>588</v>
      </c>
      <c r="T25" s="166">
        <v>1</v>
      </c>
      <c r="U25" s="166">
        <v>1</v>
      </c>
      <c r="V25" s="166">
        <v>16</v>
      </c>
      <c r="W25" s="166">
        <f t="shared" si="4"/>
        <v>1</v>
      </c>
      <c r="X25" s="461">
        <f t="shared" si="5"/>
        <v>588</v>
      </c>
      <c r="Y25" s="642">
        <f>X25/'Energy Inputs'!$F$16</f>
        <v>36.75</v>
      </c>
      <c r="Z25" s="636">
        <f>'Energy Inputs'!$G83</f>
        <v>588</v>
      </c>
      <c r="AA25" s="166">
        <v>1</v>
      </c>
      <c r="AB25" s="166">
        <v>1</v>
      </c>
      <c r="AC25" s="166">
        <v>16</v>
      </c>
      <c r="AD25" s="166">
        <f t="shared" si="6"/>
        <v>1</v>
      </c>
      <c r="AE25" s="461">
        <f t="shared" si="7"/>
        <v>588</v>
      </c>
      <c r="AF25" s="642">
        <f>AE25/'Energy Inputs'!$G$16</f>
        <v>36.75</v>
      </c>
    </row>
    <row r="26" spans="2:32" x14ac:dyDescent="0.3">
      <c r="B26" s="16"/>
      <c r="C26" s="32" t="s">
        <v>83</v>
      </c>
      <c r="D26" s="30" t="s">
        <v>571</v>
      </c>
      <c r="E26" s="636">
        <f>'Energy Inputs'!$D$85</f>
        <v>450</v>
      </c>
      <c r="F26" s="166">
        <v>1</v>
      </c>
      <c r="G26" s="166">
        <v>1</v>
      </c>
      <c r="H26" s="166">
        <v>16</v>
      </c>
      <c r="I26" s="166">
        <f t="shared" si="0"/>
        <v>1</v>
      </c>
      <c r="J26" s="461">
        <f>I26*E26</f>
        <v>450</v>
      </c>
      <c r="K26" s="642">
        <f>J26/'Energy Inputs'!$D$16</f>
        <v>28.125</v>
      </c>
      <c r="L26" s="636">
        <f>'Energy Inputs'!$E$85</f>
        <v>450</v>
      </c>
      <c r="M26" s="166">
        <v>1</v>
      </c>
      <c r="N26" s="166">
        <v>1</v>
      </c>
      <c r="O26" s="166">
        <v>16</v>
      </c>
      <c r="P26" s="166">
        <f>IF(M26="",0,INT(1+((N26-M26)/O26)))</f>
        <v>1</v>
      </c>
      <c r="Q26" s="461">
        <f t="shared" si="1"/>
        <v>450</v>
      </c>
      <c r="R26" s="642">
        <f>Q26/'Energy Inputs'!$E$16</f>
        <v>28.125</v>
      </c>
      <c r="S26" s="636">
        <f>'Energy Inputs'!$F85</f>
        <v>450</v>
      </c>
      <c r="T26" s="166">
        <v>1</v>
      </c>
      <c r="U26" s="166">
        <v>1</v>
      </c>
      <c r="V26" s="166">
        <v>16</v>
      </c>
      <c r="W26" s="166">
        <f>IF(T26="",0,INT(1+((U26-T26)/V26)))</f>
        <v>1</v>
      </c>
      <c r="X26" s="461">
        <f>W26*S26</f>
        <v>450</v>
      </c>
      <c r="Y26" s="642">
        <f>X26/'Energy Inputs'!$F$16</f>
        <v>28.125</v>
      </c>
      <c r="Z26" s="636">
        <f>'Energy Inputs'!$G85</f>
        <v>220.50000000000003</v>
      </c>
      <c r="AA26" s="166">
        <v>1</v>
      </c>
      <c r="AB26" s="166">
        <v>1</v>
      </c>
      <c r="AC26" s="166">
        <v>16</v>
      </c>
      <c r="AD26" s="166">
        <f>IF(AA26="",0,INT(1+((AB26-AA26)/AC26)))</f>
        <v>1</v>
      </c>
      <c r="AE26" s="461">
        <f>AD26*Z26</f>
        <v>220.50000000000003</v>
      </c>
      <c r="AF26" s="642">
        <f>AE26/'Energy Inputs'!$G$16</f>
        <v>13.781250000000002</v>
      </c>
    </row>
    <row r="27" spans="2:32" x14ac:dyDescent="0.3">
      <c r="B27" s="16"/>
      <c r="C27" s="32" t="s">
        <v>459</v>
      </c>
      <c r="D27" s="30" t="s">
        <v>571</v>
      </c>
      <c r="E27" s="660"/>
      <c r="F27" s="166"/>
      <c r="G27" s="166"/>
      <c r="H27" s="166"/>
      <c r="I27" s="166"/>
      <c r="J27" s="461"/>
      <c r="K27" s="657"/>
      <c r="L27" s="660"/>
      <c r="M27" s="166"/>
      <c r="N27" s="166"/>
      <c r="O27" s="166"/>
      <c r="P27" s="166"/>
      <c r="Q27" s="461"/>
      <c r="R27" s="657"/>
      <c r="S27" s="660"/>
      <c r="T27" s="166"/>
      <c r="U27" s="166"/>
      <c r="V27" s="166"/>
      <c r="W27" s="166"/>
      <c r="X27" s="461"/>
      <c r="Y27" s="657"/>
      <c r="Z27" s="660"/>
      <c r="AA27" s="166"/>
      <c r="AB27" s="166"/>
      <c r="AC27" s="166"/>
      <c r="AD27" s="166"/>
      <c r="AE27" s="461"/>
      <c r="AF27" s="657"/>
    </row>
    <row r="28" spans="2:32" x14ac:dyDescent="0.3">
      <c r="B28" s="16"/>
      <c r="C28" s="32" t="s">
        <v>456</v>
      </c>
      <c r="D28" s="30" t="s">
        <v>571</v>
      </c>
      <c r="E28" s="660"/>
      <c r="F28" s="166"/>
      <c r="G28" s="166"/>
      <c r="H28" s="166"/>
      <c r="I28" s="166"/>
      <c r="J28" s="461"/>
      <c r="K28" s="657"/>
      <c r="L28" s="660"/>
      <c r="M28" s="166"/>
      <c r="N28" s="166"/>
      <c r="O28" s="166"/>
      <c r="P28" s="166"/>
      <c r="Q28" s="461"/>
      <c r="R28" s="657"/>
      <c r="S28" s="636">
        <f>'Energy Inputs'!$F86</f>
        <v>591.67500000000007</v>
      </c>
      <c r="T28" s="166">
        <v>1</v>
      </c>
      <c r="U28" s="166">
        <v>1</v>
      </c>
      <c r="V28" s="166">
        <v>16</v>
      </c>
      <c r="W28" s="166">
        <f>IF(T28="",0,INT(1+((U28-T28)/V28)))</f>
        <v>1</v>
      </c>
      <c r="X28" s="461">
        <f>W28*S28</f>
        <v>591.67500000000007</v>
      </c>
      <c r="Y28" s="642">
        <f>X28/'Energy Inputs'!$F$16</f>
        <v>36.979687500000004</v>
      </c>
      <c r="Z28" s="636">
        <f>'Energy Inputs'!$G86</f>
        <v>591.67500000000007</v>
      </c>
      <c r="AA28" s="166">
        <v>1</v>
      </c>
      <c r="AB28" s="166">
        <v>1</v>
      </c>
      <c r="AC28" s="166">
        <v>16</v>
      </c>
      <c r="AD28" s="166">
        <f>IF(AA28="",0,INT(1+((AB28-AA28)/AC28)))</f>
        <v>1</v>
      </c>
      <c r="AE28" s="461">
        <f>AD28*Z28</f>
        <v>591.67500000000007</v>
      </c>
      <c r="AF28" s="642">
        <f>AE28/'Energy Inputs'!$G$16</f>
        <v>36.979687500000004</v>
      </c>
    </row>
    <row r="29" spans="2:32" ht="15.75" customHeight="1" x14ac:dyDescent="0.3">
      <c r="B29" s="16"/>
      <c r="C29" s="32" t="s">
        <v>84</v>
      </c>
      <c r="D29" s="23" t="s">
        <v>571</v>
      </c>
      <c r="E29" s="643">
        <f>'Energy Inputs'!D87</f>
        <v>245.00000000000003</v>
      </c>
      <c r="F29" s="166">
        <v>1</v>
      </c>
      <c r="G29" s="166">
        <v>1</v>
      </c>
      <c r="H29" s="166">
        <v>16</v>
      </c>
      <c r="I29" s="153">
        <f t="shared" si="0"/>
        <v>1</v>
      </c>
      <c r="J29" s="461">
        <f t="shared" si="2"/>
        <v>245.00000000000003</v>
      </c>
      <c r="K29" s="642">
        <f>J29/'Energy Inputs'!$D$16</f>
        <v>15.312500000000002</v>
      </c>
      <c r="L29" s="643">
        <f>'Energy Inputs'!$E$87</f>
        <v>98</v>
      </c>
      <c r="M29" s="166">
        <v>1</v>
      </c>
      <c r="N29" s="166">
        <v>1</v>
      </c>
      <c r="O29" s="166">
        <v>16</v>
      </c>
      <c r="P29" s="166">
        <f t="shared" si="3"/>
        <v>1</v>
      </c>
      <c r="Q29" s="461">
        <f t="shared" si="1"/>
        <v>98</v>
      </c>
      <c r="R29" s="642">
        <f>Q29/'Energy Inputs'!$E$16</f>
        <v>6.125</v>
      </c>
      <c r="S29" s="643">
        <f>'Energy Inputs'!$F87</f>
        <v>98</v>
      </c>
      <c r="T29" s="166">
        <v>1</v>
      </c>
      <c r="U29" s="166">
        <v>1</v>
      </c>
      <c r="V29" s="166">
        <v>16</v>
      </c>
      <c r="W29" s="166">
        <f t="shared" si="4"/>
        <v>1</v>
      </c>
      <c r="X29" s="461">
        <f t="shared" si="5"/>
        <v>98</v>
      </c>
      <c r="Y29" s="642">
        <f>X29/'Energy Inputs'!$F$16</f>
        <v>6.125</v>
      </c>
      <c r="Z29" s="643">
        <f>'Energy Inputs'!$G87</f>
        <v>98</v>
      </c>
      <c r="AA29" s="166">
        <v>1</v>
      </c>
      <c r="AB29" s="166">
        <v>1</v>
      </c>
      <c r="AC29" s="166">
        <v>16</v>
      </c>
      <c r="AD29" s="166">
        <f t="shared" si="6"/>
        <v>1</v>
      </c>
      <c r="AE29" s="461">
        <f t="shared" si="7"/>
        <v>98</v>
      </c>
      <c r="AF29" s="642">
        <f>AE29/'Energy Inputs'!$G$16</f>
        <v>6.125</v>
      </c>
    </row>
    <row r="30" spans="2:32" ht="15.75" customHeight="1" x14ac:dyDescent="0.3">
      <c r="B30" s="16"/>
      <c r="C30" s="81" t="s">
        <v>13</v>
      </c>
      <c r="D30" s="18" t="s">
        <v>575</v>
      </c>
      <c r="E30" s="777">
        <f>'Arable Inputs'!$D$34</f>
        <v>3.44</v>
      </c>
      <c r="F30" s="778"/>
      <c r="G30" s="778"/>
      <c r="H30" s="778"/>
      <c r="I30" s="778"/>
      <c r="J30" s="778"/>
      <c r="K30" s="779"/>
      <c r="L30" s="777">
        <f>'Arable Inputs'!$D$34</f>
        <v>3.44</v>
      </c>
      <c r="M30" s="778"/>
      <c r="N30" s="778"/>
      <c r="O30" s="778"/>
      <c r="P30" s="778"/>
      <c r="Q30" s="778"/>
      <c r="R30" s="779"/>
      <c r="S30" s="777">
        <f>'Arable Inputs'!$D$34</f>
        <v>3.44</v>
      </c>
      <c r="T30" s="778"/>
      <c r="U30" s="778"/>
      <c r="V30" s="778"/>
      <c r="W30" s="778"/>
      <c r="X30" s="778"/>
      <c r="Y30" s="779"/>
      <c r="Z30" s="777">
        <f>'Arable Inputs'!$D$34</f>
        <v>3.44</v>
      </c>
      <c r="AA30" s="778"/>
      <c r="AB30" s="778"/>
      <c r="AC30" s="778"/>
      <c r="AD30" s="778"/>
      <c r="AE30" s="778"/>
      <c r="AF30" s="779"/>
    </row>
    <row r="31" spans="2:32" ht="15.75" customHeight="1" x14ac:dyDescent="0.3">
      <c r="B31" s="16"/>
      <c r="C31" s="33" t="s">
        <v>14</v>
      </c>
      <c r="D31" s="30" t="s">
        <v>91</v>
      </c>
      <c r="E31" s="636">
        <f>'Energy Inputs'!D71</f>
        <v>90</v>
      </c>
      <c r="F31" s="10"/>
      <c r="G31" s="10"/>
      <c r="H31" s="10"/>
      <c r="I31" s="166"/>
      <c r="J31" s="530"/>
      <c r="K31" s="657"/>
      <c r="L31" s="636">
        <f>'Energy Inputs'!E71</f>
        <v>100</v>
      </c>
      <c r="M31" s="10"/>
      <c r="N31" s="10"/>
      <c r="O31" s="10"/>
      <c r="P31" s="166"/>
      <c r="Q31" s="530"/>
      <c r="R31" s="657"/>
      <c r="S31" s="636">
        <f>'Energy Inputs'!F71</f>
        <v>100</v>
      </c>
      <c r="T31" s="10"/>
      <c r="U31" s="10"/>
      <c r="V31" s="10"/>
      <c r="W31" s="166"/>
      <c r="X31" s="530"/>
      <c r="Y31" s="657"/>
      <c r="Z31" s="636">
        <f>'Energy Inputs'!G71</f>
        <v>100</v>
      </c>
      <c r="AA31" s="10"/>
      <c r="AB31" s="10"/>
      <c r="AC31" s="10"/>
      <c r="AD31" s="166"/>
      <c r="AE31" s="530"/>
      <c r="AF31" s="657"/>
    </row>
    <row r="32" spans="2:32" ht="15.75" customHeight="1" x14ac:dyDescent="0.3">
      <c r="B32" s="16"/>
      <c r="C32" s="180" t="s">
        <v>266</v>
      </c>
      <c r="D32" s="30" t="s">
        <v>571</v>
      </c>
      <c r="E32" s="660"/>
      <c r="F32" s="10">
        <v>1</v>
      </c>
      <c r="G32" s="10">
        <v>1</v>
      </c>
      <c r="H32" s="10">
        <v>16</v>
      </c>
      <c r="I32" s="166">
        <f>IF(F32="",0,INT(1+((G32-F32)/H32)))</f>
        <v>1</v>
      </c>
      <c r="J32" s="530">
        <f>E30*E31*I32</f>
        <v>309.60000000000002</v>
      </c>
      <c r="K32" s="657">
        <f>J32/15</f>
        <v>20.64</v>
      </c>
      <c r="L32" s="660"/>
      <c r="M32" s="10">
        <v>1</v>
      </c>
      <c r="N32" s="10">
        <v>1</v>
      </c>
      <c r="O32" s="10">
        <v>16</v>
      </c>
      <c r="P32" s="166">
        <f>IF(M32="",0,INT(1+((N32-M32)/O32)))</f>
        <v>1</v>
      </c>
      <c r="Q32" s="530">
        <f>L30*L31*P32</f>
        <v>344</v>
      </c>
      <c r="R32" s="657">
        <f>Q32/15</f>
        <v>22.933333333333334</v>
      </c>
      <c r="S32" s="660"/>
      <c r="T32" s="10">
        <v>1</v>
      </c>
      <c r="U32" s="10">
        <v>1</v>
      </c>
      <c r="V32" s="10">
        <v>16</v>
      </c>
      <c r="W32" s="166">
        <f>IF(T32="",0,INT(1+((U32-T32)/V32)))</f>
        <v>1</v>
      </c>
      <c r="X32" s="530">
        <f>S30*S31*W32</f>
        <v>344</v>
      </c>
      <c r="Y32" s="657">
        <f>X32/15</f>
        <v>22.933333333333334</v>
      </c>
      <c r="Z32" s="660"/>
      <c r="AA32" s="10">
        <v>1</v>
      </c>
      <c r="AB32" s="10">
        <v>1</v>
      </c>
      <c r="AC32" s="10">
        <v>16</v>
      </c>
      <c r="AD32" s="166">
        <f>IF(AA32="",0,INT(1+((AB32-AA32)/AC32)))</f>
        <v>1</v>
      </c>
      <c r="AE32" s="530">
        <f>Z30*Z31*AD32</f>
        <v>344</v>
      </c>
      <c r="AF32" s="657">
        <f>AE32/15</f>
        <v>22.933333333333334</v>
      </c>
    </row>
    <row r="33" spans="2:32" ht="15.75" customHeight="1" x14ac:dyDescent="0.3">
      <c r="B33" s="16"/>
      <c r="C33" s="32" t="s">
        <v>15</v>
      </c>
      <c r="D33" s="30" t="s">
        <v>575</v>
      </c>
      <c r="E33" s="662">
        <f>'Arable Inputs'!$D$35</f>
        <v>4.47</v>
      </c>
      <c r="F33" s="105"/>
      <c r="G33" s="105"/>
      <c r="H33" s="105"/>
      <c r="I33" s="105"/>
      <c r="J33" s="105"/>
      <c r="K33" s="780"/>
      <c r="L33" s="662">
        <f>'Arable Inputs'!$D$35</f>
        <v>4.47</v>
      </c>
      <c r="M33" s="105"/>
      <c r="N33" s="105"/>
      <c r="O33" s="105"/>
      <c r="P33" s="105"/>
      <c r="Q33" s="105"/>
      <c r="R33" s="780"/>
      <c r="S33" s="662">
        <f>'Arable Inputs'!$D$35</f>
        <v>4.47</v>
      </c>
      <c r="T33" s="105"/>
      <c r="U33" s="105"/>
      <c r="V33" s="105"/>
      <c r="W33" s="105"/>
      <c r="X33" s="105"/>
      <c r="Y33" s="780"/>
      <c r="Z33" s="662">
        <f>'Arable Inputs'!$D$35</f>
        <v>4.47</v>
      </c>
      <c r="AA33" s="105"/>
      <c r="AB33" s="105"/>
      <c r="AC33" s="105"/>
      <c r="AD33" s="105"/>
      <c r="AE33" s="105"/>
      <c r="AF33" s="780"/>
    </row>
    <row r="34" spans="2:32" ht="15.75" customHeight="1" x14ac:dyDescent="0.3">
      <c r="B34" s="16"/>
      <c r="C34" s="33" t="s">
        <v>16</v>
      </c>
      <c r="D34" s="30" t="s">
        <v>91</v>
      </c>
      <c r="E34" s="636">
        <f>'Energy Inputs'!D72</f>
        <v>80</v>
      </c>
      <c r="F34" s="10"/>
      <c r="G34" s="10"/>
      <c r="H34" s="10"/>
      <c r="I34" s="166"/>
      <c r="J34" s="530"/>
      <c r="K34" s="657"/>
      <c r="L34" s="636">
        <f>'Energy Inputs'!E72</f>
        <v>80</v>
      </c>
      <c r="M34" s="10"/>
      <c r="N34" s="10"/>
      <c r="O34" s="10"/>
      <c r="P34" s="166"/>
      <c r="Q34" s="530"/>
      <c r="R34" s="657"/>
      <c r="S34" s="636">
        <f>'Energy Inputs'!F72</f>
        <v>80</v>
      </c>
      <c r="T34" s="10"/>
      <c r="U34" s="10"/>
      <c r="V34" s="10"/>
      <c r="W34" s="166"/>
      <c r="X34" s="530"/>
      <c r="Y34" s="657"/>
      <c r="Z34" s="636">
        <f>'Energy Inputs'!G72</f>
        <v>80</v>
      </c>
      <c r="AA34" s="10"/>
      <c r="AB34" s="10"/>
      <c r="AC34" s="10"/>
      <c r="AD34" s="166"/>
      <c r="AE34" s="530"/>
      <c r="AF34" s="657"/>
    </row>
    <row r="35" spans="2:32" ht="15.75" customHeight="1" x14ac:dyDescent="0.3">
      <c r="B35" s="16"/>
      <c r="C35" s="180" t="s">
        <v>267</v>
      </c>
      <c r="D35" s="30" t="s">
        <v>571</v>
      </c>
      <c r="E35" s="660"/>
      <c r="F35" s="10">
        <v>1</v>
      </c>
      <c r="G35" s="10">
        <v>1</v>
      </c>
      <c r="H35" s="10">
        <v>16</v>
      </c>
      <c r="I35" s="166">
        <f>IF(F35="",0,INT(1+((G35-F35)/H35)))</f>
        <v>1</v>
      </c>
      <c r="J35" s="530">
        <f>E33*E34*I35</f>
        <v>357.59999999999997</v>
      </c>
      <c r="K35" s="657">
        <f>J35/15</f>
        <v>23.839999999999996</v>
      </c>
      <c r="L35" s="660"/>
      <c r="M35" s="10">
        <v>1</v>
      </c>
      <c r="N35" s="10">
        <v>1</v>
      </c>
      <c r="O35" s="10">
        <v>16</v>
      </c>
      <c r="P35" s="166">
        <f>IF(M35="",0,INT(1+((N35-M35)/O35)))</f>
        <v>1</v>
      </c>
      <c r="Q35" s="530">
        <f>L33*L34*P35</f>
        <v>357.59999999999997</v>
      </c>
      <c r="R35" s="657">
        <f>Q35/15</f>
        <v>23.839999999999996</v>
      </c>
      <c r="S35" s="660"/>
      <c r="T35" s="10">
        <v>1</v>
      </c>
      <c r="U35" s="10">
        <v>1</v>
      </c>
      <c r="V35" s="10">
        <v>16</v>
      </c>
      <c r="W35" s="166">
        <f>IF(T35="",0,INT(1+((U35-T35)/V35)))</f>
        <v>1</v>
      </c>
      <c r="X35" s="530">
        <f>S33*S34*W35</f>
        <v>357.59999999999997</v>
      </c>
      <c r="Y35" s="657">
        <f>X35/15</f>
        <v>23.839999999999996</v>
      </c>
      <c r="Z35" s="660"/>
      <c r="AA35" s="10">
        <v>1</v>
      </c>
      <c r="AB35" s="10">
        <v>1</v>
      </c>
      <c r="AC35" s="10">
        <v>16</v>
      </c>
      <c r="AD35" s="166">
        <f>IF(AA35="",0,INT(1+((AB35-AA35)/AC35)))</f>
        <v>1</v>
      </c>
      <c r="AE35" s="530">
        <f>Z33*Z34*AD35</f>
        <v>357.59999999999997</v>
      </c>
      <c r="AF35" s="657">
        <f>AE35/15</f>
        <v>23.839999999999996</v>
      </c>
    </row>
    <row r="36" spans="2:32" ht="15.75" customHeight="1" x14ac:dyDescent="0.3">
      <c r="B36" s="16"/>
      <c r="C36" s="32" t="s">
        <v>17</v>
      </c>
      <c r="D36" s="30" t="s">
        <v>575</v>
      </c>
      <c r="E36" s="662">
        <f>'Arable Inputs'!$D$36</f>
        <v>2.68</v>
      </c>
      <c r="F36" s="105"/>
      <c r="G36" s="105"/>
      <c r="H36" s="105"/>
      <c r="I36" s="105"/>
      <c r="J36" s="105"/>
      <c r="K36" s="780"/>
      <c r="L36" s="662">
        <f>'Arable Inputs'!$D$36</f>
        <v>2.68</v>
      </c>
      <c r="M36" s="105"/>
      <c r="N36" s="105"/>
      <c r="O36" s="105"/>
      <c r="P36" s="105"/>
      <c r="Q36" s="105"/>
      <c r="R36" s="780"/>
      <c r="S36" s="662">
        <f>'Arable Inputs'!$D$36</f>
        <v>2.68</v>
      </c>
      <c r="T36" s="105"/>
      <c r="U36" s="105"/>
      <c r="V36" s="105"/>
      <c r="W36" s="105"/>
      <c r="X36" s="105"/>
      <c r="Y36" s="780"/>
      <c r="Z36" s="662">
        <f>'Arable Inputs'!$D$36</f>
        <v>2.68</v>
      </c>
      <c r="AA36" s="105"/>
      <c r="AB36" s="105"/>
      <c r="AC36" s="105"/>
      <c r="AD36" s="105"/>
      <c r="AE36" s="105"/>
      <c r="AF36" s="780"/>
    </row>
    <row r="37" spans="2:32" ht="15.75" customHeight="1" x14ac:dyDescent="0.3">
      <c r="B37" s="16"/>
      <c r="C37" s="33" t="s">
        <v>18</v>
      </c>
      <c r="D37" s="30" t="s">
        <v>91</v>
      </c>
      <c r="E37" s="636">
        <f>'Energy Inputs'!D73</f>
        <v>120</v>
      </c>
      <c r="F37" s="10"/>
      <c r="G37" s="10"/>
      <c r="H37" s="10"/>
      <c r="I37" s="166"/>
      <c r="J37" s="530"/>
      <c r="K37" s="657"/>
      <c r="L37" s="636">
        <f>'Energy Inputs'!E73</f>
        <v>120</v>
      </c>
      <c r="M37" s="10"/>
      <c r="N37" s="10"/>
      <c r="O37" s="10"/>
      <c r="P37" s="166"/>
      <c r="Q37" s="530"/>
      <c r="R37" s="657"/>
      <c r="S37" s="636">
        <f>'Energy Inputs'!F73</f>
        <v>120</v>
      </c>
      <c r="T37" s="10"/>
      <c r="U37" s="10"/>
      <c r="V37" s="10"/>
      <c r="W37" s="166"/>
      <c r="X37" s="530"/>
      <c r="Y37" s="657"/>
      <c r="Z37" s="636">
        <f>'Energy Inputs'!G73</f>
        <v>120</v>
      </c>
      <c r="AA37" s="10"/>
      <c r="AB37" s="10"/>
      <c r="AC37" s="10"/>
      <c r="AD37" s="166"/>
      <c r="AE37" s="530"/>
      <c r="AF37" s="657"/>
    </row>
    <row r="38" spans="2:32" ht="15.75" customHeight="1" x14ac:dyDescent="0.3">
      <c r="B38" s="16"/>
      <c r="C38" s="181" t="s">
        <v>268</v>
      </c>
      <c r="D38" s="23" t="s">
        <v>571</v>
      </c>
      <c r="E38" s="781"/>
      <c r="F38" s="10">
        <v>1</v>
      </c>
      <c r="G38" s="10">
        <v>1</v>
      </c>
      <c r="H38" s="10">
        <v>16</v>
      </c>
      <c r="I38" s="166">
        <f>IF(F38="",0,INT(1+((G38-F38)/H38)))</f>
        <v>1</v>
      </c>
      <c r="J38" s="530">
        <f>E36*E37*I38</f>
        <v>321.60000000000002</v>
      </c>
      <c r="K38" s="657">
        <f>J38/15</f>
        <v>21.44</v>
      </c>
      <c r="L38" s="781"/>
      <c r="M38" s="10">
        <v>1</v>
      </c>
      <c r="N38" s="10">
        <v>1</v>
      </c>
      <c r="O38" s="10">
        <v>16</v>
      </c>
      <c r="P38" s="166">
        <f>IF(M38="",0,INT(1+((N38-M38)/O38)))</f>
        <v>1</v>
      </c>
      <c r="Q38" s="530">
        <f>L36*L37*P38</f>
        <v>321.60000000000002</v>
      </c>
      <c r="R38" s="657">
        <f>Q38/15</f>
        <v>21.44</v>
      </c>
      <c r="S38" s="781"/>
      <c r="T38" s="10">
        <v>1</v>
      </c>
      <c r="U38" s="10">
        <v>1</v>
      </c>
      <c r="V38" s="10">
        <v>16</v>
      </c>
      <c r="W38" s="166">
        <f>IF(T38="",0,INT(1+((U38-T38)/V38)))</f>
        <v>1</v>
      </c>
      <c r="X38" s="530">
        <f>S36*S37*W38</f>
        <v>321.60000000000002</v>
      </c>
      <c r="Y38" s="657">
        <f>X38/15</f>
        <v>21.44</v>
      </c>
      <c r="Z38" s="781"/>
      <c r="AA38" s="10">
        <v>1</v>
      </c>
      <c r="AB38" s="10">
        <v>1</v>
      </c>
      <c r="AC38" s="10">
        <v>16</v>
      </c>
      <c r="AD38" s="166">
        <f>IF(AA38="",0,INT(1+((AB38-AA38)/AC38)))</f>
        <v>1</v>
      </c>
      <c r="AE38" s="530">
        <f>Z36*Z37*AD38</f>
        <v>321.60000000000002</v>
      </c>
      <c r="AF38" s="657">
        <f>AE38/15</f>
        <v>21.44</v>
      </c>
    </row>
    <row r="39" spans="2:32" ht="15.75" customHeight="1" x14ac:dyDescent="0.3">
      <c r="B39" s="16"/>
      <c r="C39" s="28" t="s">
        <v>506</v>
      </c>
      <c r="D39" s="157" t="s">
        <v>573</v>
      </c>
      <c r="E39" s="623"/>
      <c r="F39" s="637"/>
      <c r="G39" s="637"/>
      <c r="H39" s="408"/>
      <c r="I39" s="637"/>
      <c r="J39" s="878"/>
      <c r="K39" s="613">
        <f>K40/K10</f>
        <v>7.910400000000001</v>
      </c>
      <c r="L39" s="623"/>
      <c r="M39" s="637"/>
      <c r="N39" s="637"/>
      <c r="O39" s="408"/>
      <c r="P39" s="637"/>
      <c r="Q39" s="878"/>
      <c r="R39" s="613">
        <f>R40/R10</f>
        <v>5.7275602451789887</v>
      </c>
      <c r="S39" s="623"/>
      <c r="T39" s="637"/>
      <c r="U39" s="637"/>
      <c r="V39" s="408"/>
      <c r="W39" s="637"/>
      <c r="X39" s="612"/>
      <c r="Y39" s="613">
        <f>Y40/Y10</f>
        <v>5.9397089356860482</v>
      </c>
      <c r="Z39" s="623"/>
      <c r="AA39" s="637"/>
      <c r="AB39" s="637"/>
      <c r="AC39" s="408"/>
      <c r="AD39" s="637"/>
      <c r="AE39" s="612"/>
      <c r="AF39" s="613">
        <f>AF40/AF10</f>
        <v>4.3362056787681862</v>
      </c>
    </row>
    <row r="40" spans="2:32" ht="15.75" customHeight="1" x14ac:dyDescent="0.3">
      <c r="B40" s="16"/>
      <c r="C40" s="31"/>
      <c r="D40" s="34" t="s">
        <v>571</v>
      </c>
      <c r="E40" s="639"/>
      <c r="F40" s="640"/>
      <c r="G40" s="640"/>
      <c r="H40" s="640"/>
      <c r="I40" s="640"/>
      <c r="J40" s="879">
        <f>SUM(J30:J38)</f>
        <v>988.80000000000007</v>
      </c>
      <c r="K40" s="641">
        <f>J40/'Energy Inputs'!$D$16</f>
        <v>61.800000000000004</v>
      </c>
      <c r="L40" s="639"/>
      <c r="M40" s="640"/>
      <c r="N40" s="640"/>
      <c r="O40" s="640"/>
      <c r="P40" s="640"/>
      <c r="Q40" s="879">
        <f>SUM(Q30:Q38)</f>
        <v>1023.1999999999999</v>
      </c>
      <c r="R40" s="641">
        <f>Q40/'Energy Inputs'!$E$16</f>
        <v>63.949999999999996</v>
      </c>
      <c r="S40" s="639"/>
      <c r="T40" s="640"/>
      <c r="U40" s="640"/>
      <c r="V40" s="640"/>
      <c r="W40" s="640"/>
      <c r="X40" s="616">
        <f>X32+X35+X38</f>
        <v>1023.1999999999999</v>
      </c>
      <c r="Y40" s="641">
        <f>X40/'Energy Inputs'!$F$16</f>
        <v>63.949999999999996</v>
      </c>
      <c r="Z40" s="639"/>
      <c r="AA40" s="880"/>
      <c r="AB40" s="640"/>
      <c r="AC40" s="640"/>
      <c r="AD40" s="640"/>
      <c r="AE40" s="616">
        <f>AE32+AE35+AE38</f>
        <v>1023.1999999999999</v>
      </c>
      <c r="AF40" s="641">
        <f>AE40/'Energy Inputs'!$G$16</f>
        <v>63.949999999999996</v>
      </c>
    </row>
    <row r="41" spans="2:32" ht="15" customHeight="1" x14ac:dyDescent="0.3">
      <c r="B41" s="175" t="s">
        <v>85</v>
      </c>
      <c r="C41" s="35"/>
      <c r="D41" s="18" t="s">
        <v>573</v>
      </c>
      <c r="E41" s="644"/>
      <c r="F41" s="645"/>
      <c r="G41" s="645"/>
      <c r="H41" s="645"/>
      <c r="I41" s="645"/>
      <c r="J41" s="829"/>
      <c r="K41" s="647">
        <f>K42/K10</f>
        <v>60.349759999999996</v>
      </c>
      <c r="L41" s="648"/>
      <c r="M41" s="645"/>
      <c r="N41" s="645"/>
      <c r="O41" s="645"/>
      <c r="P41" s="645"/>
      <c r="Q41" s="829"/>
      <c r="R41" s="647">
        <f>R42/R10</f>
        <v>371.49885713752616</v>
      </c>
      <c r="S41" s="648"/>
      <c r="T41" s="645"/>
      <c r="U41" s="645"/>
      <c r="V41" s="645"/>
      <c r="W41" s="645"/>
      <c r="X41" s="829"/>
      <c r="Y41" s="647">
        <f>Y42/Y10</f>
        <v>162.35565303709612</v>
      </c>
      <c r="Z41" s="648"/>
      <c r="AA41" s="645"/>
      <c r="AB41" s="645"/>
      <c r="AC41" s="645"/>
      <c r="AD41" s="645"/>
      <c r="AE41" s="829"/>
      <c r="AF41" s="647">
        <f>AF42/AF10</f>
        <v>46.430661110326305</v>
      </c>
    </row>
    <row r="42" spans="2:32" x14ac:dyDescent="0.3">
      <c r="B42" s="82"/>
      <c r="C42" s="36"/>
      <c r="D42" s="179" t="s">
        <v>571</v>
      </c>
      <c r="E42" s="649"/>
      <c r="F42" s="650"/>
      <c r="G42" s="650"/>
      <c r="H42" s="650"/>
      <c r="I42" s="650"/>
      <c r="J42" s="651">
        <f>J22+SUM(J23:J38)</f>
        <v>7477.7999999999993</v>
      </c>
      <c r="K42" s="652">
        <f>K22+SUM(K23:K38)</f>
        <v>471.48249999999996</v>
      </c>
      <c r="L42" s="653"/>
      <c r="M42" s="650"/>
      <c r="N42" s="650"/>
      <c r="O42" s="650"/>
      <c r="P42" s="650"/>
      <c r="Q42" s="651">
        <f>Q22+SUM(Q23:Q38)</f>
        <v>66298.2</v>
      </c>
      <c r="R42" s="652">
        <f>R22+SUM(R23:R38)</f>
        <v>4147.9008333333331</v>
      </c>
      <c r="S42" s="653"/>
      <c r="T42" s="650"/>
      <c r="U42" s="650"/>
      <c r="V42" s="650"/>
      <c r="W42" s="650"/>
      <c r="X42" s="651">
        <f>X22+SUM(X23:X38)</f>
        <v>27899.875000000004</v>
      </c>
      <c r="Y42" s="652">
        <f>Y22+SUM(Y23:Y38)</f>
        <v>1748.0055208333335</v>
      </c>
      <c r="Z42" s="653"/>
      <c r="AA42" s="650"/>
      <c r="AB42" s="650"/>
      <c r="AC42" s="650"/>
      <c r="AD42" s="650"/>
      <c r="AE42" s="651">
        <f>AE22+SUM(AE23:AE38)</f>
        <v>10887.875</v>
      </c>
      <c r="AF42" s="652">
        <f>AF22+SUM(AF23:AF38)</f>
        <v>684.75552083333332</v>
      </c>
    </row>
    <row r="43" spans="2:32" x14ac:dyDescent="0.3">
      <c r="B43" s="95" t="s">
        <v>86</v>
      </c>
      <c r="C43" s="81" t="s">
        <v>252</v>
      </c>
      <c r="D43" s="30" t="s">
        <v>571</v>
      </c>
      <c r="E43" s="656"/>
      <c r="F43" s="164"/>
      <c r="G43" s="164"/>
      <c r="H43" s="164"/>
      <c r="I43" s="164"/>
      <c r="J43" s="536"/>
      <c r="K43" s="654"/>
      <c r="L43" s="655"/>
      <c r="M43" s="164"/>
      <c r="N43" s="164"/>
      <c r="O43" s="164"/>
      <c r="P43" s="164"/>
      <c r="Q43" s="536"/>
      <c r="R43" s="654"/>
      <c r="S43" s="655"/>
      <c r="T43" s="164"/>
      <c r="U43" s="164"/>
      <c r="V43" s="164"/>
      <c r="W43" s="164"/>
      <c r="X43" s="536"/>
      <c r="Y43" s="654"/>
      <c r="Z43" s="655"/>
      <c r="AA43" s="164"/>
      <c r="AB43" s="164"/>
      <c r="AC43" s="164"/>
      <c r="AD43" s="164"/>
      <c r="AE43" s="536"/>
      <c r="AF43" s="654"/>
    </row>
    <row r="44" spans="2:32" x14ac:dyDescent="0.3">
      <c r="B44" s="95"/>
      <c r="C44" s="33" t="s">
        <v>253</v>
      </c>
      <c r="D44" s="30" t="s">
        <v>571</v>
      </c>
      <c r="E44" s="656"/>
      <c r="F44" s="10"/>
      <c r="G44" s="10"/>
      <c r="H44" s="10"/>
      <c r="I44" s="166"/>
      <c r="J44" s="530"/>
      <c r="K44" s="657"/>
      <c r="L44" s="656"/>
      <c r="M44" s="10"/>
      <c r="N44" s="10"/>
      <c r="O44" s="10"/>
      <c r="P44" s="166"/>
      <c r="Q44" s="530"/>
      <c r="R44" s="657"/>
      <c r="S44" s="631">
        <f>'Energy Inputs'!$F$91</f>
        <v>788.90000000000009</v>
      </c>
      <c r="T44" s="10">
        <v>2</v>
      </c>
      <c r="U44" s="10">
        <v>3</v>
      </c>
      <c r="V44" s="10">
        <v>1</v>
      </c>
      <c r="W44" s="166">
        <f>IF(T44="",0,INT(1+((U44-T44)/V44)))</f>
        <v>2</v>
      </c>
      <c r="X44" s="530">
        <f>W44*S44</f>
        <v>1577.8000000000002</v>
      </c>
      <c r="Y44" s="657">
        <f>X44/15</f>
        <v>105.18666666666668</v>
      </c>
      <c r="Z44" s="631">
        <f>'Energy Inputs'!$G$91</f>
        <v>788.90000000000009</v>
      </c>
      <c r="AA44" s="10">
        <v>2</v>
      </c>
      <c r="AB44" s="10">
        <v>3</v>
      </c>
      <c r="AC44" s="10">
        <v>1</v>
      </c>
      <c r="AD44" s="166">
        <f>IF(AA44="",0,INT(1+((AB44-AA44)/AC44)))</f>
        <v>2</v>
      </c>
      <c r="AE44" s="530">
        <f>AD44*Z44</f>
        <v>1577.8000000000002</v>
      </c>
      <c r="AF44" s="642">
        <f>AE44/'Energy Inputs'!$G$16</f>
        <v>98.612500000000011</v>
      </c>
    </row>
    <row r="45" spans="2:32" x14ac:dyDescent="0.3">
      <c r="B45" s="95"/>
      <c r="C45" s="33" t="s">
        <v>33</v>
      </c>
      <c r="D45" s="30" t="s">
        <v>571</v>
      </c>
      <c r="E45" s="631">
        <f>'Energy Inputs'!D93</f>
        <v>197.56800000000001</v>
      </c>
      <c r="F45" s="10">
        <v>2</v>
      </c>
      <c r="G45" s="10">
        <v>10</v>
      </c>
      <c r="H45" s="10">
        <v>1</v>
      </c>
      <c r="I45" s="166">
        <f>IF(F45="",0,INT(1+((G45-F45)/H45)))</f>
        <v>9</v>
      </c>
      <c r="J45" s="530">
        <f>I45*E45</f>
        <v>1778.1120000000001</v>
      </c>
      <c r="K45" s="657">
        <f>J45/15</f>
        <v>118.5408</v>
      </c>
      <c r="L45" s="631">
        <f>'Energy Inputs'!$E$93</f>
        <v>197.56800000000001</v>
      </c>
      <c r="M45" s="10">
        <v>2</v>
      </c>
      <c r="N45" s="10">
        <v>3</v>
      </c>
      <c r="O45" s="10">
        <v>1</v>
      </c>
      <c r="P45" s="166">
        <f>IF(M45="",0,INT(1+((N45-M45)/O45)))</f>
        <v>2</v>
      </c>
      <c r="Q45" s="530">
        <f>P45*L45</f>
        <v>395.13600000000002</v>
      </c>
      <c r="R45" s="657">
        <f>Q45/15</f>
        <v>26.342400000000001</v>
      </c>
      <c r="S45" s="656"/>
      <c r="T45" s="10"/>
      <c r="U45" s="10"/>
      <c r="V45" s="10"/>
      <c r="W45" s="166"/>
      <c r="X45" s="530"/>
      <c r="Y45" s="657"/>
      <c r="Z45" s="656"/>
      <c r="AA45" s="10"/>
      <c r="AB45" s="10"/>
      <c r="AC45" s="10"/>
      <c r="AD45" s="166"/>
      <c r="AE45" s="530"/>
      <c r="AF45" s="657"/>
    </row>
    <row r="46" spans="2:32" x14ac:dyDescent="0.3">
      <c r="B46" s="95"/>
      <c r="C46" s="33" t="s">
        <v>520</v>
      </c>
      <c r="D46" s="30" t="s">
        <v>571</v>
      </c>
      <c r="E46" s="960">
        <f>'Energy Inputs'!D92</f>
        <v>490.00000000000006</v>
      </c>
      <c r="F46" s="10">
        <v>2</v>
      </c>
      <c r="G46" s="10">
        <v>3</v>
      </c>
      <c r="H46" s="10">
        <v>1</v>
      </c>
      <c r="I46" s="166">
        <f>IF(F46="",0,INT(1+((G46-F46)/H46)))</f>
        <v>2</v>
      </c>
      <c r="J46" s="530">
        <f>I46*E46</f>
        <v>980.00000000000011</v>
      </c>
      <c r="K46" s="657">
        <f>J46/15</f>
        <v>65.333333333333343</v>
      </c>
      <c r="L46" s="960">
        <f>'Energy Inputs'!E92</f>
        <v>294</v>
      </c>
      <c r="M46" s="10">
        <v>2</v>
      </c>
      <c r="N46" s="10">
        <v>3</v>
      </c>
      <c r="O46" s="10">
        <v>1</v>
      </c>
      <c r="P46" s="166">
        <f>IF(M46="",0,INT(1+((N46-M46)/O46)))</f>
        <v>2</v>
      </c>
      <c r="Q46" s="530">
        <f>P46*L46</f>
        <v>588</v>
      </c>
      <c r="R46" s="657">
        <f>Q46/15</f>
        <v>39.200000000000003</v>
      </c>
      <c r="S46" s="656"/>
      <c r="T46" s="10"/>
      <c r="U46" s="10"/>
      <c r="V46" s="10"/>
      <c r="W46" s="166"/>
      <c r="X46" s="530"/>
      <c r="Y46" s="657"/>
      <c r="Z46" s="656"/>
      <c r="AA46" s="10"/>
      <c r="AB46" s="10"/>
      <c r="AC46" s="10"/>
      <c r="AD46" s="166"/>
      <c r="AE46" s="530"/>
      <c r="AF46" s="657"/>
    </row>
    <row r="47" spans="2:32" x14ac:dyDescent="0.3">
      <c r="B47" s="16"/>
      <c r="C47" s="33" t="s">
        <v>145</v>
      </c>
      <c r="D47" s="30" t="s">
        <v>571</v>
      </c>
      <c r="E47" s="631">
        <f>'Energy Inputs'!D90</f>
        <v>327</v>
      </c>
      <c r="F47" s="10">
        <v>4</v>
      </c>
      <c r="G47" s="10">
        <v>16</v>
      </c>
      <c r="H47" s="10">
        <v>3</v>
      </c>
      <c r="I47" s="166">
        <f>IF(F47="",0,INT(1+((G47-F47)/H47)))</f>
        <v>5</v>
      </c>
      <c r="J47" s="530">
        <f>I47*E47</f>
        <v>1635</v>
      </c>
      <c r="K47" s="657">
        <f>J47/15</f>
        <v>109</v>
      </c>
      <c r="L47" s="631">
        <f>'Energy Inputs'!E90</f>
        <v>327</v>
      </c>
      <c r="M47" s="10">
        <v>2</v>
      </c>
      <c r="N47" s="10">
        <v>16</v>
      </c>
      <c r="O47" s="10">
        <v>1</v>
      </c>
      <c r="P47" s="166">
        <f>IF(M47="",0,INT(1+((N47-M47)/O47)))</f>
        <v>15</v>
      </c>
      <c r="Q47" s="530">
        <f>P47*L47</f>
        <v>4905</v>
      </c>
      <c r="R47" s="657">
        <f>Q47/15</f>
        <v>327</v>
      </c>
      <c r="S47" s="631">
        <f>'Energy Inputs'!F90</f>
        <v>327</v>
      </c>
      <c r="T47" s="10">
        <v>2</v>
      </c>
      <c r="U47" s="10">
        <v>16</v>
      </c>
      <c r="V47" s="10">
        <v>1</v>
      </c>
      <c r="W47" s="166">
        <f>IF(T47="",0,INT(1+((U47-T47)/V47)))</f>
        <v>15</v>
      </c>
      <c r="X47" s="530">
        <f>W47*S47</f>
        <v>4905</v>
      </c>
      <c r="Y47" s="657">
        <f>X47/15</f>
        <v>327</v>
      </c>
      <c r="Z47" s="631">
        <f>'Energy Inputs'!G90</f>
        <v>327</v>
      </c>
      <c r="AA47" s="10">
        <v>2</v>
      </c>
      <c r="AB47" s="10">
        <v>16</v>
      </c>
      <c r="AC47" s="10">
        <v>1</v>
      </c>
      <c r="AD47" s="166">
        <f>IF(AA47="",0,INT(1+((AB47-AA47)/AC47)))</f>
        <v>15</v>
      </c>
      <c r="AE47" s="530">
        <f>AD47*Z47</f>
        <v>4905</v>
      </c>
      <c r="AF47" s="657">
        <f>AE47/15</f>
        <v>327</v>
      </c>
    </row>
    <row r="48" spans="2:32" x14ac:dyDescent="0.3">
      <c r="B48" s="16"/>
      <c r="C48" s="81" t="s">
        <v>13</v>
      </c>
      <c r="D48" s="18" t="s">
        <v>575</v>
      </c>
      <c r="E48" s="777">
        <f>'Arable Inputs'!$D$34</f>
        <v>3.44</v>
      </c>
      <c r="F48" s="658"/>
      <c r="G48" s="658"/>
      <c r="H48" s="658"/>
      <c r="I48" s="658"/>
      <c r="J48" s="532"/>
      <c r="K48" s="659"/>
      <c r="L48" s="777">
        <f>'Arable Inputs'!$D$34</f>
        <v>3.44</v>
      </c>
      <c r="M48" s="658"/>
      <c r="N48" s="658"/>
      <c r="O48" s="658"/>
      <c r="P48" s="658"/>
      <c r="Q48" s="532"/>
      <c r="R48" s="659"/>
      <c r="S48" s="777">
        <f>'Arable Inputs'!$D$34</f>
        <v>3.44</v>
      </c>
      <c r="T48" s="778"/>
      <c r="U48" s="778"/>
      <c r="V48" s="778"/>
      <c r="W48" s="778"/>
      <c r="X48" s="778"/>
      <c r="Y48" s="779"/>
      <c r="Z48" s="777">
        <f>'Arable Inputs'!$D$34</f>
        <v>3.44</v>
      </c>
      <c r="AA48" s="778"/>
      <c r="AB48" s="778"/>
      <c r="AC48" s="778"/>
      <c r="AD48" s="778"/>
      <c r="AE48" s="778"/>
      <c r="AF48" s="779"/>
    </row>
    <row r="49" spans="2:32" x14ac:dyDescent="0.3">
      <c r="B49" s="16"/>
      <c r="C49" s="33" t="s">
        <v>14</v>
      </c>
      <c r="D49" s="30" t="s">
        <v>91</v>
      </c>
      <c r="E49" s="636">
        <f>'Energy Inputs'!D71</f>
        <v>90</v>
      </c>
      <c r="F49" s="634"/>
      <c r="G49" s="634"/>
      <c r="H49" s="634"/>
      <c r="I49" s="634"/>
      <c r="J49" s="634"/>
      <c r="K49" s="635"/>
      <c r="L49" s="636">
        <f>'Energy Inputs'!E71</f>
        <v>100</v>
      </c>
      <c r="M49" s="634"/>
      <c r="N49" s="634"/>
      <c r="O49" s="634"/>
      <c r="P49" s="634"/>
      <c r="Q49" s="634"/>
      <c r="R49" s="635"/>
      <c r="S49" s="636">
        <f>'Energy Inputs'!F71</f>
        <v>100</v>
      </c>
      <c r="T49" s="10"/>
      <c r="U49" s="10"/>
      <c r="V49" s="10"/>
      <c r="W49" s="166"/>
      <c r="X49" s="530"/>
      <c r="Y49" s="657"/>
      <c r="Z49" s="636">
        <f>'Energy Inputs'!G71</f>
        <v>100</v>
      </c>
      <c r="AA49" s="10"/>
      <c r="AB49" s="10"/>
      <c r="AC49" s="10"/>
      <c r="AD49" s="166"/>
      <c r="AE49" s="530"/>
      <c r="AF49" s="657"/>
    </row>
    <row r="50" spans="2:32" x14ac:dyDescent="0.3">
      <c r="B50" s="16"/>
      <c r="C50" s="180" t="s">
        <v>266</v>
      </c>
      <c r="D50" s="30" t="s">
        <v>571</v>
      </c>
      <c r="E50" s="975">
        <f>E48*E49</f>
        <v>309.60000000000002</v>
      </c>
      <c r="F50" s="10">
        <v>4</v>
      </c>
      <c r="G50" s="10">
        <v>16</v>
      </c>
      <c r="H50" s="10">
        <v>3</v>
      </c>
      <c r="I50" s="166">
        <f>IF(F50="",0,INT(1+((G50-F50)/H50)))</f>
        <v>5</v>
      </c>
      <c r="J50" s="530">
        <f>E48*E49*I50</f>
        <v>1548</v>
      </c>
      <c r="K50" s="657">
        <f>J50/15</f>
        <v>103.2</v>
      </c>
      <c r="L50" s="975">
        <f>L48*L49</f>
        <v>344</v>
      </c>
      <c r="M50" s="10">
        <v>2</v>
      </c>
      <c r="N50" s="10">
        <v>16</v>
      </c>
      <c r="O50" s="10">
        <v>1</v>
      </c>
      <c r="P50" s="166">
        <f>IF(M50="",0,INT(1+((N50-M50)/O50)))</f>
        <v>15</v>
      </c>
      <c r="Q50" s="530">
        <f>L48*L49*P50</f>
        <v>5160</v>
      </c>
      <c r="R50" s="657">
        <f>Q50/15</f>
        <v>344</v>
      </c>
      <c r="S50" s="975">
        <f>S48*S49</f>
        <v>344</v>
      </c>
      <c r="T50" s="10">
        <v>2</v>
      </c>
      <c r="U50" s="10">
        <v>16</v>
      </c>
      <c r="V50" s="10">
        <v>1</v>
      </c>
      <c r="W50" s="166">
        <f>IF(T50="",0,INT(1+((U50-T50)/V50)))</f>
        <v>15</v>
      </c>
      <c r="X50" s="530">
        <f>S48*S49*W50</f>
        <v>5160</v>
      </c>
      <c r="Y50" s="657">
        <f>X50/15</f>
        <v>344</v>
      </c>
      <c r="Z50" s="975">
        <f>Z48*Z49</f>
        <v>344</v>
      </c>
      <c r="AA50" s="10">
        <v>2</v>
      </c>
      <c r="AB50" s="10">
        <v>16</v>
      </c>
      <c r="AC50" s="10">
        <v>1</v>
      </c>
      <c r="AD50" s="166">
        <f>IF(AA50="",0,INT(1+((AB50-AA50)/AC50)))</f>
        <v>15</v>
      </c>
      <c r="AE50" s="530">
        <f>Z48*Z49*AD50</f>
        <v>5160</v>
      </c>
      <c r="AF50" s="657">
        <f>AE50/15</f>
        <v>344</v>
      </c>
    </row>
    <row r="51" spans="2:32" x14ac:dyDescent="0.3">
      <c r="B51" s="16"/>
      <c r="C51" s="32" t="s">
        <v>15</v>
      </c>
      <c r="D51" s="30" t="s">
        <v>575</v>
      </c>
      <c r="E51" s="662">
        <f>'Arable Inputs'!$D$35</f>
        <v>4.47</v>
      </c>
      <c r="F51" s="661"/>
      <c r="G51" s="661"/>
      <c r="H51" s="661"/>
      <c r="I51" s="661"/>
      <c r="J51" s="530"/>
      <c r="K51" s="657"/>
      <c r="L51" s="662">
        <f>'Arable Inputs'!$D$35</f>
        <v>4.47</v>
      </c>
      <c r="M51" s="661"/>
      <c r="N51" s="661"/>
      <c r="O51" s="661"/>
      <c r="P51" s="661"/>
      <c r="Q51" s="530"/>
      <c r="R51" s="657"/>
      <c r="S51" s="662">
        <f>'Arable Inputs'!$D$35</f>
        <v>4.47</v>
      </c>
      <c r="T51" s="661"/>
      <c r="U51" s="661"/>
      <c r="V51" s="661"/>
      <c r="W51" s="661"/>
      <c r="X51" s="530"/>
      <c r="Y51" s="657"/>
      <c r="Z51" s="662">
        <f>'Arable Inputs'!$D$35</f>
        <v>4.47</v>
      </c>
      <c r="AA51" s="661"/>
      <c r="AB51" s="661"/>
      <c r="AC51" s="661"/>
      <c r="AD51" s="661"/>
      <c r="AE51" s="530"/>
      <c r="AF51" s="657"/>
    </row>
    <row r="52" spans="2:32" x14ac:dyDescent="0.3">
      <c r="B52" s="16"/>
      <c r="C52" s="33" t="s">
        <v>16</v>
      </c>
      <c r="D52" s="30" t="s">
        <v>91</v>
      </c>
      <c r="E52" s="636">
        <f>'Energy Inputs'!D72</f>
        <v>80</v>
      </c>
      <c r="F52" s="634"/>
      <c r="G52" s="634"/>
      <c r="H52" s="634"/>
      <c r="I52" s="634"/>
      <c r="J52" s="634"/>
      <c r="K52" s="635"/>
      <c r="L52" s="636">
        <f>'Energy Inputs'!E72</f>
        <v>80</v>
      </c>
      <c r="M52" s="634"/>
      <c r="N52" s="634"/>
      <c r="O52" s="634"/>
      <c r="P52" s="634"/>
      <c r="Q52" s="634"/>
      <c r="R52" s="635"/>
      <c r="S52" s="636">
        <f>'Energy Inputs'!F72</f>
        <v>80</v>
      </c>
      <c r="T52" s="634"/>
      <c r="U52" s="634"/>
      <c r="V52" s="634"/>
      <c r="W52" s="634"/>
      <c r="X52" s="634"/>
      <c r="Y52" s="635"/>
      <c r="Z52" s="636">
        <f>'Energy Inputs'!G72</f>
        <v>80</v>
      </c>
      <c r="AA52" s="634"/>
      <c r="AB52" s="634"/>
      <c r="AC52" s="634"/>
      <c r="AD52" s="634"/>
      <c r="AE52" s="634"/>
      <c r="AF52" s="635"/>
    </row>
    <row r="53" spans="2:32" x14ac:dyDescent="0.3">
      <c r="B53" s="16"/>
      <c r="C53" s="180" t="s">
        <v>267</v>
      </c>
      <c r="D53" s="30" t="s">
        <v>571</v>
      </c>
      <c r="E53" s="975">
        <f>E51*E52</f>
        <v>357.59999999999997</v>
      </c>
      <c r="F53" s="10">
        <v>4</v>
      </c>
      <c r="G53" s="10">
        <v>16</v>
      </c>
      <c r="H53" s="10">
        <v>3</v>
      </c>
      <c r="I53" s="166">
        <f>IF(F53="",0,INT(1+((G53-F53)/H53)))</f>
        <v>5</v>
      </c>
      <c r="J53" s="530">
        <f>E51*E52*I53</f>
        <v>1787.9999999999998</v>
      </c>
      <c r="K53" s="657">
        <f>J53/15</f>
        <v>119.19999999999999</v>
      </c>
      <c r="L53" s="975">
        <f>L51*L52</f>
        <v>357.59999999999997</v>
      </c>
      <c r="M53" s="10">
        <v>2</v>
      </c>
      <c r="N53" s="10">
        <v>16</v>
      </c>
      <c r="O53" s="10">
        <v>1</v>
      </c>
      <c r="P53" s="166">
        <f>IF(M53="",0,INT(1+((N53-M53)/O53)))</f>
        <v>15</v>
      </c>
      <c r="Q53" s="530">
        <f>L51*L52*P53</f>
        <v>5363.9999999999991</v>
      </c>
      <c r="R53" s="657">
        <f>Q53/15</f>
        <v>357.59999999999997</v>
      </c>
      <c r="S53" s="975">
        <f>S51*S52</f>
        <v>357.59999999999997</v>
      </c>
      <c r="T53" s="10">
        <v>2</v>
      </c>
      <c r="U53" s="10">
        <v>16</v>
      </c>
      <c r="V53" s="10">
        <v>1</v>
      </c>
      <c r="W53" s="166">
        <f>IF(T53="",0,INT(1+((U53-T53)/V53)))</f>
        <v>15</v>
      </c>
      <c r="X53" s="530">
        <f>S51*S52*W53</f>
        <v>5363.9999999999991</v>
      </c>
      <c r="Y53" s="657">
        <f>X53/15</f>
        <v>357.59999999999997</v>
      </c>
      <c r="Z53" s="975">
        <f>Z51*Z52</f>
        <v>357.59999999999997</v>
      </c>
      <c r="AA53" s="10">
        <v>2</v>
      </c>
      <c r="AB53" s="10">
        <v>16</v>
      </c>
      <c r="AC53" s="10">
        <v>1</v>
      </c>
      <c r="AD53" s="166">
        <f>IF(AA53="",0,INT(1+((AB53-AA53)/AC53)))</f>
        <v>15</v>
      </c>
      <c r="AE53" s="530">
        <f>Z51*Z52*AD53</f>
        <v>5363.9999999999991</v>
      </c>
      <c r="AF53" s="657">
        <f>AE53/15</f>
        <v>357.59999999999997</v>
      </c>
    </row>
    <row r="54" spans="2:32" x14ac:dyDescent="0.3">
      <c r="B54" s="16"/>
      <c r="C54" s="32" t="s">
        <v>17</v>
      </c>
      <c r="D54" s="30" t="s">
        <v>575</v>
      </c>
      <c r="E54" s="662">
        <f>'Arable Inputs'!$D$36</f>
        <v>2.68</v>
      </c>
      <c r="F54" s="661"/>
      <c r="G54" s="661"/>
      <c r="H54" s="661"/>
      <c r="I54" s="661"/>
      <c r="J54" s="530"/>
      <c r="K54" s="657"/>
      <c r="L54" s="662">
        <f>'Arable Inputs'!$D$36</f>
        <v>2.68</v>
      </c>
      <c r="M54" s="661"/>
      <c r="N54" s="661"/>
      <c r="O54" s="661"/>
      <c r="P54" s="661"/>
      <c r="Q54" s="530"/>
      <c r="R54" s="657"/>
      <c r="S54" s="662">
        <f>'Arable Inputs'!$D$36</f>
        <v>2.68</v>
      </c>
      <c r="T54" s="661"/>
      <c r="U54" s="661"/>
      <c r="V54" s="661"/>
      <c r="W54" s="661"/>
      <c r="X54" s="530"/>
      <c r="Y54" s="657"/>
      <c r="Z54" s="662">
        <f>'Arable Inputs'!$D$36</f>
        <v>2.68</v>
      </c>
      <c r="AA54" s="661"/>
      <c r="AB54" s="661"/>
      <c r="AC54" s="661"/>
      <c r="AD54" s="661"/>
      <c r="AE54" s="530"/>
      <c r="AF54" s="657"/>
    </row>
    <row r="55" spans="2:32" x14ac:dyDescent="0.3">
      <c r="B55" s="16"/>
      <c r="C55" s="33" t="s">
        <v>18</v>
      </c>
      <c r="D55" s="30" t="s">
        <v>91</v>
      </c>
      <c r="E55" s="636">
        <f>'Energy Inputs'!D73</f>
        <v>120</v>
      </c>
      <c r="F55" s="634"/>
      <c r="G55" s="634"/>
      <c r="H55" s="634"/>
      <c r="I55" s="634"/>
      <c r="J55" s="634"/>
      <c r="K55" s="635"/>
      <c r="L55" s="636">
        <f>'Energy Inputs'!E73</f>
        <v>120</v>
      </c>
      <c r="M55" s="634"/>
      <c r="N55" s="634"/>
      <c r="O55" s="634"/>
      <c r="P55" s="634"/>
      <c r="Q55" s="634"/>
      <c r="R55" s="635"/>
      <c r="S55" s="636">
        <f>'Energy Inputs'!F73</f>
        <v>120</v>
      </c>
      <c r="T55" s="634"/>
      <c r="U55" s="634"/>
      <c r="V55" s="634"/>
      <c r="W55" s="634"/>
      <c r="X55" s="634"/>
      <c r="Y55" s="635"/>
      <c r="Z55" s="636">
        <f>'Energy Inputs'!G73</f>
        <v>120</v>
      </c>
      <c r="AA55" s="634"/>
      <c r="AB55" s="634"/>
      <c r="AC55" s="634"/>
      <c r="AD55" s="634"/>
      <c r="AE55" s="634"/>
      <c r="AF55" s="635"/>
    </row>
    <row r="56" spans="2:32" x14ac:dyDescent="0.3">
      <c r="B56" s="16"/>
      <c r="C56" s="181" t="s">
        <v>268</v>
      </c>
      <c r="D56" s="23" t="s">
        <v>571</v>
      </c>
      <c r="E56" s="975">
        <f>E54*E55</f>
        <v>321.60000000000002</v>
      </c>
      <c r="F56" s="22">
        <v>4</v>
      </c>
      <c r="G56" s="22">
        <v>16</v>
      </c>
      <c r="H56" s="22">
        <v>3</v>
      </c>
      <c r="I56" s="153">
        <f>IF(F56="",0,INT(1+((G56-F56)/H56)))</f>
        <v>5</v>
      </c>
      <c r="J56" s="534">
        <f>E54*E55*I56</f>
        <v>1608</v>
      </c>
      <c r="K56" s="664">
        <f>J56/15</f>
        <v>107.2</v>
      </c>
      <c r="L56" s="975">
        <f>L54*L55</f>
        <v>321.60000000000002</v>
      </c>
      <c r="M56" s="22">
        <v>2</v>
      </c>
      <c r="N56" s="22">
        <v>16</v>
      </c>
      <c r="O56" s="22">
        <v>1</v>
      </c>
      <c r="P56" s="153">
        <f>IF(M56="",0,INT(1+((N56-M56)/O56)))</f>
        <v>15</v>
      </c>
      <c r="Q56" s="534">
        <f>L54*L55*P56</f>
        <v>4824</v>
      </c>
      <c r="R56" s="664">
        <f>Q56/15</f>
        <v>321.60000000000002</v>
      </c>
      <c r="S56" s="975">
        <f>S54*S55</f>
        <v>321.60000000000002</v>
      </c>
      <c r="T56" s="22">
        <v>2</v>
      </c>
      <c r="U56" s="22">
        <v>16</v>
      </c>
      <c r="V56" s="22">
        <v>1</v>
      </c>
      <c r="W56" s="153">
        <f>IF(T56="",0,INT(1+((U56-T56)/V56)))</f>
        <v>15</v>
      </c>
      <c r="X56" s="534">
        <f>S54*S55*W56</f>
        <v>4824</v>
      </c>
      <c r="Y56" s="664">
        <f>X56/15</f>
        <v>321.60000000000002</v>
      </c>
      <c r="Z56" s="975">
        <f>Z54*Z55</f>
        <v>321.60000000000002</v>
      </c>
      <c r="AA56" s="22">
        <v>2</v>
      </c>
      <c r="AB56" s="22">
        <v>16</v>
      </c>
      <c r="AC56" s="22">
        <v>1</v>
      </c>
      <c r="AD56" s="153">
        <f>IF(AA56="",0,INT(1+((AB56-AA56)/AC56)))</f>
        <v>15</v>
      </c>
      <c r="AE56" s="534">
        <f>Z54*Z55*AD56</f>
        <v>4824</v>
      </c>
      <c r="AF56" s="664">
        <f>AE56/15</f>
        <v>321.60000000000002</v>
      </c>
    </row>
    <row r="57" spans="2:32" x14ac:dyDescent="0.3">
      <c r="B57" s="16"/>
      <c r="C57" s="28" t="s">
        <v>507</v>
      </c>
      <c r="D57" s="157" t="s">
        <v>573</v>
      </c>
      <c r="E57" s="623"/>
      <c r="F57" s="637"/>
      <c r="G57" s="637"/>
      <c r="H57" s="408"/>
      <c r="I57" s="637"/>
      <c r="J57" s="612"/>
      <c r="K57" s="613">
        <f>K58/K10</f>
        <v>39.552</v>
      </c>
      <c r="L57" s="623"/>
      <c r="M57" s="637"/>
      <c r="N57" s="637"/>
      <c r="O57" s="408"/>
      <c r="P57" s="637"/>
      <c r="Q57" s="612"/>
      <c r="R57" s="613">
        <f>R58/R10</f>
        <v>85.913403677684826</v>
      </c>
      <c r="S57" s="623"/>
      <c r="T57" s="637"/>
      <c r="U57" s="637"/>
      <c r="V57" s="408"/>
      <c r="W57" s="637"/>
      <c r="X57" s="612"/>
      <c r="Y57" s="613">
        <f>Y58/Y10</f>
        <v>89.095634035290729</v>
      </c>
      <c r="Z57" s="623"/>
      <c r="AA57" s="637"/>
      <c r="AB57" s="637"/>
      <c r="AC57" s="408"/>
      <c r="AD57" s="637"/>
      <c r="AE57" s="612"/>
      <c r="AF57" s="613">
        <f>AF58/AF10</f>
        <v>65.043085181522798</v>
      </c>
    </row>
    <row r="58" spans="2:32" x14ac:dyDescent="0.3">
      <c r="B58" s="16"/>
      <c r="C58" s="31"/>
      <c r="D58" s="34" t="s">
        <v>571</v>
      </c>
      <c r="E58" s="639"/>
      <c r="F58" s="640"/>
      <c r="G58" s="640"/>
      <c r="H58" s="640"/>
      <c r="I58" s="640"/>
      <c r="J58" s="616">
        <f>J50+J53+J56</f>
        <v>4944</v>
      </c>
      <c r="K58" s="641">
        <f>J58/'Energy Inputs'!$F$16</f>
        <v>309</v>
      </c>
      <c r="L58" s="639"/>
      <c r="M58" s="640"/>
      <c r="N58" s="640"/>
      <c r="O58" s="640"/>
      <c r="P58" s="640"/>
      <c r="Q58" s="616">
        <f>Q50+Q53+Q56</f>
        <v>15348</v>
      </c>
      <c r="R58" s="641">
        <f>Q58/'Energy Inputs'!$F$16</f>
        <v>959.25</v>
      </c>
      <c r="S58" s="639"/>
      <c r="T58" s="640"/>
      <c r="U58" s="640"/>
      <c r="V58" s="640"/>
      <c r="W58" s="640"/>
      <c r="X58" s="616">
        <f>X50+X53+X56</f>
        <v>15348</v>
      </c>
      <c r="Y58" s="641">
        <f>X58/'Energy Inputs'!$F$16</f>
        <v>959.25</v>
      </c>
      <c r="Z58" s="639"/>
      <c r="AA58" s="640"/>
      <c r="AB58" s="640"/>
      <c r="AC58" s="640"/>
      <c r="AD58" s="640"/>
      <c r="AE58" s="616">
        <f>AE50+AE53+AE56</f>
        <v>15348</v>
      </c>
      <c r="AF58" s="641">
        <f>AE58/'Energy Inputs'!$G$16</f>
        <v>959.25</v>
      </c>
    </row>
    <row r="59" spans="2:32" x14ac:dyDescent="0.3">
      <c r="B59" s="16"/>
      <c r="C59" s="33" t="s">
        <v>180</v>
      </c>
      <c r="D59" s="30" t="s">
        <v>571</v>
      </c>
      <c r="E59" s="631">
        <f>'Energy Inputs'!$D$94</f>
        <v>805</v>
      </c>
      <c r="F59" s="166">
        <v>4</v>
      </c>
      <c r="G59" s="166">
        <v>16</v>
      </c>
      <c r="H59" s="166">
        <v>3</v>
      </c>
      <c r="I59" s="166">
        <f>IF(F59="",0,INT(1+((G59-F59)/H59)))</f>
        <v>5</v>
      </c>
      <c r="J59" s="530">
        <f>I59*E59</f>
        <v>4025</v>
      </c>
      <c r="K59" s="657">
        <f>J59/15</f>
        <v>268.33333333333331</v>
      </c>
      <c r="L59" s="656"/>
      <c r="M59" s="166"/>
      <c r="N59" s="166"/>
      <c r="O59" s="166"/>
      <c r="P59" s="166"/>
      <c r="Q59" s="530"/>
      <c r="R59" s="657"/>
      <c r="S59" s="631">
        <f>'Energy Inputs'!$F$94</f>
        <v>490.00000000000006</v>
      </c>
      <c r="T59" s="166">
        <v>1</v>
      </c>
      <c r="U59" s="166">
        <v>15</v>
      </c>
      <c r="V59" s="166">
        <v>1</v>
      </c>
      <c r="W59" s="166">
        <f>IF(T59="",0,INT(1+((U59-T59)/V59)))</f>
        <v>15</v>
      </c>
      <c r="X59" s="530">
        <f>W59*S59</f>
        <v>7350.0000000000009</v>
      </c>
      <c r="Y59" s="657">
        <f>X59/15</f>
        <v>490.00000000000006</v>
      </c>
      <c r="Z59" s="656"/>
      <c r="AA59" s="166"/>
      <c r="AB59" s="166"/>
      <c r="AC59" s="166"/>
      <c r="AD59" s="166"/>
      <c r="AE59" s="530"/>
      <c r="AF59" s="657"/>
    </row>
    <row r="60" spans="2:32" x14ac:dyDescent="0.3">
      <c r="B60" s="16"/>
      <c r="C60" s="33" t="s">
        <v>464</v>
      </c>
      <c r="D60" s="30" t="s">
        <v>571</v>
      </c>
      <c r="E60" s="656"/>
      <c r="F60" s="166"/>
      <c r="G60" s="166"/>
      <c r="H60" s="166"/>
      <c r="I60" s="166"/>
      <c r="J60" s="530"/>
      <c r="K60" s="657"/>
      <c r="L60" s="631">
        <f>'Energy Inputs'!$E$95</f>
        <v>650</v>
      </c>
      <c r="M60" s="166">
        <v>2</v>
      </c>
      <c r="N60" s="166">
        <v>16</v>
      </c>
      <c r="O60" s="166">
        <v>1</v>
      </c>
      <c r="P60" s="166">
        <f>IF(M60="",0,INT(1+((N60-M60)/O60)))</f>
        <v>15</v>
      </c>
      <c r="Q60" s="530">
        <f>P60*L60</f>
        <v>9750</v>
      </c>
      <c r="R60" s="657">
        <f>Q60/15</f>
        <v>650</v>
      </c>
      <c r="S60" s="656"/>
      <c r="T60" s="166"/>
      <c r="U60" s="166"/>
      <c r="V60" s="166"/>
      <c r="W60" s="166"/>
      <c r="X60" s="530"/>
      <c r="Y60" s="657"/>
      <c r="Z60" s="656"/>
      <c r="AA60" s="166"/>
      <c r="AB60" s="166"/>
      <c r="AC60" s="166"/>
      <c r="AD60" s="166"/>
      <c r="AE60" s="530"/>
      <c r="AF60" s="657"/>
    </row>
    <row r="61" spans="2:32" x14ac:dyDescent="0.3">
      <c r="B61" s="16"/>
      <c r="C61" s="32" t="s">
        <v>465</v>
      </c>
      <c r="D61" s="30" t="s">
        <v>571</v>
      </c>
      <c r="E61" s="656"/>
      <c r="F61" s="166"/>
      <c r="G61" s="166"/>
      <c r="H61" s="166"/>
      <c r="I61" s="166"/>
      <c r="J61" s="530"/>
      <c r="K61" s="657"/>
      <c r="L61" s="656"/>
      <c r="M61" s="166"/>
      <c r="N61" s="166"/>
      <c r="O61" s="166"/>
      <c r="P61" s="166"/>
      <c r="Q61" s="530"/>
      <c r="R61" s="657"/>
      <c r="S61" s="656"/>
      <c r="T61" s="166"/>
      <c r="U61" s="166"/>
      <c r="V61" s="166"/>
      <c r="W61" s="166"/>
      <c r="X61" s="530"/>
      <c r="Y61" s="657"/>
      <c r="Z61" s="631">
        <f>'Energy Inputs'!$G$96</f>
        <v>857.50000000000011</v>
      </c>
      <c r="AA61" s="166">
        <v>2</v>
      </c>
      <c r="AB61" s="166">
        <v>16</v>
      </c>
      <c r="AC61" s="166">
        <v>1</v>
      </c>
      <c r="AD61" s="166">
        <f>IF(AA61="",0,INT(1+((AB61-AA61)/AC61)))</f>
        <v>15</v>
      </c>
      <c r="AE61" s="530">
        <f>AD61*Z61</f>
        <v>12862.500000000002</v>
      </c>
      <c r="AF61" s="657">
        <f>AE61/15</f>
        <v>857.50000000000011</v>
      </c>
    </row>
    <row r="62" spans="2:32" x14ac:dyDescent="0.3">
      <c r="B62" s="7"/>
      <c r="C62" s="125" t="s">
        <v>466</v>
      </c>
      <c r="D62" s="23" t="s">
        <v>573</v>
      </c>
      <c r="E62" s="656"/>
      <c r="F62" s="166"/>
      <c r="G62" s="166"/>
      <c r="H62" s="166"/>
      <c r="I62" s="166"/>
      <c r="J62" s="530"/>
      <c r="K62" s="657"/>
      <c r="L62" s="663"/>
      <c r="M62" s="153"/>
      <c r="N62" s="153"/>
      <c r="O62" s="153"/>
      <c r="P62" s="153"/>
      <c r="Q62" s="534"/>
      <c r="R62" s="664"/>
      <c r="S62" s="663"/>
      <c r="T62" s="153"/>
      <c r="U62" s="153"/>
      <c r="V62" s="153"/>
      <c r="W62" s="153"/>
      <c r="X62" s="534"/>
      <c r="Y62" s="664"/>
      <c r="Z62" s="663"/>
      <c r="AA62" s="153"/>
      <c r="AB62" s="153"/>
      <c r="AC62" s="153"/>
      <c r="AD62" s="153"/>
      <c r="AE62" s="534"/>
      <c r="AF62" s="664"/>
    </row>
    <row r="63" spans="2:32" x14ac:dyDescent="0.3">
      <c r="B63" s="175" t="s">
        <v>87</v>
      </c>
      <c r="C63" s="35"/>
      <c r="D63" s="18" t="s">
        <v>573</v>
      </c>
      <c r="E63" s="644"/>
      <c r="F63" s="645"/>
      <c r="G63" s="645"/>
      <c r="H63" s="645"/>
      <c r="I63" s="645"/>
      <c r="J63" s="646"/>
      <c r="K63" s="647">
        <f>K64/K10</f>
        <v>114.02335573333333</v>
      </c>
      <c r="L63" s="648"/>
      <c r="M63" s="645"/>
      <c r="N63" s="645"/>
      <c r="O63" s="645"/>
      <c r="P63" s="645"/>
      <c r="Q63" s="646"/>
      <c r="R63" s="647">
        <f>R64/R10</f>
        <v>185.01429315122178</v>
      </c>
      <c r="S63" s="648"/>
      <c r="T63" s="645"/>
      <c r="U63" s="645"/>
      <c r="V63" s="645"/>
      <c r="W63" s="645"/>
      <c r="X63" s="646"/>
      <c r="Y63" s="647">
        <f>Y64/Y10</f>
        <v>180.68851551781856</v>
      </c>
      <c r="Z63" s="648"/>
      <c r="AA63" s="645"/>
      <c r="AB63" s="645"/>
      <c r="AC63" s="645"/>
      <c r="AD63" s="645"/>
      <c r="AE63" s="646"/>
      <c r="AF63" s="647">
        <f>AF64/AF10</f>
        <v>156.38225738098598</v>
      </c>
    </row>
    <row r="64" spans="2:32" x14ac:dyDescent="0.3">
      <c r="B64" s="82"/>
      <c r="C64" s="36"/>
      <c r="D64" s="179" t="s">
        <v>571</v>
      </c>
      <c r="E64" s="649"/>
      <c r="F64" s="650"/>
      <c r="G64" s="650"/>
      <c r="H64" s="650"/>
      <c r="I64" s="650"/>
      <c r="J64" s="651">
        <f>SUM(J43:J47)+J58+SUM(J59:J62)</f>
        <v>13362.112000000001</v>
      </c>
      <c r="K64" s="652">
        <f>SUM(K43:K56)+SUM(K59:K62)</f>
        <v>890.80746666666664</v>
      </c>
      <c r="L64" s="653"/>
      <c r="M64" s="650"/>
      <c r="N64" s="650"/>
      <c r="O64" s="650"/>
      <c r="P64" s="650"/>
      <c r="Q64" s="651">
        <f>SUM(Q43:Q47)+Q58+SUM(Q59:Q62)</f>
        <v>30986.135999999999</v>
      </c>
      <c r="R64" s="652">
        <f>SUM(R43:R56)+SUM(R59:R62)</f>
        <v>2065.7424000000001</v>
      </c>
      <c r="S64" s="653"/>
      <c r="T64" s="650"/>
      <c r="U64" s="650"/>
      <c r="V64" s="650"/>
      <c r="W64" s="650"/>
      <c r="X64" s="651">
        <f>SUM(X43:X47)+X58+SUM(X59:X62)</f>
        <v>29180.799999999999</v>
      </c>
      <c r="Y64" s="652">
        <f>SUM(Y43:Y56)+SUM(Y59:Y62)</f>
        <v>1945.3866666666668</v>
      </c>
      <c r="Z64" s="653"/>
      <c r="AA64" s="650"/>
      <c r="AB64" s="650"/>
      <c r="AC64" s="650"/>
      <c r="AD64" s="650"/>
      <c r="AE64" s="651">
        <f>SUM(AE43:AE47)+AE58+SUM(AE59:AE62)</f>
        <v>34693.300000000003</v>
      </c>
      <c r="AF64" s="652">
        <f>SUM(AF43:AF56)+SUM(AF59:AF62)</f>
        <v>2306.3125</v>
      </c>
    </row>
    <row r="65" spans="2:32" x14ac:dyDescent="0.3">
      <c r="B65" s="95" t="s">
        <v>264</v>
      </c>
      <c r="C65" s="177" t="s">
        <v>255</v>
      </c>
      <c r="D65" s="20" t="s">
        <v>571</v>
      </c>
      <c r="E65" s="643">
        <f>'Energy Inputs'!$D$97</f>
        <v>2100</v>
      </c>
      <c r="F65" s="153">
        <v>16</v>
      </c>
      <c r="G65" s="153">
        <v>16</v>
      </c>
      <c r="H65" s="153">
        <v>1</v>
      </c>
      <c r="I65" s="153">
        <f>IF(F65="",0,INT(1+((G65-F65)/H65)))</f>
        <v>1</v>
      </c>
      <c r="J65" s="534">
        <f>I65*E65</f>
        <v>2100</v>
      </c>
      <c r="K65" s="622">
        <f>J65/'Energy Inputs'!$D$16</f>
        <v>131.25</v>
      </c>
      <c r="L65" s="643">
        <f>'Energy Inputs'!$E$97</f>
        <v>500</v>
      </c>
      <c r="M65" s="153">
        <v>16</v>
      </c>
      <c r="N65" s="153">
        <v>16</v>
      </c>
      <c r="O65" s="153">
        <v>1</v>
      </c>
      <c r="P65" s="153">
        <f>IF(M65="",0,INT(1+((N65-M65)/O65)))</f>
        <v>1</v>
      </c>
      <c r="Q65" s="534">
        <f>P65*L65</f>
        <v>500</v>
      </c>
      <c r="R65" s="622">
        <f>Q65/'Energy Inputs'!$E$16</f>
        <v>31.25</v>
      </c>
      <c r="S65" s="643">
        <f>'Energy Inputs'!$F$97</f>
        <v>500</v>
      </c>
      <c r="T65" s="153">
        <v>16</v>
      </c>
      <c r="U65" s="153">
        <v>16</v>
      </c>
      <c r="V65" s="153">
        <v>1</v>
      </c>
      <c r="W65" s="153">
        <f>IF(T65="",0,INT(1+((U65-T65)/V65)))</f>
        <v>1</v>
      </c>
      <c r="X65" s="534">
        <f>W65*S65</f>
        <v>500</v>
      </c>
      <c r="Y65" s="622">
        <f>X65/'Energy Inputs'!$F$16</f>
        <v>31.25</v>
      </c>
      <c r="Z65" s="643">
        <f>'Energy Inputs'!$G$97</f>
        <v>500</v>
      </c>
      <c r="AA65" s="153">
        <v>16</v>
      </c>
      <c r="AB65" s="153">
        <v>16</v>
      </c>
      <c r="AC65" s="153">
        <v>1</v>
      </c>
      <c r="AD65" s="153">
        <f>IF(AA65="",0,INT(1+((AB65-AA65)/AC65)))</f>
        <v>1</v>
      </c>
      <c r="AE65" s="534">
        <f>AD65*Z65</f>
        <v>500</v>
      </c>
      <c r="AF65" s="622">
        <f>AE65/'Energy Inputs'!$G$16</f>
        <v>31.25</v>
      </c>
    </row>
    <row r="66" spans="2:32" x14ac:dyDescent="0.3">
      <c r="B66" s="175" t="s">
        <v>265</v>
      </c>
      <c r="C66" s="35"/>
      <c r="D66" s="18" t="s">
        <v>573</v>
      </c>
      <c r="E66" s="660"/>
      <c r="F66" s="166"/>
      <c r="G66" s="166"/>
      <c r="H66" s="166"/>
      <c r="I66" s="166"/>
      <c r="J66" s="530"/>
      <c r="K66" s="657">
        <f>K67/K10</f>
        <v>16.8</v>
      </c>
      <c r="L66" s="660"/>
      <c r="M66" s="166"/>
      <c r="N66" s="166"/>
      <c r="O66" s="166"/>
      <c r="P66" s="166"/>
      <c r="Q66" s="530"/>
      <c r="R66" s="657">
        <f>R67/R10</f>
        <v>2.7988468750874653</v>
      </c>
      <c r="S66" s="660"/>
      <c r="T66" s="166"/>
      <c r="U66" s="166"/>
      <c r="V66" s="166"/>
      <c r="W66" s="166"/>
      <c r="X66" s="530"/>
      <c r="Y66" s="657">
        <f>Y67/Y10</f>
        <v>2.9025160944517441</v>
      </c>
      <c r="Z66" s="660"/>
      <c r="AA66" s="166"/>
      <c r="AB66" s="166"/>
      <c r="AC66" s="166"/>
      <c r="AD66" s="166"/>
      <c r="AE66" s="530"/>
      <c r="AF66" s="657">
        <f>AF67/AF10</f>
        <v>2.1189433535810136</v>
      </c>
    </row>
    <row r="67" spans="2:32" x14ac:dyDescent="0.3">
      <c r="B67" s="32"/>
      <c r="C67" s="177"/>
      <c r="D67" s="20" t="s">
        <v>571</v>
      </c>
      <c r="E67" s="665"/>
      <c r="F67" s="166"/>
      <c r="G67" s="166"/>
      <c r="H67" s="166"/>
      <c r="I67" s="166"/>
      <c r="J67" s="666">
        <f>J65</f>
        <v>2100</v>
      </c>
      <c r="K67" s="667">
        <f>K65</f>
        <v>131.25</v>
      </c>
      <c r="L67" s="665"/>
      <c r="M67" s="166"/>
      <c r="N67" s="166"/>
      <c r="O67" s="166"/>
      <c r="P67" s="166"/>
      <c r="Q67" s="666">
        <f>Q65</f>
        <v>500</v>
      </c>
      <c r="R67" s="667">
        <f>R65</f>
        <v>31.25</v>
      </c>
      <c r="S67" s="665"/>
      <c r="T67" s="166"/>
      <c r="U67" s="166"/>
      <c r="V67" s="166"/>
      <c r="W67" s="166"/>
      <c r="X67" s="666">
        <f>X65</f>
        <v>500</v>
      </c>
      <c r="Y67" s="667">
        <f>Y65</f>
        <v>31.25</v>
      </c>
      <c r="Z67" s="665"/>
      <c r="AA67" s="166"/>
      <c r="AB67" s="166"/>
      <c r="AC67" s="166"/>
      <c r="AD67" s="166"/>
      <c r="AE67" s="666">
        <f>AE65</f>
        <v>500</v>
      </c>
      <c r="AF67" s="667">
        <f>AF65</f>
        <v>31.25</v>
      </c>
    </row>
    <row r="68" spans="2:32" x14ac:dyDescent="0.3">
      <c r="B68" s="178" t="s">
        <v>88</v>
      </c>
      <c r="C68" s="311"/>
      <c r="D68" s="18" t="s">
        <v>573</v>
      </c>
      <c r="E68" s="668"/>
      <c r="F68" s="99"/>
      <c r="G68" s="99"/>
      <c r="H68" s="99"/>
      <c r="I68" s="99"/>
      <c r="J68" s="536"/>
      <c r="K68" s="659">
        <f>K69/K10</f>
        <v>191.17311573333333</v>
      </c>
      <c r="L68" s="668"/>
      <c r="M68" s="99"/>
      <c r="N68" s="99"/>
      <c r="O68" s="99"/>
      <c r="P68" s="99"/>
      <c r="Q68" s="536"/>
      <c r="R68" s="659">
        <f>R69/R10</f>
        <v>559.31199716383537</v>
      </c>
      <c r="S68" s="668"/>
      <c r="T68" s="99"/>
      <c r="U68" s="99"/>
      <c r="V68" s="99"/>
      <c r="W68" s="99"/>
      <c r="X68" s="536"/>
      <c r="Y68" s="659">
        <f>Y69/Y10</f>
        <v>345.94668464936643</v>
      </c>
      <c r="Z68" s="668"/>
      <c r="AA68" s="99"/>
      <c r="AB68" s="99"/>
      <c r="AC68" s="99"/>
      <c r="AD68" s="99"/>
      <c r="AE68" s="536"/>
      <c r="AF68" s="659">
        <f>AF69/AF10</f>
        <v>204.93186184489329</v>
      </c>
    </row>
    <row r="69" spans="2:32" x14ac:dyDescent="0.3">
      <c r="B69" s="626"/>
      <c r="C69" s="312"/>
      <c r="D69" s="179" t="s">
        <v>571</v>
      </c>
      <c r="E69" s="669"/>
      <c r="F69" s="100"/>
      <c r="G69" s="100"/>
      <c r="H69" s="100"/>
      <c r="I69" s="100"/>
      <c r="J69" s="538">
        <f>J42+J64+J67</f>
        <v>22939.912</v>
      </c>
      <c r="K69" s="670">
        <f>K42+K64+K67</f>
        <v>1493.5399666666667</v>
      </c>
      <c r="L69" s="669"/>
      <c r="M69" s="100"/>
      <c r="N69" s="100"/>
      <c r="O69" s="100"/>
      <c r="P69" s="100"/>
      <c r="Q69" s="538">
        <f>Q42+Q64+Q67</f>
        <v>97784.335999999996</v>
      </c>
      <c r="R69" s="670">
        <f>R42+R64+R67</f>
        <v>6244.8932333333332</v>
      </c>
      <c r="S69" s="669"/>
      <c r="T69" s="100"/>
      <c r="U69" s="100"/>
      <c r="V69" s="100"/>
      <c r="W69" s="100"/>
      <c r="X69" s="538">
        <f>X42+X64+X67</f>
        <v>57580.675000000003</v>
      </c>
      <c r="Y69" s="670">
        <f>Y42+Y64+Y67</f>
        <v>3724.6421875000005</v>
      </c>
      <c r="Z69" s="669"/>
      <c r="AA69" s="100"/>
      <c r="AB69" s="100"/>
      <c r="AC69" s="100"/>
      <c r="AD69" s="100"/>
      <c r="AE69" s="538">
        <f>AE42+AE64+AE67</f>
        <v>46081.175000000003</v>
      </c>
      <c r="AF69" s="670">
        <f>AF42+AF64+AF67</f>
        <v>3022.3180208333333</v>
      </c>
    </row>
    <row r="70" spans="2:32" x14ac:dyDescent="0.3">
      <c r="B70" s="178" t="s">
        <v>27</v>
      </c>
      <c r="C70" s="311"/>
      <c r="D70" s="18" t="s">
        <v>573</v>
      </c>
      <c r="E70" s="644"/>
      <c r="F70" s="671"/>
      <c r="G70" s="671"/>
      <c r="H70" s="671"/>
      <c r="I70" s="671"/>
      <c r="J70" s="646"/>
      <c r="K70" s="647">
        <f>K71/K10</f>
        <v>138.69680426666665</v>
      </c>
      <c r="L70" s="644"/>
      <c r="M70" s="671"/>
      <c r="N70" s="671"/>
      <c r="O70" s="671"/>
      <c r="P70" s="671"/>
      <c r="Q70" s="646"/>
      <c r="R70" s="647">
        <f>R71/R10</f>
        <v>-247.57045667851534</v>
      </c>
      <c r="S70" s="644"/>
      <c r="T70" s="671"/>
      <c r="U70" s="671"/>
      <c r="V70" s="671"/>
      <c r="W70" s="671"/>
      <c r="X70" s="646"/>
      <c r="Y70" s="647">
        <f>Y71/Y10</f>
        <v>-32.640518544175393</v>
      </c>
      <c r="Z70" s="644"/>
      <c r="AA70" s="671"/>
      <c r="AB70" s="671"/>
      <c r="AC70" s="671"/>
      <c r="AD70" s="671"/>
      <c r="AE70" s="646"/>
      <c r="AF70" s="647">
        <f>AF71/AF10</f>
        <v>96.548248340161081</v>
      </c>
    </row>
    <row r="71" spans="2:32" x14ac:dyDescent="0.3">
      <c r="B71" s="626"/>
      <c r="C71" s="313"/>
      <c r="D71" s="179" t="s">
        <v>571</v>
      </c>
      <c r="E71" s="649"/>
      <c r="F71" s="672"/>
      <c r="G71" s="672"/>
      <c r="H71" s="672"/>
      <c r="I71" s="672"/>
      <c r="J71" s="651">
        <f>J18-J69</f>
        <v>18293.827999999998</v>
      </c>
      <c r="K71" s="652">
        <f>K18-K69</f>
        <v>1083.5687833333332</v>
      </c>
      <c r="L71" s="649"/>
      <c r="M71" s="672"/>
      <c r="N71" s="672"/>
      <c r="O71" s="672"/>
      <c r="P71" s="672"/>
      <c r="Q71" s="651">
        <f>Q18-Q69</f>
        <v>-42093.26850000002</v>
      </c>
      <c r="R71" s="652">
        <f>R18-R69</f>
        <v>-2764.2015145833348</v>
      </c>
      <c r="S71" s="649"/>
      <c r="T71" s="672"/>
      <c r="U71" s="672"/>
      <c r="V71" s="672"/>
      <c r="W71" s="672"/>
      <c r="X71" s="651">
        <f>X18-X69</f>
        <v>-3609.1971666666723</v>
      </c>
      <c r="Y71" s="652">
        <f>Y18-Y69</f>
        <v>-351.42482291666738</v>
      </c>
      <c r="Z71" s="649"/>
      <c r="AA71" s="672"/>
      <c r="AB71" s="672"/>
      <c r="AC71" s="672"/>
      <c r="AD71" s="672"/>
      <c r="AE71" s="651">
        <f>AE18-AE69</f>
        <v>25058.08166666668</v>
      </c>
      <c r="AF71" s="652">
        <f>AF18-AF69</f>
        <v>1423.8855208333343</v>
      </c>
    </row>
    <row r="72" spans="2:32" x14ac:dyDescent="0.3">
      <c r="B72" s="439"/>
      <c r="C72" s="439"/>
      <c r="D72" s="439"/>
      <c r="E72" s="439"/>
      <c r="F72" s="439"/>
      <c r="G72" s="439"/>
      <c r="H72" s="439"/>
      <c r="I72" s="439"/>
      <c r="J72" s="439"/>
      <c r="K72" s="439"/>
      <c r="L72" s="439"/>
      <c r="M72" s="439"/>
      <c r="N72" s="439"/>
      <c r="O72" s="439"/>
      <c r="P72" s="439"/>
      <c r="Q72" s="439"/>
      <c r="R72" s="439"/>
      <c r="S72" s="439"/>
      <c r="T72" s="439"/>
      <c r="U72" s="439"/>
      <c r="V72" s="439"/>
      <c r="W72" s="439"/>
      <c r="X72" s="439"/>
      <c r="Y72" s="439"/>
      <c r="Z72" s="439"/>
      <c r="AA72" s="439"/>
      <c r="AB72" s="439"/>
      <c r="AC72" s="439"/>
      <c r="AD72" s="439"/>
      <c r="AE72" s="439"/>
      <c r="AF72" s="439"/>
    </row>
    <row r="73" spans="2:32" x14ac:dyDescent="0.3">
      <c r="B73" s="439"/>
      <c r="C73" s="439"/>
      <c r="D73" s="439"/>
      <c r="E73" s="439"/>
      <c r="F73" s="439"/>
      <c r="G73" s="439"/>
      <c r="H73" s="439"/>
      <c r="I73" s="439"/>
      <c r="J73" s="439"/>
      <c r="K73" s="439"/>
      <c r="L73" s="439"/>
      <c r="M73" s="439"/>
      <c r="N73" s="439"/>
      <c r="O73" s="439"/>
      <c r="P73" s="439"/>
      <c r="Q73" s="439"/>
      <c r="R73" s="439"/>
      <c r="S73" s="439"/>
      <c r="T73" s="439"/>
      <c r="U73" s="439"/>
      <c r="V73" s="439"/>
      <c r="W73" s="439"/>
      <c r="X73" s="439"/>
      <c r="Y73" s="439"/>
      <c r="Z73" s="439"/>
      <c r="AA73" s="439"/>
      <c r="AB73" s="439"/>
      <c r="AC73" s="439"/>
      <c r="AD73" s="439"/>
      <c r="AE73" s="439"/>
      <c r="AF73" s="439"/>
    </row>
    <row r="74" spans="2:32" x14ac:dyDescent="0.3">
      <c r="B74" s="570"/>
      <c r="C74" s="673" t="s">
        <v>373</v>
      </c>
      <c r="D74" s="439"/>
      <c r="E74" s="439"/>
      <c r="F74" s="439"/>
      <c r="G74" s="439"/>
      <c r="H74" s="439"/>
      <c r="I74" s="439"/>
      <c r="J74" s="439"/>
      <c r="K74" s="439"/>
      <c r="L74" s="439"/>
      <c r="M74" s="439"/>
      <c r="N74" s="439"/>
      <c r="O74" s="439"/>
      <c r="P74" s="439"/>
      <c r="Q74" s="439"/>
      <c r="R74" s="439"/>
      <c r="S74" s="439"/>
      <c r="T74" s="439"/>
      <c r="U74" s="439"/>
      <c r="V74" s="439"/>
      <c r="W74" s="439"/>
      <c r="X74" s="439"/>
      <c r="Y74" s="439"/>
      <c r="Z74" s="439"/>
      <c r="AA74" s="439"/>
      <c r="AB74" s="439"/>
      <c r="AC74" s="439"/>
      <c r="AD74" s="439"/>
      <c r="AE74" s="439"/>
      <c r="AF74" s="439"/>
    </row>
    <row r="75" spans="2:32" x14ac:dyDescent="0.3">
      <c r="B75" s="569"/>
      <c r="C75" s="673" t="s">
        <v>372</v>
      </c>
      <c r="D75" s="439"/>
      <c r="E75" s="439"/>
      <c r="F75" s="439"/>
      <c r="G75" s="439"/>
      <c r="H75" s="439"/>
      <c r="I75" s="439"/>
      <c r="J75" s="439"/>
      <c r="K75" s="439"/>
      <c r="L75" s="439"/>
      <c r="M75" s="439"/>
      <c r="N75" s="439"/>
      <c r="O75" s="439"/>
      <c r="P75" s="439"/>
      <c r="Q75" s="439"/>
      <c r="R75" s="439"/>
      <c r="S75" s="439"/>
      <c r="T75" s="439"/>
      <c r="U75" s="439"/>
      <c r="V75" s="439"/>
      <c r="W75" s="439"/>
      <c r="X75" s="439"/>
      <c r="Y75" s="439"/>
      <c r="Z75" s="439"/>
      <c r="AA75" s="439"/>
      <c r="AB75" s="439"/>
      <c r="AC75" s="439"/>
      <c r="AD75" s="439"/>
      <c r="AE75" s="439"/>
      <c r="AF75" s="439"/>
    </row>
    <row r="76" spans="2:32" x14ac:dyDescent="0.3"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</row>
    <row r="77" spans="2:32" x14ac:dyDescent="0.3"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</row>
    <row r="78" spans="2:32" x14ac:dyDescent="0.3">
      <c r="B78" s="186"/>
      <c r="C78" s="24" t="s">
        <v>272</v>
      </c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</row>
    <row r="79" spans="2:32" x14ac:dyDescent="0.3"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</row>
    <row r="80" spans="2:32" x14ac:dyDescent="0.3"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</row>
    <row r="81" spans="2:32" x14ac:dyDescent="0.3"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</row>
    <row r="82" spans="2:32" x14ac:dyDescent="0.3"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</row>
    <row r="83" spans="2:32" x14ac:dyDescent="0.3"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</row>
    <row r="84" spans="2:32" x14ac:dyDescent="0.3"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</row>
    <row r="85" spans="2:32" x14ac:dyDescent="0.3"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</row>
    <row r="86" spans="2:32" x14ac:dyDescent="0.3"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</row>
    <row r="87" spans="2:32" x14ac:dyDescent="0.3"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</row>
    <row r="88" spans="2:32" x14ac:dyDescent="0.3"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</row>
    <row r="89" spans="2:32" x14ac:dyDescent="0.3"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</row>
    <row r="90" spans="2:32" x14ac:dyDescent="0.3"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</row>
    <row r="91" spans="2:32" x14ac:dyDescent="0.3"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</row>
    <row r="92" spans="2:32" x14ac:dyDescent="0.3"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</row>
    <row r="93" spans="2:32" x14ac:dyDescent="0.3"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</row>
    <row r="94" spans="2:32" x14ac:dyDescent="0.3"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</row>
    <row r="95" spans="2:32" x14ac:dyDescent="0.3"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</row>
  </sheetData>
  <mergeCells count="28">
    <mergeCell ref="AA7:AD7"/>
    <mergeCell ref="M8:M9"/>
    <mergeCell ref="F8:F9"/>
    <mergeCell ref="H8:H9"/>
    <mergeCell ref="I8:I9"/>
    <mergeCell ref="J8:J9"/>
    <mergeCell ref="K8:K9"/>
    <mergeCell ref="G8:G9"/>
    <mergeCell ref="F7:I7"/>
    <mergeCell ref="M7:P7"/>
    <mergeCell ref="T7:W7"/>
    <mergeCell ref="O8:O9"/>
    <mergeCell ref="P8:P9"/>
    <mergeCell ref="Q8:Q9"/>
    <mergeCell ref="R8:R9"/>
    <mergeCell ref="T8:T9"/>
    <mergeCell ref="V8:V9"/>
    <mergeCell ref="N8:N9"/>
    <mergeCell ref="U8:U9"/>
    <mergeCell ref="AE8:AE9"/>
    <mergeCell ref="AF8:AF9"/>
    <mergeCell ref="W8:W9"/>
    <mergeCell ref="X8:X9"/>
    <mergeCell ref="Y8:Y9"/>
    <mergeCell ref="AA8:AA9"/>
    <mergeCell ref="AC8:AC9"/>
    <mergeCell ref="AD8:AD9"/>
    <mergeCell ref="AB8:AB9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51"/>
  <sheetViews>
    <sheetView topLeftCell="B3" workbookViewId="0">
      <selection activeCell="B14" sqref="B14"/>
    </sheetView>
  </sheetViews>
  <sheetFormatPr defaultColWidth="9" defaultRowHeight="14" x14ac:dyDescent="0.3"/>
  <cols>
    <col min="2" max="2" width="32.58203125" customWidth="1"/>
    <col min="3" max="3" width="19.25" customWidth="1"/>
    <col min="5" max="9" width="11" bestFit="1" customWidth="1"/>
    <col min="13" max="13" width="33.83203125" customWidth="1"/>
  </cols>
  <sheetData>
    <row r="2" spans="1:24" ht="14.5" thickBot="1" x14ac:dyDescent="0.35">
      <c r="A2" s="366"/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</row>
    <row r="3" spans="1:24" ht="14.5" thickBot="1" x14ac:dyDescent="0.35">
      <c r="A3" s="366"/>
      <c r="B3" s="418" t="s">
        <v>585</v>
      </c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</row>
    <row r="4" spans="1:24" x14ac:dyDescent="0.3">
      <c r="A4" s="366"/>
      <c r="B4" s="366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509"/>
      <c r="N4" s="366"/>
      <c r="O4" s="366"/>
      <c r="P4" s="366"/>
      <c r="Q4" s="366"/>
      <c r="R4" s="366"/>
      <c r="S4" s="366"/>
      <c r="T4" s="366"/>
      <c r="U4" s="366"/>
      <c r="V4" s="366"/>
      <c r="W4" s="366"/>
      <c r="X4" s="366"/>
    </row>
    <row r="5" spans="1:24" x14ac:dyDescent="0.3">
      <c r="A5" s="366"/>
      <c r="B5" s="366"/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366"/>
      <c r="V5" s="366"/>
      <c r="W5" s="366"/>
      <c r="X5" s="366"/>
    </row>
    <row r="6" spans="1:24" x14ac:dyDescent="0.3">
      <c r="A6" s="366"/>
      <c r="B6" s="676" t="s">
        <v>339</v>
      </c>
      <c r="C6" s="677"/>
      <c r="D6" s="677"/>
      <c r="E6" s="677"/>
      <c r="F6" s="677"/>
      <c r="G6" s="677"/>
      <c r="H6" s="677"/>
      <c r="I6" s="678"/>
      <c r="J6" s="366"/>
      <c r="K6" s="366"/>
      <c r="L6" s="366"/>
      <c r="M6" s="676" t="s">
        <v>340</v>
      </c>
      <c r="N6" s="677"/>
      <c r="O6" s="677"/>
      <c r="P6" s="677"/>
      <c r="Q6" s="677"/>
      <c r="R6" s="677"/>
      <c r="S6" s="677"/>
      <c r="T6" s="677"/>
      <c r="U6" s="677"/>
      <c r="V6" s="677"/>
      <c r="W6" s="678"/>
      <c r="X6" s="366"/>
    </row>
    <row r="7" spans="1:24" ht="15" customHeight="1" x14ac:dyDescent="0.3">
      <c r="A7" s="366"/>
      <c r="B7" s="679"/>
      <c r="C7" s="680"/>
      <c r="D7" s="680"/>
      <c r="E7" s="681" t="str">
        <f>'Arable margins'!$E$12</f>
        <v>Wheat</v>
      </c>
      <c r="F7" s="681" t="str">
        <f>'Arable margins'!$F$12</f>
        <v>barley</v>
      </c>
      <c r="G7" s="681" t="str">
        <f>'Arable margins'!$G$12</f>
        <v>OSR</v>
      </c>
      <c r="H7" s="681" t="str">
        <f>'Arable margins'!$H$12</f>
        <v>Sugar beet</v>
      </c>
      <c r="I7" s="681" t="str">
        <f>'Arable margins'!$I$12</f>
        <v>Forage maize</v>
      </c>
      <c r="J7" s="366"/>
      <c r="K7" s="366"/>
      <c r="L7" s="366"/>
      <c r="M7" s="682"/>
      <c r="N7" s="415"/>
      <c r="O7" s="415"/>
      <c r="P7" s="683" t="str">
        <f>'Energy margins'!E6</f>
        <v>SRC</v>
      </c>
      <c r="Q7" s="684"/>
      <c r="R7" s="683" t="str">
        <f>'Energy margins'!L6</f>
        <v>Miscanthus</v>
      </c>
      <c r="S7" s="684"/>
      <c r="T7" s="685" t="str">
        <f>'Energy margins'!S6</f>
        <v>Sida</v>
      </c>
      <c r="U7" s="684"/>
      <c r="V7" s="685" t="str">
        <f>'Energy margins'!Z6</f>
        <v>Silphie</v>
      </c>
      <c r="W7" s="684"/>
      <c r="X7" s="366"/>
    </row>
    <row r="8" spans="1:24" ht="15" customHeight="1" x14ac:dyDescent="0.3">
      <c r="A8" s="366"/>
      <c r="B8" s="323" t="s">
        <v>269</v>
      </c>
      <c r="C8" s="314" t="s">
        <v>2</v>
      </c>
      <c r="D8" s="320" t="s">
        <v>573</v>
      </c>
      <c r="E8" s="343">
        <f>'Arable margins'!$E$16</f>
        <v>867</v>
      </c>
      <c r="F8" s="343">
        <f>'Arable margins'!$F$16</f>
        <v>721</v>
      </c>
      <c r="G8" s="343">
        <f>'Arable margins'!$G$16</f>
        <v>1645</v>
      </c>
      <c r="H8" s="343">
        <f>'Arable margins'!$H$16</f>
        <v>120</v>
      </c>
      <c r="I8" s="343">
        <f>'Arable margins'!$I$16</f>
        <v>724</v>
      </c>
      <c r="J8" s="366"/>
      <c r="K8" s="366"/>
      <c r="L8" s="366"/>
      <c r="M8" s="416"/>
      <c r="N8" s="415"/>
      <c r="O8" s="415"/>
      <c r="P8" s="1079" t="s">
        <v>263</v>
      </c>
      <c r="Q8" s="1076" t="s">
        <v>74</v>
      </c>
      <c r="R8" s="1079" t="s">
        <v>263</v>
      </c>
      <c r="S8" s="1076" t="s">
        <v>74</v>
      </c>
      <c r="T8" s="1079" t="s">
        <v>263</v>
      </c>
      <c r="U8" s="1076" t="s">
        <v>74</v>
      </c>
      <c r="V8" s="1079" t="s">
        <v>263</v>
      </c>
      <c r="W8" s="1076" t="s">
        <v>74</v>
      </c>
      <c r="X8" s="366"/>
    </row>
    <row r="9" spans="1:24" ht="15" customHeight="1" x14ac:dyDescent="0.3">
      <c r="A9" s="366"/>
      <c r="B9" s="324"/>
      <c r="C9" s="315" t="s">
        <v>3</v>
      </c>
      <c r="D9" s="321" t="s">
        <v>573</v>
      </c>
      <c r="E9" s="344">
        <f>'Arable margins'!$E$17</f>
        <v>140</v>
      </c>
      <c r="F9" s="344">
        <f>'Arable margins'!$F$17</f>
        <v>120</v>
      </c>
      <c r="G9" s="344">
        <f>'Arable margins'!$G$17</f>
        <v>120</v>
      </c>
      <c r="H9" s="319"/>
      <c r="I9" s="319"/>
      <c r="J9" s="366"/>
      <c r="K9" s="366"/>
      <c r="L9" s="366"/>
      <c r="M9" s="416"/>
      <c r="N9" s="415"/>
      <c r="O9" s="415"/>
      <c r="P9" s="1080"/>
      <c r="Q9" s="1077"/>
      <c r="R9" s="1080"/>
      <c r="S9" s="1077"/>
      <c r="T9" s="1080"/>
      <c r="U9" s="1077"/>
      <c r="V9" s="1080"/>
      <c r="W9" s="1077"/>
      <c r="X9" s="366"/>
    </row>
    <row r="10" spans="1:24" ht="15" customHeight="1" x14ac:dyDescent="0.3">
      <c r="A10" s="366"/>
      <c r="B10" s="324"/>
      <c r="C10" s="314" t="s">
        <v>2</v>
      </c>
      <c r="D10" s="322" t="s">
        <v>571</v>
      </c>
      <c r="E10" s="343">
        <f>'Arable margins'!$E$16*'Arable margins'!$E$13</f>
        <v>3988.2</v>
      </c>
      <c r="F10" s="343">
        <f>'Arable margins'!$F$16*'Arable margins'!$F$13</f>
        <v>1802.5</v>
      </c>
      <c r="G10" s="343">
        <f>'Arable margins'!$G$16*'Arable margins'!$G$13</f>
        <v>5757.5</v>
      </c>
      <c r="H10" s="343">
        <f>'Arable margins'!$H$16*'Arable margins'!$H$13</f>
        <v>6816</v>
      </c>
      <c r="I10" s="343">
        <f>'Arable margins'!$I$16*'Arable margins'!$I$13</f>
        <v>8688</v>
      </c>
      <c r="J10" s="366"/>
      <c r="K10" s="366"/>
      <c r="L10" s="366"/>
      <c r="M10" s="686"/>
      <c r="N10" s="415"/>
      <c r="O10" s="415"/>
      <c r="P10" s="1081"/>
      <c r="Q10" s="1078"/>
      <c r="R10" s="1081"/>
      <c r="S10" s="1078"/>
      <c r="T10" s="1081"/>
      <c r="U10" s="1078"/>
      <c r="V10" s="1081"/>
      <c r="W10" s="1078"/>
      <c r="X10" s="366"/>
    </row>
    <row r="11" spans="1:24" ht="15" customHeight="1" x14ac:dyDescent="0.3">
      <c r="A11" s="366"/>
      <c r="B11" s="324"/>
      <c r="C11" s="315" t="s">
        <v>3</v>
      </c>
      <c r="D11" s="322" t="s">
        <v>571</v>
      </c>
      <c r="E11" s="344">
        <f>'Arable margins'!$E$17*'Arable margins'!$E$14</f>
        <v>686</v>
      </c>
      <c r="F11" s="344">
        <f>'Arable margins'!$F$17*'Arable margins'!$F$14</f>
        <v>360</v>
      </c>
      <c r="G11" s="344">
        <f>'Arable margins'!$G$17*'Arable margins'!$G$14</f>
        <v>672</v>
      </c>
      <c r="H11" s="319"/>
      <c r="I11" s="319"/>
      <c r="J11" s="366"/>
      <c r="K11" s="366"/>
      <c r="L11" s="366"/>
      <c r="M11" s="184" t="s">
        <v>269</v>
      </c>
      <c r="N11" s="187"/>
      <c r="O11" s="117" t="s">
        <v>573</v>
      </c>
      <c r="P11" s="687"/>
      <c r="Q11" s="688">
        <f>'Energy margins'!$E$12</f>
        <v>269.5</v>
      </c>
      <c r="R11" s="689"/>
      <c r="S11" s="688">
        <f>'Energy margins'!$L$12</f>
        <v>269.5</v>
      </c>
      <c r="T11" s="689"/>
      <c r="U11" s="688">
        <f>'Energy margins'!$S$12</f>
        <v>269.5</v>
      </c>
      <c r="V11" s="689"/>
      <c r="W11" s="688">
        <f>'Energy margins'!$Z$12</f>
        <v>269.5</v>
      </c>
      <c r="X11" s="366"/>
    </row>
    <row r="12" spans="1:24" ht="15" customHeight="1" x14ac:dyDescent="0.3">
      <c r="A12" s="366"/>
      <c r="B12" s="690"/>
      <c r="C12" s="331" t="s">
        <v>10</v>
      </c>
      <c r="D12" s="333" t="s">
        <v>571</v>
      </c>
      <c r="E12" s="691">
        <f>E10+E11</f>
        <v>4674.2</v>
      </c>
      <c r="F12" s="691">
        <f>F10+F11</f>
        <v>2162.5</v>
      </c>
      <c r="G12" s="691">
        <f>G10+G11</f>
        <v>6429.5</v>
      </c>
      <c r="H12" s="691">
        <f>H10+H11</f>
        <v>6816</v>
      </c>
      <c r="I12" s="691">
        <f>I10+I11</f>
        <v>8688</v>
      </c>
      <c r="J12" s="366"/>
      <c r="K12" s="366"/>
      <c r="L12" s="366"/>
      <c r="M12" s="692"/>
      <c r="N12" s="190"/>
      <c r="O12" s="351" t="s">
        <v>571</v>
      </c>
      <c r="P12" s="693">
        <f>'Energy margins'!$J$14</f>
        <v>33687.5</v>
      </c>
      <c r="Q12" s="693">
        <f>'Energy margins'!$K$14</f>
        <v>2105.46875</v>
      </c>
      <c r="R12" s="693">
        <f>'Energy margins'!$Q$14</f>
        <v>48144.827499999978</v>
      </c>
      <c r="S12" s="693">
        <f>'Energy margins'!$R$14</f>
        <v>3009.0517187499986</v>
      </c>
      <c r="T12" s="693">
        <f>'Energy margins'!$X$14</f>
        <v>46425.237833333333</v>
      </c>
      <c r="U12" s="693">
        <f>'Energy margins'!$Y$14</f>
        <v>2901.5773645833333</v>
      </c>
      <c r="V12" s="693">
        <f>'Energy margins'!$AE$14</f>
        <v>63593.016666666685</v>
      </c>
      <c r="W12" s="693">
        <f>'Energy margins'!$AF$14</f>
        <v>3974.5635416666678</v>
      </c>
      <c r="X12" s="366"/>
    </row>
    <row r="13" spans="1:24" ht="15" customHeight="1" x14ac:dyDescent="0.3">
      <c r="A13" s="366"/>
      <c r="B13" s="325" t="str">
        <f>'Arable margins'!C18</f>
        <v>CAP</v>
      </c>
      <c r="C13" s="316"/>
      <c r="D13" s="333" t="s">
        <v>571</v>
      </c>
      <c r="E13" s="694">
        <f>'Arable margins'!$E$18</f>
        <v>471.64</v>
      </c>
      <c r="F13" s="694">
        <f>'Arable margins'!$F$18</f>
        <v>471.64</v>
      </c>
      <c r="G13" s="694">
        <f>'Arable margins'!$G$18</f>
        <v>471.64</v>
      </c>
      <c r="H13" s="694">
        <f>'Arable margins'!$H$18</f>
        <v>471.64</v>
      </c>
      <c r="I13" s="694">
        <f>'Arable margins'!$I$18</f>
        <v>471.64</v>
      </c>
      <c r="J13" s="366"/>
      <c r="K13" s="366"/>
      <c r="L13" s="366"/>
      <c r="M13" s="189" t="str">
        <f>'Energy margins'!C15</f>
        <v>Planting subsidy</v>
      </c>
      <c r="N13" s="695"/>
      <c r="O13" s="771" t="s">
        <v>571</v>
      </c>
      <c r="P13" s="696">
        <f>'Energy margins'!$J$15</f>
        <v>0</v>
      </c>
      <c r="Q13" s="696">
        <f>'Energy margins'!$K$15</f>
        <v>0</v>
      </c>
      <c r="R13" s="697">
        <f>'Energy margins'!$Q$15</f>
        <v>0</v>
      </c>
      <c r="S13" s="698">
        <f>'Energy margins'!$R$15</f>
        <v>0</v>
      </c>
      <c r="T13" s="698">
        <f>'Energy margins'!$X$15</f>
        <v>0</v>
      </c>
      <c r="U13" s="698">
        <f>'Energy margins'!$Y$15</f>
        <v>0</v>
      </c>
      <c r="V13" s="698">
        <f>'Energy margins'!$AE$15</f>
        <v>0</v>
      </c>
      <c r="W13" s="698">
        <f>'Energy margins'!$AF$15</f>
        <v>0</v>
      </c>
      <c r="X13" s="366"/>
    </row>
    <row r="14" spans="1:24" ht="15" customHeight="1" x14ac:dyDescent="0.3">
      <c r="A14" s="366"/>
      <c r="B14" s="323" t="s">
        <v>630</v>
      </c>
      <c r="C14" s="317" t="s">
        <v>2</v>
      </c>
      <c r="D14" s="320" t="s">
        <v>573</v>
      </c>
      <c r="E14" s="343">
        <f>'Arable margins'!$E$19</f>
        <v>969.53043478260884</v>
      </c>
      <c r="F14" s="343">
        <f>'Arable margins'!$F$19</f>
        <v>909.65599999999995</v>
      </c>
      <c r="G14" s="343">
        <f>'Arable margins'!$G$19</f>
        <v>1779.7542857142857</v>
      </c>
      <c r="H14" s="343">
        <f>'Arable margins'!$H$19</f>
        <v>128.30352112676059</v>
      </c>
      <c r="I14" s="343">
        <f>'Arable margins'!$I$19</f>
        <v>763.30333333333328</v>
      </c>
      <c r="J14" s="366"/>
      <c r="K14" s="366"/>
      <c r="L14" s="366"/>
      <c r="M14" s="191" t="str">
        <f>'Energy margins'!C16</f>
        <v>CAP</v>
      </c>
      <c r="N14" s="695"/>
      <c r="O14" s="350" t="s">
        <v>571</v>
      </c>
      <c r="P14" s="699">
        <f>'Energy margins'!$J$16</f>
        <v>7546.24</v>
      </c>
      <c r="Q14" s="699">
        <f>'Energy margins'!$K$16</f>
        <v>471.64</v>
      </c>
      <c r="R14" s="700">
        <f>'Energy margins'!$Q$16</f>
        <v>7546.24</v>
      </c>
      <c r="S14" s="701">
        <f>'Energy margins'!$R$16</f>
        <v>471.64</v>
      </c>
      <c r="T14" s="701">
        <f>'Energy margins'!$X$16</f>
        <v>7546.24</v>
      </c>
      <c r="U14" s="701">
        <f>'Energy margins'!$Y$16</f>
        <v>471.64</v>
      </c>
      <c r="V14" s="701">
        <f>'Energy margins'!$AE$16</f>
        <v>7546.24</v>
      </c>
      <c r="W14" s="701">
        <f>'Energy margins'!$AF$16</f>
        <v>471.64</v>
      </c>
      <c r="X14" s="366"/>
    </row>
    <row r="15" spans="1:24" ht="15" customHeight="1" x14ac:dyDescent="0.3">
      <c r="A15" s="366"/>
      <c r="B15" s="324"/>
      <c r="C15" s="317" t="s">
        <v>3</v>
      </c>
      <c r="D15" s="321" t="s">
        <v>573</v>
      </c>
      <c r="E15" s="702">
        <f>'Arable margins'!$E$20</f>
        <v>140</v>
      </c>
      <c r="F15" s="702">
        <f>'Arable margins'!$F$20</f>
        <v>120</v>
      </c>
      <c r="G15" s="702">
        <f>'Arable margins'!G20</f>
        <v>120.00000000000001</v>
      </c>
      <c r="H15" s="703"/>
      <c r="I15" s="703"/>
      <c r="J15" s="366"/>
      <c r="K15" s="366"/>
      <c r="L15" s="366"/>
      <c r="M15" s="704"/>
      <c r="N15" s="705"/>
      <c r="O15" s="705"/>
      <c r="P15" s="705"/>
      <c r="Q15" s="705"/>
      <c r="R15" s="705"/>
      <c r="S15" s="705"/>
      <c r="T15" s="704"/>
      <c r="U15" s="705"/>
      <c r="V15" s="705"/>
      <c r="W15" s="706"/>
      <c r="X15" s="366"/>
    </row>
    <row r="16" spans="1:24" ht="15" customHeight="1" x14ac:dyDescent="0.3">
      <c r="A16" s="366"/>
      <c r="B16" s="324"/>
      <c r="C16" s="314" t="s">
        <v>2</v>
      </c>
      <c r="D16" s="322" t="s">
        <v>571</v>
      </c>
      <c r="E16" s="344">
        <f>'Arable margins'!$E$21</f>
        <v>4459.84</v>
      </c>
      <c r="F16" s="344">
        <f>'Arable margins'!$F$21</f>
        <v>2274.14</v>
      </c>
      <c r="G16" s="344">
        <f>'Arable margins'!$G$21</f>
        <v>6229.14</v>
      </c>
      <c r="H16" s="344">
        <f>'Arable margins'!$H$21</f>
        <v>7287.64</v>
      </c>
      <c r="I16" s="344">
        <f>'Arable margins'!$I$21</f>
        <v>9159.64</v>
      </c>
      <c r="J16" s="366"/>
      <c r="K16" s="366"/>
      <c r="L16" s="366"/>
      <c r="M16" s="184" t="s">
        <v>630</v>
      </c>
      <c r="N16" s="187"/>
      <c r="O16" s="117" t="s">
        <v>573</v>
      </c>
      <c r="P16" s="689"/>
      <c r="Q16" s="688">
        <f>'Energy margins'!$K$17</f>
        <v>329.86991999999998</v>
      </c>
      <c r="R16" s="689"/>
      <c r="S16" s="688">
        <f>'Energy margins'!$R$17</f>
        <v>311.74154048532006</v>
      </c>
      <c r="T16" s="689"/>
      <c r="U16" s="688">
        <f>'Energy margins'!$Y$17</f>
        <v>313.30616610519104</v>
      </c>
      <c r="V16" s="689"/>
      <c r="W16" s="688">
        <f>'Energy margins'!$AF$17</f>
        <v>301.4801101850544</v>
      </c>
      <c r="X16" s="366"/>
    </row>
    <row r="17" spans="1:24" ht="15" customHeight="1" x14ac:dyDescent="0.3">
      <c r="A17" s="366"/>
      <c r="B17" s="324"/>
      <c r="C17" s="315" t="s">
        <v>3</v>
      </c>
      <c r="D17" s="322" t="s">
        <v>571</v>
      </c>
      <c r="E17" s="344">
        <f>'Arable margins'!$E$22</f>
        <v>686</v>
      </c>
      <c r="F17" s="344">
        <f>'Arable margins'!$F$22</f>
        <v>360</v>
      </c>
      <c r="G17" s="344">
        <f>'Arable margins'!$G$22</f>
        <v>672</v>
      </c>
      <c r="H17" s="319"/>
      <c r="I17" s="319"/>
      <c r="J17" s="366"/>
      <c r="K17" s="366"/>
      <c r="L17" s="366"/>
      <c r="M17" s="692"/>
      <c r="N17" s="188"/>
      <c r="O17" s="351" t="s">
        <v>571</v>
      </c>
      <c r="P17" s="707">
        <f>'Energy margins'!$J$18</f>
        <v>41233.74</v>
      </c>
      <c r="Q17" s="707">
        <f>'Energy margins'!$K$18</f>
        <v>2577.1087499999999</v>
      </c>
      <c r="R17" s="707">
        <f>'Energy margins'!$Q$18</f>
        <v>55691.067499999976</v>
      </c>
      <c r="S17" s="707">
        <f>'Energy margins'!$R$18</f>
        <v>3480.6917187499985</v>
      </c>
      <c r="T17" s="707">
        <f>'Energy margins'!$X$18</f>
        <v>53971.477833333331</v>
      </c>
      <c r="U17" s="707">
        <f>'Energy margins'!$Y$18</f>
        <v>3373.2173645833332</v>
      </c>
      <c r="V17" s="707">
        <f>'Energy margins'!$AE$18</f>
        <v>71139.256666666683</v>
      </c>
      <c r="W17" s="707">
        <f>'Energy margins'!$AF$18</f>
        <v>4446.2035416666677</v>
      </c>
      <c r="X17" s="366"/>
    </row>
    <row r="18" spans="1:24" ht="15" customHeight="1" x14ac:dyDescent="0.3">
      <c r="A18" s="366"/>
      <c r="B18" s="690"/>
      <c r="C18" s="331" t="s">
        <v>10</v>
      </c>
      <c r="D18" s="333" t="s">
        <v>571</v>
      </c>
      <c r="E18" s="346">
        <f>'Arable margins'!$E$23</f>
        <v>5145.84</v>
      </c>
      <c r="F18" s="346">
        <f>'Arable margins'!$F$23</f>
        <v>2634.14</v>
      </c>
      <c r="G18" s="346">
        <f>'Arable margins'!$G$23</f>
        <v>6901.14</v>
      </c>
      <c r="H18" s="346">
        <f>'Arable margins'!$H$23</f>
        <v>7287.64</v>
      </c>
      <c r="I18" s="346">
        <f>'Arable margins'!$I$23</f>
        <v>9159.64</v>
      </c>
      <c r="J18" s="366"/>
      <c r="K18" s="366"/>
      <c r="L18" s="366"/>
      <c r="M18" s="708"/>
      <c r="N18" s="709"/>
      <c r="O18" s="709"/>
      <c r="P18" s="709"/>
      <c r="Q18" s="709"/>
      <c r="R18" s="709"/>
      <c r="S18" s="709"/>
      <c r="T18" s="709"/>
      <c r="U18" s="709"/>
      <c r="V18" s="709"/>
      <c r="W18" s="710"/>
      <c r="X18" s="366"/>
    </row>
    <row r="19" spans="1:24" ht="15" customHeight="1" x14ac:dyDescent="0.3">
      <c r="A19" s="366"/>
      <c r="B19" s="711"/>
      <c r="C19" s="712"/>
      <c r="D19" s="713"/>
      <c r="E19" s="713"/>
      <c r="F19" s="713"/>
      <c r="G19" s="713"/>
      <c r="H19" s="713"/>
      <c r="I19" s="714"/>
      <c r="J19" s="366"/>
      <c r="K19" s="366"/>
      <c r="L19" s="366"/>
      <c r="M19" s="192" t="str">
        <f>'Energy margins'!B41</f>
        <v>Total establishment costs</v>
      </c>
      <c r="N19" s="115"/>
      <c r="O19" s="117" t="s">
        <v>573</v>
      </c>
      <c r="P19" s="689"/>
      <c r="Q19" s="688">
        <f>'Energy margins'!$K$41</f>
        <v>60.349759999999996</v>
      </c>
      <c r="R19" s="689"/>
      <c r="S19" s="688">
        <f>'Energy margins'!$R$41</f>
        <v>371.49885713752616</v>
      </c>
      <c r="T19" s="689"/>
      <c r="U19" s="688">
        <f>'Energy margins'!$Y$41</f>
        <v>162.35565303709612</v>
      </c>
      <c r="V19" s="689"/>
      <c r="W19" s="688">
        <f>'Energy margins'!$AF$41</f>
        <v>46.430661110326305</v>
      </c>
      <c r="X19" s="366"/>
    </row>
    <row r="20" spans="1:24" ht="15" customHeight="1" x14ac:dyDescent="0.3">
      <c r="A20" s="366"/>
      <c r="B20" s="326" t="s">
        <v>236</v>
      </c>
      <c r="C20" s="314" t="str">
        <f>'Arable margins'!C43</f>
        <v>Main crop</v>
      </c>
      <c r="D20" s="320" t="s">
        <v>573</v>
      </c>
      <c r="E20" s="334">
        <f>'Arable margins'!$E$43</f>
        <v>526.81830434782626</v>
      </c>
      <c r="F20" s="334">
        <f>'Arable margins'!$F$43</f>
        <v>708.37223599999993</v>
      </c>
      <c r="G20" s="334">
        <f>'Arable margins'!$G$43</f>
        <v>917.16507142857142</v>
      </c>
      <c r="H20" s="334">
        <f>'Arable margins'!$H$43</f>
        <v>64.230744718309865</v>
      </c>
      <c r="I20" s="334">
        <f>'Arable margins'!I43</f>
        <v>206.19767666666667</v>
      </c>
      <c r="J20" s="366"/>
      <c r="K20" s="366"/>
      <c r="L20" s="366"/>
      <c r="M20" s="185"/>
      <c r="N20" s="116"/>
      <c r="O20" s="351" t="s">
        <v>571</v>
      </c>
      <c r="P20" s="707">
        <f>'Energy margins'!$J$42</f>
        <v>7477.7999999999993</v>
      </c>
      <c r="Q20" s="707">
        <f>'Energy margins'!$K$42</f>
        <v>471.48249999999996</v>
      </c>
      <c r="R20" s="707">
        <f>'Energy margins'!$Q$42</f>
        <v>66298.2</v>
      </c>
      <c r="S20" s="707">
        <f>'Energy margins'!$R$42</f>
        <v>4147.9008333333331</v>
      </c>
      <c r="T20" s="707">
        <f>'Energy margins'!$X$42</f>
        <v>27899.875000000004</v>
      </c>
      <c r="U20" s="707">
        <f>'Energy margins'!$Y$42</f>
        <v>1748.0055208333335</v>
      </c>
      <c r="V20" s="707">
        <f>'Energy margins'!$AE$42</f>
        <v>10887.875</v>
      </c>
      <c r="W20" s="707">
        <f>'Energy margins'!$AF$42</f>
        <v>684.75552083333332</v>
      </c>
      <c r="X20" s="366"/>
    </row>
    <row r="21" spans="1:24" ht="15" customHeight="1" x14ac:dyDescent="0.3">
      <c r="A21" s="366"/>
      <c r="B21" s="327"/>
      <c r="C21" s="318" t="str">
        <f>'Arable margins'!C44</f>
        <v>Straw</v>
      </c>
      <c r="D21" s="321" t="s">
        <v>573</v>
      </c>
      <c r="E21" s="335">
        <f>'Arable margins'!$E$44</f>
        <v>62.85</v>
      </c>
      <c r="F21" s="335">
        <f>'Arable margins'!$F$44</f>
        <v>62.85</v>
      </c>
      <c r="G21" s="335">
        <f>'Arable margins'!$G$44</f>
        <v>62.85</v>
      </c>
      <c r="H21" s="338"/>
      <c r="I21" s="338"/>
      <c r="J21" s="366"/>
      <c r="K21" s="366"/>
      <c r="L21" s="366"/>
      <c r="M21" s="192" t="str">
        <f>'Energy margins'!B63</f>
        <v>Total recurring costs</v>
      </c>
      <c r="N21" s="115"/>
      <c r="O21" s="117" t="s">
        <v>573</v>
      </c>
      <c r="P21" s="689"/>
      <c r="Q21" s="688">
        <f>'Energy margins'!$K$63</f>
        <v>114.02335573333333</v>
      </c>
      <c r="R21" s="689"/>
      <c r="S21" s="688">
        <f>'Energy margins'!$R$63</f>
        <v>185.01429315122178</v>
      </c>
      <c r="T21" s="689"/>
      <c r="U21" s="688">
        <f>'Energy margins'!$Y$63</f>
        <v>180.68851551781856</v>
      </c>
      <c r="V21" s="689"/>
      <c r="W21" s="688">
        <f>'Energy margins'!$AF$63</f>
        <v>156.38225738098598</v>
      </c>
      <c r="X21" s="366"/>
    </row>
    <row r="22" spans="1:24" ht="15" customHeight="1" x14ac:dyDescent="0.3">
      <c r="A22" s="366"/>
      <c r="B22" s="327"/>
      <c r="C22" s="314" t="str">
        <f>'Arable margins'!C45</f>
        <v>Main crop</v>
      </c>
      <c r="D22" s="322" t="s">
        <v>571</v>
      </c>
      <c r="E22" s="334">
        <f>'Arable margins'!$E$45</f>
        <v>2423.3642000000004</v>
      </c>
      <c r="F22" s="334">
        <f>'Arable margins'!$F$45</f>
        <v>1770.9305899999999</v>
      </c>
      <c r="G22" s="334">
        <f>'Arable margins'!$G$45</f>
        <v>3210.0777499999999</v>
      </c>
      <c r="H22" s="334">
        <f>'Arable margins'!$H$45</f>
        <v>3648.3062999999997</v>
      </c>
      <c r="I22" s="334">
        <f>'Arable margins'!$I$45</f>
        <v>2474.37212</v>
      </c>
      <c r="J22" s="366"/>
      <c r="K22" s="366"/>
      <c r="L22" s="366"/>
      <c r="M22" s="185"/>
      <c r="N22" s="116"/>
      <c r="O22" s="351" t="s">
        <v>571</v>
      </c>
      <c r="P22" s="707">
        <f>'Energy margins'!$J$64</f>
        <v>13362.112000000001</v>
      </c>
      <c r="Q22" s="707">
        <f>'Energy margins'!$K$64</f>
        <v>890.80746666666664</v>
      </c>
      <c r="R22" s="707">
        <f>'Energy margins'!$Q$64</f>
        <v>30986.135999999999</v>
      </c>
      <c r="S22" s="707">
        <f>'Energy margins'!$R$64</f>
        <v>2065.7424000000001</v>
      </c>
      <c r="T22" s="707">
        <f>'Energy margins'!$X$64</f>
        <v>29180.799999999999</v>
      </c>
      <c r="U22" s="707">
        <f>'Energy margins'!$Y$64</f>
        <v>1945.3866666666668</v>
      </c>
      <c r="V22" s="707">
        <f>'Energy margins'!$AE$64</f>
        <v>34693.300000000003</v>
      </c>
      <c r="W22" s="707">
        <f>'Energy margins'!$AF$64</f>
        <v>2306.3125</v>
      </c>
      <c r="X22" s="366"/>
    </row>
    <row r="23" spans="1:24" ht="15" customHeight="1" x14ac:dyDescent="0.3">
      <c r="A23" s="366"/>
      <c r="B23" s="327"/>
      <c r="C23" s="315" t="str">
        <f>'Arable margins'!C46</f>
        <v>Straw</v>
      </c>
      <c r="D23" s="322" t="s">
        <v>571</v>
      </c>
      <c r="E23" s="336">
        <f>'Arable margins'!$E$46</f>
        <v>307.96500000000003</v>
      </c>
      <c r="F23" s="336">
        <f>'Arable margins'!$F$46</f>
        <v>188.55</v>
      </c>
      <c r="G23" s="336">
        <f>'Arable margins'!$G$46</f>
        <v>351.96</v>
      </c>
      <c r="H23" s="337"/>
      <c r="I23" s="337"/>
      <c r="J23" s="366"/>
      <c r="K23" s="366"/>
      <c r="L23" s="366"/>
      <c r="M23" s="184" t="str">
        <f>'Energy margins'!B68</f>
        <v>Total costs</v>
      </c>
      <c r="N23" s="187"/>
      <c r="O23" s="117" t="s">
        <v>573</v>
      </c>
      <c r="P23" s="689"/>
      <c r="Q23" s="688">
        <f>'Energy margins'!$K$68</f>
        <v>191.17311573333333</v>
      </c>
      <c r="R23" s="689"/>
      <c r="S23" s="688">
        <f>'Energy margins'!$R$68</f>
        <v>559.31199716383537</v>
      </c>
      <c r="T23" s="689"/>
      <c r="U23" s="688">
        <f>'Energy margins'!$Y$68</f>
        <v>345.94668464936643</v>
      </c>
      <c r="V23" s="689"/>
      <c r="W23" s="688">
        <f>'Energy margins'!$AF$68</f>
        <v>204.93186184489329</v>
      </c>
      <c r="X23" s="366"/>
    </row>
    <row r="24" spans="1:24" ht="15" customHeight="1" x14ac:dyDescent="0.3">
      <c r="A24" s="366"/>
      <c r="B24" s="715"/>
      <c r="C24" s="328" t="str">
        <f>'Arable margins'!C47</f>
        <v>Total</v>
      </c>
      <c r="D24" s="333" t="s">
        <v>571</v>
      </c>
      <c r="E24" s="349">
        <f>'Arable margins'!$E$47</f>
        <v>2731.3292000000006</v>
      </c>
      <c r="F24" s="349">
        <f>'Arable margins'!$F$47</f>
        <v>1959.4805899999999</v>
      </c>
      <c r="G24" s="349">
        <f>'Arable margins'!$G$47</f>
        <v>3562.03775</v>
      </c>
      <c r="H24" s="349">
        <f>'Arable margins'!$H$47</f>
        <v>3648.3062999999997</v>
      </c>
      <c r="I24" s="349">
        <f>'Arable margins'!$I$47</f>
        <v>2474.37212</v>
      </c>
      <c r="J24" s="366"/>
      <c r="K24" s="366"/>
      <c r="L24" s="366"/>
      <c r="M24" s="692"/>
      <c r="N24" s="188"/>
      <c r="O24" s="351" t="s">
        <v>571</v>
      </c>
      <c r="P24" s="707">
        <f>'Energy margins'!$J$69</f>
        <v>22939.912</v>
      </c>
      <c r="Q24" s="707">
        <f>'Energy margins'!$K$69</f>
        <v>1493.5399666666667</v>
      </c>
      <c r="R24" s="707">
        <f>'Energy margins'!$Q$69</f>
        <v>97784.335999999996</v>
      </c>
      <c r="S24" s="707">
        <f>'Energy margins'!$R$69</f>
        <v>6244.8932333333332</v>
      </c>
      <c r="T24" s="707">
        <f>'Energy margins'!$X$69</f>
        <v>57580.675000000003</v>
      </c>
      <c r="U24" s="707">
        <f>'Energy margins'!$Y$69</f>
        <v>3724.6421875000005</v>
      </c>
      <c r="V24" s="707">
        <f>'Energy margins'!$AE$69</f>
        <v>46081.175000000003</v>
      </c>
      <c r="W24" s="707">
        <f>'Energy margins'!$AF$69</f>
        <v>3022.3180208333333</v>
      </c>
      <c r="X24" s="366"/>
    </row>
    <row r="25" spans="1:24" ht="15" customHeight="1" x14ac:dyDescent="0.3">
      <c r="A25" s="366"/>
      <c r="B25" s="323" t="s">
        <v>239</v>
      </c>
      <c r="C25" s="317" t="str">
        <f>'Arable margins'!C72</f>
        <v>Main crop</v>
      </c>
      <c r="D25" s="320" t="s">
        <v>573</v>
      </c>
      <c r="E25" s="339">
        <f>'Arable margins'!$E$72</f>
        <v>792.40639130434795</v>
      </c>
      <c r="F25" s="339">
        <f>'Arable margins'!$F$72</f>
        <v>1301.4139200000004</v>
      </c>
      <c r="G25" s="339">
        <f>'Arable margins'!$G$72</f>
        <v>602.88017142857132</v>
      </c>
      <c r="H25" s="339">
        <f>'Arable margins'!$H$72</f>
        <v>59.433330985915504</v>
      </c>
      <c r="I25" s="339">
        <f>'Arable margins'!$I$72</f>
        <v>268.86353333333335</v>
      </c>
      <c r="J25" s="366"/>
      <c r="K25" s="366"/>
      <c r="L25" s="366"/>
      <c r="M25" s="704"/>
      <c r="N25" s="705"/>
      <c r="O25" s="705"/>
      <c r="P25" s="716"/>
      <c r="Q25" s="716"/>
      <c r="R25" s="716"/>
      <c r="S25" s="716"/>
      <c r="T25" s="716"/>
      <c r="U25" s="716"/>
      <c r="V25" s="716"/>
      <c r="W25" s="717"/>
      <c r="X25" s="366"/>
    </row>
    <row r="26" spans="1:24" ht="15" customHeight="1" x14ac:dyDescent="0.3">
      <c r="A26" s="366"/>
      <c r="B26" s="324"/>
      <c r="C26" s="317" t="str">
        <f>'Arable margins'!C73</f>
        <v>Straw</v>
      </c>
      <c r="D26" s="321" t="s">
        <v>573</v>
      </c>
      <c r="E26" s="340">
        <f>'Arable margins'!$E$73</f>
        <v>83.783061224489799</v>
      </c>
      <c r="F26" s="340">
        <f>'Arable margins'!$F$73</f>
        <v>118.47066666666667</v>
      </c>
      <c r="G26" s="340">
        <f>'Arable margins'!$G$73</f>
        <v>77.24767857142858</v>
      </c>
      <c r="H26" s="341"/>
      <c r="I26" s="341"/>
      <c r="J26" s="366"/>
      <c r="K26" s="366"/>
      <c r="L26" s="366"/>
      <c r="M26" s="184" t="s">
        <v>270</v>
      </c>
      <c r="N26" s="187"/>
      <c r="O26" s="117" t="s">
        <v>573</v>
      </c>
      <c r="P26" s="689"/>
      <c r="Q26" s="688">
        <f>Q27/'Energy margins'!$K$10</f>
        <v>78.326884266666653</v>
      </c>
      <c r="R26" s="689"/>
      <c r="S26" s="688">
        <f>S27/'Energy margins'!$R$10</f>
        <v>-289.81199716383543</v>
      </c>
      <c r="T26" s="689"/>
      <c r="U26" s="688">
        <f>U27/'Energy margins'!$Y$10</f>
        <v>-76.446684649366446</v>
      </c>
      <c r="V26" s="689"/>
      <c r="W26" s="688">
        <f>W27/'Energy margins'!$AF$10</f>
        <v>64.568138155106709</v>
      </c>
      <c r="X26" s="366"/>
    </row>
    <row r="27" spans="1:24" ht="15" customHeight="1" x14ac:dyDescent="0.3">
      <c r="A27" s="366"/>
      <c r="B27" s="324"/>
      <c r="C27" s="314" t="str">
        <f>'Arable margins'!C74</f>
        <v>Main crop</v>
      </c>
      <c r="D27" s="322" t="s">
        <v>571</v>
      </c>
      <c r="E27" s="339">
        <f>'Arable margins'!$E$74</f>
        <v>3645.0694000000003</v>
      </c>
      <c r="F27" s="339">
        <f>'Arable margins'!$F$74</f>
        <v>3253.5348000000008</v>
      </c>
      <c r="G27" s="339">
        <f>'Arable margins'!$G$74</f>
        <v>2110.0805999999998</v>
      </c>
      <c r="H27" s="339">
        <f>'Arable margins'!$H$74</f>
        <v>3375.8132000000005</v>
      </c>
      <c r="I27" s="339">
        <f>'Arable margins'!$I$74</f>
        <v>3226.3624</v>
      </c>
      <c r="J27" s="366"/>
      <c r="K27" s="366"/>
      <c r="L27" s="366"/>
      <c r="M27" s="692"/>
      <c r="N27" s="188"/>
      <c r="O27" s="351" t="s">
        <v>571</v>
      </c>
      <c r="P27" s="718">
        <f t="shared" ref="P27:W27" si="0">P29-SUM(P13:P14)</f>
        <v>10747.587999999998</v>
      </c>
      <c r="Q27" s="718">
        <f t="shared" si="0"/>
        <v>611.92878333333317</v>
      </c>
      <c r="R27" s="718">
        <f t="shared" si="0"/>
        <v>-49639.508500000018</v>
      </c>
      <c r="S27" s="718">
        <f t="shared" si="0"/>
        <v>-3235.8415145833346</v>
      </c>
      <c r="T27" s="718">
        <f t="shared" si="0"/>
        <v>-11155.437166666672</v>
      </c>
      <c r="U27" s="718">
        <f t="shared" si="0"/>
        <v>-823.06482291666737</v>
      </c>
      <c r="V27" s="718">
        <f t="shared" si="0"/>
        <v>17511.841666666682</v>
      </c>
      <c r="W27" s="718">
        <f t="shared" si="0"/>
        <v>952.24552083333435</v>
      </c>
      <c r="X27" s="366"/>
    </row>
    <row r="28" spans="1:24" ht="15" customHeight="1" x14ac:dyDescent="0.3">
      <c r="A28" s="366"/>
      <c r="B28" s="324"/>
      <c r="C28" s="315" t="str">
        <f>'Arable margins'!C75</f>
        <v>Straw</v>
      </c>
      <c r="D28" s="322" t="s">
        <v>571</v>
      </c>
      <c r="E28" s="340">
        <f>'Arable margins'!$E$75</f>
        <v>410.53700000000003</v>
      </c>
      <c r="F28" s="340">
        <f>'Arable margins'!$F$75</f>
        <v>355.41200000000003</v>
      </c>
      <c r="G28" s="340">
        <f>'Arable margins'!$G$75</f>
        <v>432.58699999999999</v>
      </c>
      <c r="H28" s="341"/>
      <c r="I28" s="341"/>
      <c r="J28" s="366"/>
      <c r="K28" s="366"/>
      <c r="L28" s="366"/>
      <c r="M28" s="184" t="s">
        <v>271</v>
      </c>
      <c r="N28" s="187"/>
      <c r="O28" s="117" t="s">
        <v>573</v>
      </c>
      <c r="P28" s="689"/>
      <c r="Q28" s="688">
        <f>'Energy margins'!$K$70</f>
        <v>138.69680426666665</v>
      </c>
      <c r="R28" s="689"/>
      <c r="S28" s="688">
        <f>'Energy margins'!$R$70</f>
        <v>-247.57045667851534</v>
      </c>
      <c r="T28" s="689"/>
      <c r="U28" s="688">
        <f>'Energy margins'!$Y$70</f>
        <v>-32.640518544175393</v>
      </c>
      <c r="V28" s="689"/>
      <c r="W28" s="688">
        <f>'Energy margins'!$AF$70</f>
        <v>96.548248340161081</v>
      </c>
      <c r="X28" s="366"/>
    </row>
    <row r="29" spans="1:24" ht="15" customHeight="1" x14ac:dyDescent="0.3">
      <c r="A29" s="366"/>
      <c r="B29" s="690"/>
      <c r="C29" s="328" t="str">
        <f>'Arable margins'!C76</f>
        <v>Total</v>
      </c>
      <c r="D29" s="333" t="s">
        <v>571</v>
      </c>
      <c r="E29" s="342">
        <f>'Arable margins'!$E$76</f>
        <v>4055.6064000000006</v>
      </c>
      <c r="F29" s="342">
        <f>'Arable margins'!$F$76</f>
        <v>3608.9468000000006</v>
      </c>
      <c r="G29" s="342">
        <f>'Arable margins'!$G$76</f>
        <v>2542.6675999999998</v>
      </c>
      <c r="H29" s="342">
        <f>'Arable margins'!$H$76</f>
        <v>3375.8132000000005</v>
      </c>
      <c r="I29" s="342">
        <f>'Arable margins'!$I$76</f>
        <v>3226.3624</v>
      </c>
      <c r="J29" s="366"/>
      <c r="K29" s="366"/>
      <c r="L29" s="366"/>
      <c r="M29" s="692"/>
      <c r="N29" s="188"/>
      <c r="O29" s="351" t="s">
        <v>571</v>
      </c>
      <c r="P29" s="707">
        <f>'Energy margins'!$J$71</f>
        <v>18293.827999999998</v>
      </c>
      <c r="Q29" s="707">
        <f>'Energy margins'!$K$71</f>
        <v>1083.5687833333332</v>
      </c>
      <c r="R29" s="707">
        <f>'Energy margins'!$Q$71</f>
        <v>-42093.26850000002</v>
      </c>
      <c r="S29" s="707">
        <f>'Energy margins'!$R$71</f>
        <v>-2764.2015145833348</v>
      </c>
      <c r="T29" s="707">
        <f>'Energy margins'!$X$71</f>
        <v>-3609.1971666666723</v>
      </c>
      <c r="U29" s="707">
        <f>'Energy margins'!$Y$71</f>
        <v>-351.42482291666738</v>
      </c>
      <c r="V29" s="707">
        <f>'Energy margins'!$AE$71</f>
        <v>25058.08166666668</v>
      </c>
      <c r="W29" s="707">
        <f>'Energy margins'!$AF$71</f>
        <v>1423.8855208333343</v>
      </c>
      <c r="X29" s="366"/>
    </row>
    <row r="30" spans="1:24" ht="15" customHeight="1" x14ac:dyDescent="0.3">
      <c r="A30" s="366"/>
      <c r="B30" s="326" t="str">
        <f>'Arable margins'!B79</f>
        <v>Total costs</v>
      </c>
      <c r="C30" s="329" t="str">
        <f>'Arable margins'!C79</f>
        <v>Main crop</v>
      </c>
      <c r="D30" s="320" t="s">
        <v>573</v>
      </c>
      <c r="E30" s="343">
        <f>'Arable margins'!$E$79</f>
        <v>1319.2246956521742</v>
      </c>
      <c r="F30" s="343">
        <f>'Arable margins'!$F$79</f>
        <v>2009.7861560000003</v>
      </c>
      <c r="G30" s="343">
        <f>'Arable margins'!$G$79</f>
        <v>1520.0452428571427</v>
      </c>
      <c r="H30" s="343">
        <f>'Arable margins'!$H$79</f>
        <v>123.66407570422537</v>
      </c>
      <c r="I30" s="343">
        <f>'Arable margins'!$I$79</f>
        <v>475.06121000000002</v>
      </c>
      <c r="J30" s="366"/>
      <c r="K30" s="366"/>
      <c r="L30" s="366"/>
      <c r="M30" s="366"/>
      <c r="N30" s="366"/>
      <c r="O30" s="366"/>
      <c r="P30" s="366"/>
      <c r="Q30" s="366"/>
      <c r="R30" s="366"/>
      <c r="S30" s="366"/>
      <c r="T30" s="366"/>
      <c r="U30" s="366"/>
      <c r="V30" s="366"/>
      <c r="W30" s="366"/>
      <c r="X30" s="366"/>
    </row>
    <row r="31" spans="1:24" ht="15" customHeight="1" x14ac:dyDescent="0.3">
      <c r="A31" s="366"/>
      <c r="B31" s="327"/>
      <c r="C31" s="330" t="str">
        <f>'Arable margins'!C80</f>
        <v>Straw</v>
      </c>
      <c r="D31" s="321" t="s">
        <v>573</v>
      </c>
      <c r="E31" s="344">
        <f>'Arable margins'!$E$80</f>
        <v>146.63306122448981</v>
      </c>
      <c r="F31" s="344">
        <f>'Arable margins'!$F$80</f>
        <v>181.32066666666668</v>
      </c>
      <c r="G31" s="344">
        <f>'Arable margins'!$G$80</f>
        <v>140.09767857142859</v>
      </c>
      <c r="H31" s="345"/>
      <c r="I31" s="345"/>
      <c r="J31" s="366"/>
      <c r="K31" s="366"/>
      <c r="L31" s="366"/>
      <c r="M31" s="366"/>
      <c r="N31" s="366"/>
      <c r="O31" s="366"/>
      <c r="P31" s="366"/>
      <c r="Q31" s="366"/>
      <c r="R31" s="366"/>
      <c r="S31" s="366"/>
      <c r="T31" s="366"/>
      <c r="U31" s="366"/>
      <c r="V31" s="366"/>
      <c r="W31" s="366"/>
      <c r="X31" s="366"/>
    </row>
    <row r="32" spans="1:24" ht="15" customHeight="1" x14ac:dyDescent="0.3">
      <c r="A32" s="366"/>
      <c r="B32" s="327"/>
      <c r="C32" s="329" t="str">
        <f>'Arable margins'!C81</f>
        <v>Main crop</v>
      </c>
      <c r="D32" s="322" t="s">
        <v>571</v>
      </c>
      <c r="E32" s="343">
        <f>'Arable margins'!$E$81</f>
        <v>6068.4336000000003</v>
      </c>
      <c r="F32" s="343">
        <f>'Arable margins'!$F$81</f>
        <v>5024.4653900000012</v>
      </c>
      <c r="G32" s="343">
        <f>'Arable margins'!$G$81</f>
        <v>5320.1583499999997</v>
      </c>
      <c r="H32" s="343">
        <f>'Arable margins'!$H$81</f>
        <v>7024.1195000000007</v>
      </c>
      <c r="I32" s="343">
        <f>'Arable margins'!$I$81</f>
        <v>5700.73452</v>
      </c>
      <c r="J32" s="366"/>
      <c r="K32" s="366"/>
      <c r="L32" s="366"/>
      <c r="M32" s="366"/>
      <c r="N32" s="366"/>
      <c r="O32" s="366"/>
      <c r="P32" s="366"/>
      <c r="Q32" s="366"/>
      <c r="R32" s="366"/>
      <c r="S32" s="366"/>
      <c r="T32" s="366"/>
      <c r="U32" s="366"/>
      <c r="V32" s="366"/>
      <c r="W32" s="366"/>
      <c r="X32" s="366"/>
    </row>
    <row r="33" spans="1:24" ht="15" customHeight="1" x14ac:dyDescent="0.3">
      <c r="A33" s="366"/>
      <c r="B33" s="327"/>
      <c r="C33" s="330" t="str">
        <f>'Arable margins'!C82</f>
        <v>Straw</v>
      </c>
      <c r="D33" s="322" t="s">
        <v>571</v>
      </c>
      <c r="E33" s="344">
        <f>'Arable margins'!$E$82</f>
        <v>718.50200000000007</v>
      </c>
      <c r="F33" s="344">
        <f>'Arable margins'!$F$82</f>
        <v>543.96199999999999</v>
      </c>
      <c r="G33" s="344">
        <f>'Arable margins'!$G$82</f>
        <v>784.54700000000003</v>
      </c>
      <c r="H33" s="319"/>
      <c r="I33" s="319"/>
      <c r="J33" s="366"/>
      <c r="K33" s="366"/>
      <c r="L33" s="366"/>
      <c r="M33" s="366"/>
      <c r="N33" s="366"/>
      <c r="O33" s="366"/>
      <c r="P33" s="366"/>
      <c r="Q33" s="366"/>
      <c r="R33" s="366"/>
      <c r="S33" s="366"/>
      <c r="T33" s="366"/>
      <c r="U33" s="366"/>
      <c r="V33" s="366"/>
      <c r="W33" s="366"/>
      <c r="X33" s="366"/>
    </row>
    <row r="34" spans="1:24" ht="15" customHeight="1" x14ac:dyDescent="0.3">
      <c r="A34" s="366"/>
      <c r="B34" s="331"/>
      <c r="C34" s="332" t="str">
        <f>'Arable margins'!C83</f>
        <v>Total</v>
      </c>
      <c r="D34" s="333" t="s">
        <v>571</v>
      </c>
      <c r="E34" s="346">
        <f>'Arable margins'!$E$83</f>
        <v>6786.9356000000007</v>
      </c>
      <c r="F34" s="346">
        <f>'Arable margins'!$F$83</f>
        <v>5568.4273900000007</v>
      </c>
      <c r="G34" s="346">
        <f>'Arable margins'!$G$83</f>
        <v>6104.7053500000002</v>
      </c>
      <c r="H34" s="346">
        <f>'Arable margins'!$H$83</f>
        <v>7024.1195000000007</v>
      </c>
      <c r="I34" s="346">
        <f>'Arable margins'!$I$83</f>
        <v>5700.73452</v>
      </c>
      <c r="J34" s="366"/>
      <c r="K34" s="366"/>
      <c r="L34" s="366"/>
      <c r="M34" s="366"/>
      <c r="N34" s="366"/>
      <c r="O34" s="366"/>
      <c r="P34" s="366"/>
      <c r="Q34" s="366"/>
      <c r="R34" s="366"/>
      <c r="S34" s="366"/>
      <c r="T34" s="366"/>
      <c r="U34" s="366"/>
      <c r="V34" s="366"/>
      <c r="W34" s="366"/>
      <c r="X34" s="366"/>
    </row>
    <row r="35" spans="1:24" ht="15" customHeight="1" x14ac:dyDescent="0.3">
      <c r="A35" s="366"/>
      <c r="B35" s="711"/>
      <c r="C35" s="712"/>
      <c r="D35" s="713"/>
      <c r="E35" s="713"/>
      <c r="F35" s="713"/>
      <c r="G35" s="713"/>
      <c r="H35" s="713"/>
      <c r="I35" s="714"/>
      <c r="J35" s="366"/>
      <c r="K35" s="366"/>
      <c r="L35" s="366"/>
      <c r="M35" s="366"/>
      <c r="N35" s="366"/>
      <c r="O35" s="366"/>
      <c r="P35" s="366"/>
      <c r="Q35" s="366"/>
      <c r="R35" s="366"/>
      <c r="S35" s="366"/>
      <c r="T35" s="366"/>
      <c r="U35" s="366"/>
      <c r="V35" s="366"/>
      <c r="W35" s="366"/>
      <c r="X35" s="366"/>
    </row>
    <row r="36" spans="1:24" ht="15" customHeight="1" x14ac:dyDescent="0.3">
      <c r="A36" s="366"/>
      <c r="B36" s="324" t="s">
        <v>631</v>
      </c>
      <c r="C36" s="314" t="s">
        <v>2</v>
      </c>
      <c r="D36" s="320" t="s">
        <v>573</v>
      </c>
      <c r="E36" s="719">
        <f>E8-E30</f>
        <v>-452.2246956521742</v>
      </c>
      <c r="F36" s="719">
        <f t="shared" ref="E36:I40" si="1">F8-F30</f>
        <v>-1288.7861560000003</v>
      </c>
      <c r="G36" s="719">
        <f t="shared" si="1"/>
        <v>124.95475714285726</v>
      </c>
      <c r="H36" s="719">
        <f t="shared" si="1"/>
        <v>-3.6640757042253682</v>
      </c>
      <c r="I36" s="719">
        <f t="shared" si="1"/>
        <v>248.93878999999998</v>
      </c>
      <c r="J36" s="366"/>
      <c r="K36" s="366"/>
      <c r="L36" s="366"/>
      <c r="M36" s="366"/>
      <c r="N36" s="366"/>
      <c r="O36" s="366"/>
      <c r="P36" s="366"/>
      <c r="Q36" s="366"/>
      <c r="R36" s="366"/>
      <c r="S36" s="366"/>
      <c r="T36" s="366"/>
      <c r="U36" s="366"/>
      <c r="V36" s="366"/>
      <c r="W36" s="366"/>
      <c r="X36" s="366"/>
    </row>
    <row r="37" spans="1:24" ht="15" customHeight="1" x14ac:dyDescent="0.3">
      <c r="A37" s="366"/>
      <c r="B37" s="324"/>
      <c r="C37" s="318" t="s">
        <v>3</v>
      </c>
      <c r="D37" s="321" t="s">
        <v>573</v>
      </c>
      <c r="E37" s="703">
        <f t="shared" si="1"/>
        <v>-6.6330612244898077</v>
      </c>
      <c r="F37" s="703">
        <f t="shared" si="1"/>
        <v>-61.320666666666682</v>
      </c>
      <c r="G37" s="703">
        <f t="shared" si="1"/>
        <v>-20.097678571428588</v>
      </c>
      <c r="H37" s="703">
        <f t="shared" si="1"/>
        <v>0</v>
      </c>
      <c r="I37" s="703">
        <f t="shared" si="1"/>
        <v>0</v>
      </c>
      <c r="J37" s="366"/>
      <c r="K37" s="366"/>
      <c r="L37" s="366"/>
      <c r="M37" s="366"/>
      <c r="N37" s="366"/>
      <c r="O37" s="366"/>
      <c r="P37" s="366"/>
      <c r="Q37" s="366"/>
      <c r="R37" s="366"/>
      <c r="S37" s="366"/>
      <c r="T37" s="366"/>
      <c r="U37" s="366"/>
      <c r="V37" s="366"/>
      <c r="W37" s="366"/>
      <c r="X37" s="366"/>
    </row>
    <row r="38" spans="1:24" ht="15" customHeight="1" x14ac:dyDescent="0.3">
      <c r="A38" s="366"/>
      <c r="B38" s="324"/>
      <c r="C38" s="314" t="s">
        <v>2</v>
      </c>
      <c r="D38" s="322" t="s">
        <v>571</v>
      </c>
      <c r="E38" s="319">
        <f t="shared" si="1"/>
        <v>-2080.2336000000005</v>
      </c>
      <c r="F38" s="319">
        <f t="shared" si="1"/>
        <v>-3221.9653900000012</v>
      </c>
      <c r="G38" s="319">
        <f t="shared" si="1"/>
        <v>437.3416500000003</v>
      </c>
      <c r="H38" s="319">
        <f t="shared" si="1"/>
        <v>-208.1195000000007</v>
      </c>
      <c r="I38" s="319">
        <f t="shared" si="1"/>
        <v>2987.26548</v>
      </c>
      <c r="J38" s="366"/>
      <c r="K38" s="366"/>
      <c r="L38" s="366"/>
      <c r="M38" s="366"/>
      <c r="N38" s="366"/>
      <c r="O38" s="366"/>
      <c r="P38" s="366"/>
      <c r="Q38" s="366"/>
      <c r="R38" s="366"/>
      <c r="S38" s="366"/>
      <c r="T38" s="366"/>
      <c r="U38" s="366"/>
      <c r="V38" s="366"/>
      <c r="W38" s="366"/>
      <c r="X38" s="366"/>
    </row>
    <row r="39" spans="1:24" ht="15" customHeight="1" x14ac:dyDescent="0.3">
      <c r="A39" s="366"/>
      <c r="B39" s="324"/>
      <c r="C39" s="315" t="s">
        <v>3</v>
      </c>
      <c r="D39" s="322" t="s">
        <v>571</v>
      </c>
      <c r="E39" s="319">
        <f t="shared" si="1"/>
        <v>-32.502000000000066</v>
      </c>
      <c r="F39" s="319">
        <f t="shared" si="1"/>
        <v>-183.96199999999999</v>
      </c>
      <c r="G39" s="319">
        <f t="shared" si="1"/>
        <v>-112.54700000000003</v>
      </c>
      <c r="H39" s="319">
        <f t="shared" si="1"/>
        <v>0</v>
      </c>
      <c r="I39" s="319">
        <f t="shared" si="1"/>
        <v>0</v>
      </c>
      <c r="J39" s="366"/>
      <c r="K39" s="366"/>
      <c r="L39" s="366"/>
      <c r="M39" s="366"/>
      <c r="N39" s="366"/>
      <c r="O39" s="366"/>
      <c r="P39" s="366"/>
      <c r="Q39" s="366"/>
      <c r="R39" s="366"/>
      <c r="S39" s="366"/>
      <c r="T39" s="366"/>
      <c r="U39" s="366"/>
      <c r="V39" s="366"/>
      <c r="W39" s="366"/>
      <c r="X39" s="366"/>
    </row>
    <row r="40" spans="1:24" ht="15" customHeight="1" x14ac:dyDescent="0.3">
      <c r="A40" s="366"/>
      <c r="B40" s="690"/>
      <c r="C40" s="331" t="s">
        <v>10</v>
      </c>
      <c r="D40" s="333" t="s">
        <v>571</v>
      </c>
      <c r="E40" s="691">
        <f t="shared" si="1"/>
        <v>-2112.7356000000009</v>
      </c>
      <c r="F40" s="691">
        <f t="shared" si="1"/>
        <v>-3405.9273900000007</v>
      </c>
      <c r="G40" s="691">
        <f t="shared" si="1"/>
        <v>324.79464999999982</v>
      </c>
      <c r="H40" s="691">
        <f t="shared" si="1"/>
        <v>-208.1195000000007</v>
      </c>
      <c r="I40" s="691">
        <f>I12-I34</f>
        <v>2987.26548</v>
      </c>
      <c r="J40" s="366"/>
      <c r="K40" s="366"/>
      <c r="L40" s="366"/>
      <c r="M40" s="366"/>
      <c r="N40" s="366"/>
      <c r="O40" s="366"/>
      <c r="P40" s="366"/>
      <c r="Q40" s="366"/>
      <c r="R40" s="366"/>
      <c r="S40" s="366"/>
      <c r="T40" s="366"/>
      <c r="U40" s="366"/>
      <c r="V40" s="366"/>
      <c r="W40" s="366"/>
      <c r="X40" s="366"/>
    </row>
    <row r="41" spans="1:24" x14ac:dyDescent="0.3">
      <c r="A41" s="366"/>
      <c r="B41" s="324" t="s">
        <v>632</v>
      </c>
      <c r="C41" s="314" t="str">
        <f>'Arable margins'!C86</f>
        <v>Main crop</v>
      </c>
      <c r="D41" s="320" t="s">
        <v>573</v>
      </c>
      <c r="E41" s="339">
        <f>'Arable margins'!$E$86</f>
        <v>-349.69426086956537</v>
      </c>
      <c r="F41" s="334">
        <f>'Arable margins'!$F$86</f>
        <v>-1100.1301560000004</v>
      </c>
      <c r="G41" s="334">
        <f>'Arable margins'!$G$86</f>
        <v>259.709042857143</v>
      </c>
      <c r="H41" s="334">
        <f>'Arable margins'!$H$86</f>
        <v>4.6394454225352177</v>
      </c>
      <c r="I41" s="334">
        <f>'Arable margins'!$I$86</f>
        <v>288.24212333333327</v>
      </c>
      <c r="J41" s="366"/>
      <c r="K41" s="366"/>
      <c r="L41" s="366"/>
      <c r="M41" s="366"/>
      <c r="N41" s="366"/>
      <c r="O41" s="366"/>
      <c r="P41" s="366"/>
      <c r="Q41" s="366"/>
      <c r="R41" s="366"/>
      <c r="S41" s="366"/>
      <c r="T41" s="366"/>
      <c r="U41" s="366"/>
      <c r="V41" s="366"/>
      <c r="W41" s="366"/>
      <c r="X41" s="366"/>
    </row>
    <row r="42" spans="1:24" x14ac:dyDescent="0.3">
      <c r="A42" s="366"/>
      <c r="B42" s="324"/>
      <c r="C42" s="318" t="str">
        <f>'Arable margins'!C87</f>
        <v>Straw</v>
      </c>
      <c r="D42" s="321" t="s">
        <v>573</v>
      </c>
      <c r="E42" s="347">
        <f>'Arable margins'!$E$87</f>
        <v>-6.6330612244898077</v>
      </c>
      <c r="F42" s="335">
        <f>'Arable margins'!$F$87</f>
        <v>-61.320666666666682</v>
      </c>
      <c r="G42" s="335">
        <f>'Arable margins'!$G$87</f>
        <v>-20.097678571428574</v>
      </c>
      <c r="H42" s="338"/>
      <c r="I42" s="338"/>
      <c r="J42" s="366"/>
      <c r="K42" s="366"/>
      <c r="L42" s="366"/>
      <c r="M42" s="366"/>
      <c r="N42" s="366"/>
      <c r="O42" s="366"/>
      <c r="P42" s="366"/>
      <c r="Q42" s="366"/>
      <c r="R42" s="366"/>
      <c r="S42" s="366"/>
      <c r="T42" s="366"/>
      <c r="U42" s="366"/>
      <c r="V42" s="366"/>
      <c r="W42" s="366"/>
      <c r="X42" s="366"/>
    </row>
    <row r="43" spans="1:24" x14ac:dyDescent="0.3">
      <c r="A43" s="366"/>
      <c r="B43" s="324"/>
      <c r="C43" s="314" t="str">
        <f>'Arable margins'!C88</f>
        <v>Main crop</v>
      </c>
      <c r="D43" s="322" t="s">
        <v>571</v>
      </c>
      <c r="E43" s="339">
        <f>'Arable margins'!$E$88</f>
        <v>-1608.5936000000002</v>
      </c>
      <c r="F43" s="334">
        <f>'Arable margins'!$F$88</f>
        <v>-2750.3253900000013</v>
      </c>
      <c r="G43" s="334">
        <f>'Arable margins'!$G$88</f>
        <v>908.98165000000063</v>
      </c>
      <c r="H43" s="334">
        <f>'Arable margins'!$H$88</f>
        <v>263.52049999999963</v>
      </c>
      <c r="I43" s="334">
        <f>'Arable margins'!$I$88</f>
        <v>3458.9054799999994</v>
      </c>
      <c r="J43" s="366"/>
      <c r="K43" s="366"/>
      <c r="L43" s="366"/>
      <c r="M43" s="366"/>
      <c r="N43" s="366"/>
      <c r="O43" s="366"/>
      <c r="P43" s="366"/>
      <c r="Q43" s="366"/>
      <c r="R43" s="366"/>
      <c r="S43" s="366"/>
      <c r="T43" s="366"/>
      <c r="U43" s="366"/>
      <c r="V43" s="366"/>
      <c r="W43" s="366"/>
      <c r="X43" s="366"/>
    </row>
    <row r="44" spans="1:24" x14ac:dyDescent="0.3">
      <c r="A44" s="366"/>
      <c r="B44" s="324"/>
      <c r="C44" s="315" t="str">
        <f>'Arable margins'!C89</f>
        <v>Straw</v>
      </c>
      <c r="D44" s="322" t="s">
        <v>571</v>
      </c>
      <c r="E44" s="340">
        <f>'Arable margins'!$E$89</f>
        <v>-32.502000000000066</v>
      </c>
      <c r="F44" s="336">
        <f>'Arable margins'!$F$89</f>
        <v>-183.96199999999999</v>
      </c>
      <c r="G44" s="336">
        <f>'Arable margins'!$G$89</f>
        <v>-112.54700000000003</v>
      </c>
      <c r="H44" s="337"/>
      <c r="I44" s="337"/>
      <c r="J44" s="366"/>
      <c r="K44" s="366"/>
      <c r="L44" s="366"/>
      <c r="M44" s="366"/>
      <c r="N44" s="366"/>
      <c r="O44" s="366"/>
      <c r="P44" s="366"/>
      <c r="Q44" s="366"/>
      <c r="R44" s="366"/>
      <c r="S44" s="366"/>
      <c r="T44" s="366"/>
      <c r="U44" s="366"/>
      <c r="V44" s="366"/>
      <c r="W44" s="366"/>
      <c r="X44" s="366"/>
    </row>
    <row r="45" spans="1:24" x14ac:dyDescent="0.3">
      <c r="A45" s="366"/>
      <c r="B45" s="690"/>
      <c r="C45" s="328" t="str">
        <f>'Arable margins'!C90</f>
        <v>Total</v>
      </c>
      <c r="D45" s="333" t="s">
        <v>571</v>
      </c>
      <c r="E45" s="342">
        <f>'Arable margins'!$E$90</f>
        <v>-1641.0956000000006</v>
      </c>
      <c r="F45" s="348">
        <f>'Arable margins'!$F$90</f>
        <v>-2934.2873900000009</v>
      </c>
      <c r="G45" s="348">
        <f>'Arable margins'!$G$90</f>
        <v>796.43465000000015</v>
      </c>
      <c r="H45" s="348">
        <f>'Arable margins'!$H$90</f>
        <v>263.52049999999963</v>
      </c>
      <c r="I45" s="348">
        <f>'Arable margins'!$I$90</f>
        <v>3458.9054799999994</v>
      </c>
      <c r="J45" s="366"/>
      <c r="K45" s="366"/>
      <c r="L45" s="366"/>
      <c r="M45" s="366"/>
      <c r="N45" s="366"/>
      <c r="O45" s="366"/>
      <c r="P45" s="366"/>
      <c r="Q45" s="366"/>
      <c r="R45" s="366"/>
      <c r="S45" s="366"/>
      <c r="T45" s="366"/>
      <c r="U45" s="366"/>
      <c r="V45" s="366"/>
      <c r="W45" s="366"/>
      <c r="X45" s="366"/>
    </row>
    <row r="46" spans="1:24" x14ac:dyDescent="0.3">
      <c r="A46" s="366"/>
      <c r="B46" s="366"/>
      <c r="C46" s="366"/>
      <c r="D46" s="366"/>
      <c r="E46" s="366"/>
      <c r="F46" s="366"/>
      <c r="G46" s="366"/>
      <c r="H46" s="366"/>
      <c r="I46" s="366"/>
      <c r="J46" s="366"/>
      <c r="K46" s="366"/>
      <c r="L46" s="366"/>
      <c r="M46" s="366"/>
      <c r="N46" s="366"/>
      <c r="O46" s="366"/>
      <c r="P46" s="366"/>
      <c r="Q46" s="366"/>
      <c r="R46" s="366"/>
      <c r="S46" s="366"/>
      <c r="T46" s="366"/>
      <c r="U46" s="366"/>
      <c r="V46" s="366"/>
      <c r="W46" s="366"/>
      <c r="X46" s="366"/>
    </row>
    <row r="47" spans="1:24" x14ac:dyDescent="0.3">
      <c r="A47" s="366"/>
      <c r="B47" s="366"/>
      <c r="C47" s="366"/>
      <c r="D47" s="366"/>
      <c r="E47" s="366"/>
      <c r="F47" s="366"/>
      <c r="G47" s="366"/>
      <c r="H47" s="366"/>
      <c r="I47" s="366"/>
      <c r="J47" s="366"/>
      <c r="K47" s="366"/>
      <c r="L47" s="366"/>
      <c r="M47" s="366"/>
      <c r="N47" s="366"/>
      <c r="O47" s="366"/>
      <c r="P47" s="366"/>
      <c r="Q47" s="366"/>
      <c r="R47" s="366"/>
      <c r="S47" s="366"/>
      <c r="T47" s="366"/>
      <c r="U47" s="366"/>
      <c r="V47" s="366"/>
      <c r="W47" s="366"/>
      <c r="X47" s="366"/>
    </row>
    <row r="48" spans="1:24" x14ac:dyDescent="0.3">
      <c r="A48" s="366"/>
      <c r="B48" s="720"/>
      <c r="C48" s="367" t="s">
        <v>341</v>
      </c>
      <c r="D48" s="463"/>
      <c r="E48" s="366"/>
      <c r="F48" s="366"/>
      <c r="G48" s="366"/>
      <c r="H48" s="366"/>
      <c r="I48" s="366"/>
      <c r="J48" s="366"/>
      <c r="K48" s="366"/>
      <c r="L48" s="366"/>
      <c r="M48" s="366"/>
      <c r="N48" s="366"/>
      <c r="O48" s="366"/>
      <c r="P48" s="366"/>
      <c r="Q48" s="366"/>
      <c r="R48" s="366"/>
      <c r="S48" s="366"/>
      <c r="T48" s="366"/>
      <c r="U48" s="366"/>
      <c r="V48" s="366"/>
      <c r="W48" s="366"/>
      <c r="X48" s="366"/>
    </row>
    <row r="49" spans="1:24" x14ac:dyDescent="0.3">
      <c r="A49" s="366"/>
      <c r="B49" s="721"/>
      <c r="C49" s="367" t="s">
        <v>342</v>
      </c>
      <c r="D49" s="366"/>
      <c r="E49" s="366"/>
      <c r="F49" s="366"/>
      <c r="G49" s="366"/>
      <c r="H49" s="366"/>
      <c r="I49" s="366"/>
      <c r="J49" s="366"/>
      <c r="K49" s="366"/>
      <c r="L49" s="366"/>
      <c r="M49" s="366"/>
      <c r="N49" s="366"/>
      <c r="O49" s="366"/>
      <c r="P49" s="366"/>
      <c r="Q49" s="366"/>
      <c r="R49" s="366"/>
      <c r="S49" s="366"/>
      <c r="T49" s="366"/>
      <c r="U49" s="366"/>
      <c r="V49" s="366"/>
      <c r="W49" s="366"/>
      <c r="X49" s="366"/>
    </row>
    <row r="50" spans="1:24" x14ac:dyDescent="0.3">
      <c r="A50" s="366"/>
      <c r="B50" s="366"/>
      <c r="C50" s="366"/>
      <c r="D50" s="366"/>
      <c r="E50" s="366"/>
      <c r="F50" s="366"/>
      <c r="G50" s="366"/>
      <c r="H50" s="366"/>
      <c r="I50" s="366"/>
      <c r="J50" s="366"/>
      <c r="K50" s="366"/>
      <c r="L50" s="366"/>
      <c r="M50" s="366"/>
      <c r="N50" s="366"/>
      <c r="O50" s="366"/>
      <c r="P50" s="366"/>
      <c r="Q50" s="366"/>
      <c r="R50" s="366"/>
      <c r="S50" s="366"/>
      <c r="T50" s="366"/>
      <c r="U50" s="366"/>
      <c r="V50" s="366"/>
      <c r="W50" s="366"/>
      <c r="X50" s="366"/>
    </row>
    <row r="51" spans="1:24" x14ac:dyDescent="0.3">
      <c r="A51" s="366"/>
      <c r="B51" s="366"/>
      <c r="C51" s="366"/>
      <c r="D51" s="366"/>
      <c r="E51" s="366"/>
      <c r="F51" s="366"/>
      <c r="G51" s="366"/>
      <c r="H51" s="366"/>
      <c r="I51" s="366"/>
      <c r="J51" s="366"/>
      <c r="K51" s="366"/>
      <c r="L51" s="366"/>
      <c r="M51" s="366"/>
      <c r="N51" s="366"/>
      <c r="O51" s="366"/>
      <c r="P51" s="366"/>
      <c r="Q51" s="366"/>
      <c r="R51" s="366"/>
      <c r="S51" s="366"/>
      <c r="T51" s="366"/>
      <c r="U51" s="366"/>
      <c r="V51" s="366"/>
      <c r="W51" s="366"/>
      <c r="X51" s="366"/>
    </row>
  </sheetData>
  <mergeCells count="8">
    <mergeCell ref="U8:U10"/>
    <mergeCell ref="V8:V10"/>
    <mergeCell ref="W8:W10"/>
    <mergeCell ref="P8:P10"/>
    <mergeCell ref="Q8:Q10"/>
    <mergeCell ref="R8:R10"/>
    <mergeCell ref="S8:S10"/>
    <mergeCell ref="T8:T10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158"/>
  <sheetViews>
    <sheetView topLeftCell="A107" workbookViewId="0">
      <selection activeCell="K117" sqref="K117:O132"/>
    </sheetView>
  </sheetViews>
  <sheetFormatPr defaultColWidth="9" defaultRowHeight="14" x14ac:dyDescent="0.3"/>
  <cols>
    <col min="1" max="1" width="13.75" customWidth="1"/>
    <col min="2" max="2" width="9" customWidth="1"/>
  </cols>
  <sheetData>
    <row r="2" spans="2:20" ht="14.5" thickBot="1" x14ac:dyDescent="0.35"/>
    <row r="3" spans="2:20" ht="14.5" thickBot="1" x14ac:dyDescent="0.35">
      <c r="B3" s="352" t="s">
        <v>583</v>
      </c>
      <c r="C3" s="200"/>
    </row>
    <row r="6" spans="2:20" x14ac:dyDescent="0.3">
      <c r="B6" s="86" t="s">
        <v>287</v>
      </c>
      <c r="C6" s="767">
        <f>'Arable Inputs'!D9</f>
        <v>0.04</v>
      </c>
    </row>
    <row r="7" spans="2:20" x14ac:dyDescent="0.3">
      <c r="B7" s="24"/>
      <c r="C7" s="24"/>
    </row>
    <row r="9" spans="2:20" x14ac:dyDescent="0.3">
      <c r="B9" s="211" t="s">
        <v>4</v>
      </c>
      <c r="C9" s="194"/>
      <c r="D9" s="193"/>
      <c r="E9" s="102"/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</row>
    <row r="10" spans="2:20" x14ac:dyDescent="0.3">
      <c r="B10" s="203"/>
      <c r="C10" s="1082"/>
      <c r="D10" s="1082"/>
      <c r="E10" s="1082"/>
      <c r="F10" s="148"/>
      <c r="G10" s="1082"/>
      <c r="H10" s="1082"/>
      <c r="I10" s="148"/>
      <c r="J10" s="148"/>
      <c r="K10" s="1083" t="s">
        <v>273</v>
      </c>
      <c r="L10" s="1084"/>
      <c r="M10" s="1084"/>
      <c r="N10" s="1084"/>
      <c r="O10" s="1085"/>
      <c r="P10" s="1083" t="s">
        <v>274</v>
      </c>
      <c r="Q10" s="1084"/>
      <c r="R10" s="1084"/>
      <c r="S10" s="1084"/>
      <c r="T10" s="1085"/>
    </row>
    <row r="11" spans="2:20" ht="51" x14ac:dyDescent="0.3">
      <c r="B11" s="204" t="s">
        <v>275</v>
      </c>
      <c r="C11" s="171" t="s">
        <v>622</v>
      </c>
      <c r="D11" s="171" t="s">
        <v>591</v>
      </c>
      <c r="E11" s="171" t="s">
        <v>623</v>
      </c>
      <c r="F11" s="205" t="s">
        <v>286</v>
      </c>
      <c r="G11" s="171" t="s">
        <v>278</v>
      </c>
      <c r="H11" s="171" t="s">
        <v>279</v>
      </c>
      <c r="I11" s="171" t="s">
        <v>624</v>
      </c>
      <c r="J11" s="171" t="s">
        <v>625</v>
      </c>
      <c r="K11" s="195" t="s">
        <v>280</v>
      </c>
      <c r="L11" s="171" t="s">
        <v>626</v>
      </c>
      <c r="M11" s="171" t="s">
        <v>298</v>
      </c>
      <c r="N11" s="171" t="s">
        <v>627</v>
      </c>
      <c r="O11" s="198" t="s">
        <v>282</v>
      </c>
      <c r="P11" s="195" t="s">
        <v>283</v>
      </c>
      <c r="Q11" s="171" t="s">
        <v>628</v>
      </c>
      <c r="R11" s="171" t="s">
        <v>299</v>
      </c>
      <c r="S11" s="171" t="s">
        <v>629</v>
      </c>
      <c r="T11" s="198" t="s">
        <v>285</v>
      </c>
    </row>
    <row r="12" spans="2:20" x14ac:dyDescent="0.3">
      <c r="B12" s="173"/>
      <c r="C12" s="201" t="s">
        <v>571</v>
      </c>
      <c r="D12" s="201" t="s">
        <v>571</v>
      </c>
      <c r="E12" s="201" t="s">
        <v>571</v>
      </c>
      <c r="F12" s="201" t="s">
        <v>571</v>
      </c>
      <c r="G12" s="201" t="s">
        <v>571</v>
      </c>
      <c r="H12" s="201" t="s">
        <v>571</v>
      </c>
      <c r="I12" s="201" t="s">
        <v>571</v>
      </c>
      <c r="J12" s="202" t="s">
        <v>571</v>
      </c>
      <c r="K12" s="201" t="s">
        <v>571</v>
      </c>
      <c r="L12" s="201" t="s">
        <v>571</v>
      </c>
      <c r="M12" s="201" t="s">
        <v>571</v>
      </c>
      <c r="N12" s="201" t="s">
        <v>571</v>
      </c>
      <c r="O12" s="202" t="s">
        <v>571</v>
      </c>
      <c r="P12" s="201" t="s">
        <v>571</v>
      </c>
      <c r="Q12" s="201" t="s">
        <v>571</v>
      </c>
      <c r="R12" s="201" t="s">
        <v>571</v>
      </c>
      <c r="S12" s="201" t="s">
        <v>571</v>
      </c>
      <c r="T12" s="202" t="s">
        <v>571</v>
      </c>
    </row>
    <row r="13" spans="2:20" x14ac:dyDescent="0.3">
      <c r="B13" s="725">
        <v>1</v>
      </c>
      <c r="C13" s="197">
        <f>'Margins summary'!$E$12</f>
        <v>4674.2</v>
      </c>
      <c r="D13" s="197">
        <f>'Margins summary'!$E$13</f>
        <v>471.64</v>
      </c>
      <c r="E13" s="197">
        <f>'Margins summary'!$E$18</f>
        <v>5145.84</v>
      </c>
      <c r="F13" s="197">
        <f>'Margins summary'!$E$24</f>
        <v>2731.3292000000006</v>
      </c>
      <c r="G13" s="197">
        <f>'Margins summary'!$E$29</f>
        <v>4055.6064000000006</v>
      </c>
      <c r="H13" s="197">
        <f>F13+G13</f>
        <v>6786.9356000000007</v>
      </c>
      <c r="I13" s="197">
        <f>C13-H13</f>
        <v>-2112.7356000000009</v>
      </c>
      <c r="J13" s="197">
        <f t="shared" ref="J13:J28" si="0">E13-H13</f>
        <v>-1641.0956000000006</v>
      </c>
      <c r="K13" s="968">
        <f>C13/(1+$C$6)^($B13-1)</f>
        <v>4674.2</v>
      </c>
      <c r="L13" s="969">
        <f>D13/(1+$C$6)^($B13-1)</f>
        <v>471.64</v>
      </c>
      <c r="M13" s="969">
        <f>H13/(1+$C$6)^($B13-1)</f>
        <v>6786.9356000000007</v>
      </c>
      <c r="N13" s="969">
        <f>K13-M13</f>
        <v>-2112.7356000000009</v>
      </c>
      <c r="O13" s="970">
        <f>N13+L13</f>
        <v>-1641.095600000001</v>
      </c>
      <c r="P13" s="968">
        <f>K13</f>
        <v>4674.2</v>
      </c>
      <c r="Q13" s="969">
        <f>L13</f>
        <v>471.64</v>
      </c>
      <c r="R13" s="969">
        <f>M13</f>
        <v>6786.9356000000007</v>
      </c>
      <c r="S13" s="969">
        <f>N13</f>
        <v>-2112.7356000000009</v>
      </c>
      <c r="T13" s="970">
        <f>O13</f>
        <v>-1641.095600000001</v>
      </c>
    </row>
    <row r="14" spans="2:20" x14ac:dyDescent="0.3">
      <c r="B14" s="417">
        <v>2</v>
      </c>
      <c r="C14" s="197">
        <f>'Margins summary'!$E$12</f>
        <v>4674.2</v>
      </c>
      <c r="D14" s="197">
        <f>'Margins summary'!$E$13</f>
        <v>471.64</v>
      </c>
      <c r="E14" s="197">
        <f>'Margins summary'!$E$18</f>
        <v>5145.84</v>
      </c>
      <c r="F14" s="197">
        <f>'Margins summary'!$E$24</f>
        <v>2731.3292000000006</v>
      </c>
      <c r="G14" s="197">
        <f>'Margins summary'!$E$29</f>
        <v>4055.6064000000006</v>
      </c>
      <c r="H14" s="197">
        <f t="shared" ref="H14:H28" si="1">F14+G14</f>
        <v>6786.9356000000007</v>
      </c>
      <c r="I14" s="197">
        <f t="shared" ref="I14:I28" si="2">C14-H14</f>
        <v>-2112.7356000000009</v>
      </c>
      <c r="J14" s="197">
        <f t="shared" si="0"/>
        <v>-1641.0956000000006</v>
      </c>
      <c r="K14" s="968">
        <f t="shared" ref="K14:K28" si="3">C14/(1+$C$6)^($B14-1)</f>
        <v>4494.4230769230762</v>
      </c>
      <c r="L14" s="969">
        <f t="shared" ref="L14:L28" si="4">D14/(1+$C$6)^($B14-1)</f>
        <v>453.49999999999994</v>
      </c>
      <c r="M14" s="969">
        <f t="shared" ref="M14:M28" si="5">H14/(1+$C$6)^($B14-1)</f>
        <v>6525.8996153846156</v>
      </c>
      <c r="N14" s="969">
        <f t="shared" ref="N14:N28" si="6">K14-M14</f>
        <v>-2031.4765384615393</v>
      </c>
      <c r="O14" s="970">
        <f t="shared" ref="O14:O28" si="7">N14+L14</f>
        <v>-1577.9765384615393</v>
      </c>
      <c r="P14" s="968">
        <f>P13+K14</f>
        <v>9168.6230769230751</v>
      </c>
      <c r="Q14" s="969">
        <f t="shared" ref="Q14:T28" si="8">Q13+L14</f>
        <v>925.13999999999987</v>
      </c>
      <c r="R14" s="969">
        <f t="shared" si="8"/>
        <v>13312.835215384617</v>
      </c>
      <c r="S14" s="969">
        <f t="shared" si="8"/>
        <v>-4144.2121384615402</v>
      </c>
      <c r="T14" s="970">
        <f t="shared" si="8"/>
        <v>-3219.0721384615404</v>
      </c>
    </row>
    <row r="15" spans="2:20" x14ac:dyDescent="0.3">
      <c r="B15" s="417">
        <v>3</v>
      </c>
      <c r="C15" s="197">
        <f>'Margins summary'!$E$12</f>
        <v>4674.2</v>
      </c>
      <c r="D15" s="197">
        <f>'Margins summary'!$E$13</f>
        <v>471.64</v>
      </c>
      <c r="E15" s="197">
        <f>'Margins summary'!$E$18</f>
        <v>5145.84</v>
      </c>
      <c r="F15" s="197">
        <f>'Margins summary'!$E$24</f>
        <v>2731.3292000000006</v>
      </c>
      <c r="G15" s="197">
        <f>'Margins summary'!$E$29</f>
        <v>4055.6064000000006</v>
      </c>
      <c r="H15" s="197">
        <f t="shared" si="1"/>
        <v>6786.9356000000007</v>
      </c>
      <c r="I15" s="197">
        <f t="shared" si="2"/>
        <v>-2112.7356000000009</v>
      </c>
      <c r="J15" s="197">
        <f t="shared" si="0"/>
        <v>-1641.0956000000006</v>
      </c>
      <c r="K15" s="968">
        <f t="shared" si="3"/>
        <v>4321.5606508875735</v>
      </c>
      <c r="L15" s="969">
        <f t="shared" si="4"/>
        <v>436.05769230769226</v>
      </c>
      <c r="M15" s="969">
        <f t="shared" si="5"/>
        <v>6274.9034763313612</v>
      </c>
      <c r="N15" s="969">
        <f t="shared" si="6"/>
        <v>-1953.3428254437877</v>
      </c>
      <c r="O15" s="970">
        <f t="shared" si="7"/>
        <v>-1517.2851331360953</v>
      </c>
      <c r="P15" s="968">
        <f t="shared" ref="P15:P28" si="9">P14+K15</f>
        <v>13490.183727810649</v>
      </c>
      <c r="Q15" s="969">
        <f t="shared" si="8"/>
        <v>1361.1976923076923</v>
      </c>
      <c r="R15" s="969">
        <f t="shared" si="8"/>
        <v>19587.738691715978</v>
      </c>
      <c r="S15" s="969">
        <f t="shared" si="8"/>
        <v>-6097.5549639053279</v>
      </c>
      <c r="T15" s="970">
        <f t="shared" si="8"/>
        <v>-4736.3572715976352</v>
      </c>
    </row>
    <row r="16" spans="2:20" x14ac:dyDescent="0.3">
      <c r="B16" s="417">
        <v>4</v>
      </c>
      <c r="C16" s="197">
        <f>'Margins summary'!$E$12</f>
        <v>4674.2</v>
      </c>
      <c r="D16" s="197">
        <f>'Margins summary'!$E$13</f>
        <v>471.64</v>
      </c>
      <c r="E16" s="197">
        <f>'Margins summary'!$E$18</f>
        <v>5145.84</v>
      </c>
      <c r="F16" s="197">
        <f>'Margins summary'!$E$24</f>
        <v>2731.3292000000006</v>
      </c>
      <c r="G16" s="197">
        <f>'Margins summary'!$E$29</f>
        <v>4055.6064000000006</v>
      </c>
      <c r="H16" s="197">
        <f t="shared" si="1"/>
        <v>6786.9356000000007</v>
      </c>
      <c r="I16" s="197">
        <f t="shared" si="2"/>
        <v>-2112.7356000000009</v>
      </c>
      <c r="J16" s="197">
        <f t="shared" si="0"/>
        <v>-1641.0956000000006</v>
      </c>
      <c r="K16" s="968">
        <f t="shared" si="3"/>
        <v>4155.3467796995901</v>
      </c>
      <c r="L16" s="969">
        <f t="shared" si="4"/>
        <v>419.28624260355025</v>
      </c>
      <c r="M16" s="969">
        <f t="shared" si="5"/>
        <v>6033.5610349340013</v>
      </c>
      <c r="N16" s="969">
        <f t="shared" si="6"/>
        <v>-1878.2142552344112</v>
      </c>
      <c r="O16" s="970">
        <f t="shared" si="7"/>
        <v>-1458.9280126308608</v>
      </c>
      <c r="P16" s="968">
        <f t="shared" si="9"/>
        <v>17645.530507510237</v>
      </c>
      <c r="Q16" s="969">
        <f t="shared" si="8"/>
        <v>1780.4839349112426</v>
      </c>
      <c r="R16" s="969">
        <f t="shared" si="8"/>
        <v>25621.299726649981</v>
      </c>
      <c r="S16" s="969">
        <f t="shared" si="8"/>
        <v>-7975.7692191397391</v>
      </c>
      <c r="T16" s="970">
        <f t="shared" si="8"/>
        <v>-6195.2852842284956</v>
      </c>
    </row>
    <row r="17" spans="2:20" x14ac:dyDescent="0.3">
      <c r="B17" s="417">
        <v>5</v>
      </c>
      <c r="C17" s="197">
        <f>'Margins summary'!$E$12</f>
        <v>4674.2</v>
      </c>
      <c r="D17" s="197">
        <f>'Margins summary'!$E$13</f>
        <v>471.64</v>
      </c>
      <c r="E17" s="197">
        <f>'Margins summary'!$E$18</f>
        <v>5145.84</v>
      </c>
      <c r="F17" s="197">
        <f>'Margins summary'!$E$24</f>
        <v>2731.3292000000006</v>
      </c>
      <c r="G17" s="197">
        <f>'Margins summary'!$E$29</f>
        <v>4055.6064000000006</v>
      </c>
      <c r="H17" s="197">
        <f t="shared" si="1"/>
        <v>6786.9356000000007</v>
      </c>
      <c r="I17" s="197">
        <f t="shared" si="2"/>
        <v>-2112.7356000000009</v>
      </c>
      <c r="J17" s="197">
        <f t="shared" si="0"/>
        <v>-1641.0956000000006</v>
      </c>
      <c r="K17" s="968">
        <f t="shared" si="3"/>
        <v>3995.5257497111438</v>
      </c>
      <c r="L17" s="969">
        <f t="shared" si="4"/>
        <v>403.15984865725983</v>
      </c>
      <c r="M17" s="969">
        <f t="shared" si="5"/>
        <v>5801.5009951288466</v>
      </c>
      <c r="N17" s="969">
        <f t="shared" si="6"/>
        <v>-1805.9752454177028</v>
      </c>
      <c r="O17" s="970">
        <f t="shared" si="7"/>
        <v>-1402.815396760443</v>
      </c>
      <c r="P17" s="968">
        <f t="shared" si="9"/>
        <v>21641.056257221382</v>
      </c>
      <c r="Q17" s="969">
        <f t="shared" si="8"/>
        <v>2183.6437835685024</v>
      </c>
      <c r="R17" s="969">
        <f t="shared" si="8"/>
        <v>31422.800721778825</v>
      </c>
      <c r="S17" s="969">
        <f t="shared" si="8"/>
        <v>-9781.7444645574415</v>
      </c>
      <c r="T17" s="970">
        <f t="shared" si="8"/>
        <v>-7598.1006809889386</v>
      </c>
    </row>
    <row r="18" spans="2:20" x14ac:dyDescent="0.3">
      <c r="B18" s="417">
        <v>6</v>
      </c>
      <c r="C18" s="197">
        <f>'Margins summary'!$E$12</f>
        <v>4674.2</v>
      </c>
      <c r="D18" s="197">
        <f>'Margins summary'!$E$13</f>
        <v>471.64</v>
      </c>
      <c r="E18" s="197">
        <f>'Margins summary'!$E$18</f>
        <v>5145.84</v>
      </c>
      <c r="F18" s="197">
        <f>'Margins summary'!$E$24</f>
        <v>2731.3292000000006</v>
      </c>
      <c r="G18" s="197">
        <f>'Margins summary'!$E$29</f>
        <v>4055.6064000000006</v>
      </c>
      <c r="H18" s="197">
        <f t="shared" si="1"/>
        <v>6786.9356000000007</v>
      </c>
      <c r="I18" s="197">
        <f t="shared" si="2"/>
        <v>-2112.7356000000009</v>
      </c>
      <c r="J18" s="197">
        <f t="shared" si="0"/>
        <v>-1641.0956000000006</v>
      </c>
      <c r="K18" s="968">
        <f t="shared" si="3"/>
        <v>3841.8516824145609</v>
      </c>
      <c r="L18" s="969">
        <f t="shared" si="4"/>
        <v>387.65370063198054</v>
      </c>
      <c r="M18" s="969">
        <f t="shared" si="5"/>
        <v>5578.3663414700441</v>
      </c>
      <c r="N18" s="969">
        <f t="shared" si="6"/>
        <v>-1736.5146590554832</v>
      </c>
      <c r="O18" s="970">
        <f t="shared" si="7"/>
        <v>-1348.8609584235028</v>
      </c>
      <c r="P18" s="968">
        <f t="shared" si="9"/>
        <v>25482.907939635945</v>
      </c>
      <c r="Q18" s="969">
        <f t="shared" si="8"/>
        <v>2571.2974842004828</v>
      </c>
      <c r="R18" s="969">
        <f t="shared" si="8"/>
        <v>37001.167063248868</v>
      </c>
      <c r="S18" s="969">
        <f t="shared" si="8"/>
        <v>-11518.259123612925</v>
      </c>
      <c r="T18" s="970">
        <f t="shared" si="8"/>
        <v>-8946.9616394124423</v>
      </c>
    </row>
    <row r="19" spans="2:20" x14ac:dyDescent="0.3">
      <c r="B19" s="417">
        <v>7</v>
      </c>
      <c r="C19" s="197">
        <f>'Margins summary'!$E$12</f>
        <v>4674.2</v>
      </c>
      <c r="D19" s="197">
        <f>'Margins summary'!$E$13</f>
        <v>471.64</v>
      </c>
      <c r="E19" s="197">
        <f>'Margins summary'!$E$18</f>
        <v>5145.84</v>
      </c>
      <c r="F19" s="197">
        <f>'Margins summary'!$E$24</f>
        <v>2731.3292000000006</v>
      </c>
      <c r="G19" s="197">
        <f>'Margins summary'!$E$29</f>
        <v>4055.6064000000006</v>
      </c>
      <c r="H19" s="197">
        <f t="shared" si="1"/>
        <v>6786.9356000000007</v>
      </c>
      <c r="I19" s="197">
        <f t="shared" si="2"/>
        <v>-2112.7356000000009</v>
      </c>
      <c r="J19" s="197">
        <f t="shared" si="0"/>
        <v>-1641.0956000000006</v>
      </c>
      <c r="K19" s="968">
        <f t="shared" si="3"/>
        <v>3694.088156167847</v>
      </c>
      <c r="L19" s="969">
        <f t="shared" si="4"/>
        <v>372.74394291536589</v>
      </c>
      <c r="M19" s="969">
        <f t="shared" si="5"/>
        <v>5363.8137898750429</v>
      </c>
      <c r="N19" s="969">
        <f t="shared" si="6"/>
        <v>-1669.7256337071958</v>
      </c>
      <c r="O19" s="970">
        <f t="shared" si="7"/>
        <v>-1296.9816907918298</v>
      </c>
      <c r="P19" s="968">
        <f t="shared" si="9"/>
        <v>29176.996095803792</v>
      </c>
      <c r="Q19" s="969">
        <f t="shared" si="8"/>
        <v>2944.0414271158488</v>
      </c>
      <c r="R19" s="969">
        <f t="shared" si="8"/>
        <v>42364.98085312391</v>
      </c>
      <c r="S19" s="969">
        <f t="shared" si="8"/>
        <v>-13187.98475732012</v>
      </c>
      <c r="T19" s="970">
        <f t="shared" si="8"/>
        <v>-10243.943330204273</v>
      </c>
    </row>
    <row r="20" spans="2:20" x14ac:dyDescent="0.3">
      <c r="B20" s="417">
        <v>8</v>
      </c>
      <c r="C20" s="197">
        <f>'Margins summary'!$E$12</f>
        <v>4674.2</v>
      </c>
      <c r="D20" s="197">
        <f>'Margins summary'!$E$13</f>
        <v>471.64</v>
      </c>
      <c r="E20" s="197">
        <f>'Margins summary'!$E$18</f>
        <v>5145.84</v>
      </c>
      <c r="F20" s="197">
        <f>'Margins summary'!$E$24</f>
        <v>2731.3292000000006</v>
      </c>
      <c r="G20" s="197">
        <f>'Margins summary'!$E$29</f>
        <v>4055.6064000000006</v>
      </c>
      <c r="H20" s="197">
        <f t="shared" si="1"/>
        <v>6786.9356000000007</v>
      </c>
      <c r="I20" s="197">
        <f t="shared" si="2"/>
        <v>-2112.7356000000009</v>
      </c>
      <c r="J20" s="197">
        <f t="shared" si="0"/>
        <v>-1641.0956000000006</v>
      </c>
      <c r="K20" s="968">
        <f t="shared" si="3"/>
        <v>3552.0078424690842</v>
      </c>
      <c r="L20" s="969">
        <f t="shared" si="4"/>
        <v>358.40763741862111</v>
      </c>
      <c r="M20" s="969">
        <f t="shared" si="5"/>
        <v>5157.5132594952338</v>
      </c>
      <c r="N20" s="969">
        <f t="shared" si="6"/>
        <v>-1605.5054170261496</v>
      </c>
      <c r="O20" s="970">
        <f t="shared" si="7"/>
        <v>-1247.0977796075285</v>
      </c>
      <c r="P20" s="968">
        <f t="shared" si="9"/>
        <v>32729.003938272876</v>
      </c>
      <c r="Q20" s="969">
        <f t="shared" si="8"/>
        <v>3302.4490645344699</v>
      </c>
      <c r="R20" s="969">
        <f t="shared" si="8"/>
        <v>47522.494112619141</v>
      </c>
      <c r="S20" s="969">
        <f t="shared" si="8"/>
        <v>-14793.490174346271</v>
      </c>
      <c r="T20" s="970">
        <f t="shared" si="8"/>
        <v>-11491.041109811802</v>
      </c>
    </row>
    <row r="21" spans="2:20" x14ac:dyDescent="0.3">
      <c r="B21" s="417">
        <v>9</v>
      </c>
      <c r="C21" s="197">
        <f>'Margins summary'!$E$12</f>
        <v>4674.2</v>
      </c>
      <c r="D21" s="197">
        <f>'Margins summary'!$E$13</f>
        <v>471.64</v>
      </c>
      <c r="E21" s="197">
        <f>'Margins summary'!$E$18</f>
        <v>5145.84</v>
      </c>
      <c r="F21" s="197">
        <f>'Margins summary'!$E$24</f>
        <v>2731.3292000000006</v>
      </c>
      <c r="G21" s="197">
        <f>'Margins summary'!$E$29</f>
        <v>4055.6064000000006</v>
      </c>
      <c r="H21" s="197">
        <f t="shared" si="1"/>
        <v>6786.9356000000007</v>
      </c>
      <c r="I21" s="197">
        <f t="shared" si="2"/>
        <v>-2112.7356000000009</v>
      </c>
      <c r="J21" s="197">
        <f t="shared" si="0"/>
        <v>-1641.0956000000006</v>
      </c>
      <c r="K21" s="968">
        <f t="shared" si="3"/>
        <v>3415.3921562202722</v>
      </c>
      <c r="L21" s="969">
        <f t="shared" si="4"/>
        <v>344.6227282871356</v>
      </c>
      <c r="M21" s="969">
        <f t="shared" si="5"/>
        <v>4959.1473648992624</v>
      </c>
      <c r="N21" s="969">
        <f t="shared" si="6"/>
        <v>-1543.7552086789901</v>
      </c>
      <c r="O21" s="970">
        <f t="shared" si="7"/>
        <v>-1199.1324803918546</v>
      </c>
      <c r="P21" s="968">
        <f t="shared" si="9"/>
        <v>36144.396094493146</v>
      </c>
      <c r="Q21" s="969">
        <f t="shared" si="8"/>
        <v>3647.0717928216054</v>
      </c>
      <c r="R21" s="969">
        <f t="shared" si="8"/>
        <v>52481.641477518402</v>
      </c>
      <c r="S21" s="969">
        <f t="shared" si="8"/>
        <v>-16337.24538302526</v>
      </c>
      <c r="T21" s="970">
        <f t="shared" si="8"/>
        <v>-12690.173590203656</v>
      </c>
    </row>
    <row r="22" spans="2:20" x14ac:dyDescent="0.3">
      <c r="B22" s="417">
        <v>10</v>
      </c>
      <c r="C22" s="197">
        <f>'Margins summary'!$E$12</f>
        <v>4674.2</v>
      </c>
      <c r="D22" s="197">
        <f>'Margins summary'!$E$13</f>
        <v>471.64</v>
      </c>
      <c r="E22" s="197">
        <f>'Margins summary'!$E$18</f>
        <v>5145.84</v>
      </c>
      <c r="F22" s="197">
        <f>'Margins summary'!$E$24</f>
        <v>2731.3292000000006</v>
      </c>
      <c r="G22" s="197">
        <f>'Margins summary'!$E$29</f>
        <v>4055.6064000000006</v>
      </c>
      <c r="H22" s="197">
        <f t="shared" si="1"/>
        <v>6786.9356000000007</v>
      </c>
      <c r="I22" s="197">
        <f t="shared" si="2"/>
        <v>-2112.7356000000009</v>
      </c>
      <c r="J22" s="197">
        <f t="shared" si="0"/>
        <v>-1641.0956000000006</v>
      </c>
      <c r="K22" s="968">
        <f t="shared" si="3"/>
        <v>3284.0309194425695</v>
      </c>
      <c r="L22" s="969">
        <f t="shared" si="4"/>
        <v>331.36800796839958</v>
      </c>
      <c r="M22" s="969">
        <f t="shared" si="5"/>
        <v>4768.4109277877515</v>
      </c>
      <c r="N22" s="969">
        <f t="shared" si="6"/>
        <v>-1484.380008345182</v>
      </c>
      <c r="O22" s="970">
        <f t="shared" si="7"/>
        <v>-1153.0120003767825</v>
      </c>
      <c r="P22" s="968">
        <f t="shared" si="9"/>
        <v>39428.427013935718</v>
      </c>
      <c r="Q22" s="969">
        <f t="shared" si="8"/>
        <v>3978.4398007900049</v>
      </c>
      <c r="R22" s="969">
        <f t="shared" si="8"/>
        <v>57250.052405306153</v>
      </c>
      <c r="S22" s="969">
        <f t="shared" si="8"/>
        <v>-17821.625391370442</v>
      </c>
      <c r="T22" s="970">
        <f t="shared" si="8"/>
        <v>-13843.185590580439</v>
      </c>
    </row>
    <row r="23" spans="2:20" x14ac:dyDescent="0.3">
      <c r="B23" s="417">
        <v>11</v>
      </c>
      <c r="C23" s="197">
        <f>'Margins summary'!$E$12</f>
        <v>4674.2</v>
      </c>
      <c r="D23" s="197">
        <f>'Margins summary'!$E$13</f>
        <v>471.64</v>
      </c>
      <c r="E23" s="197">
        <f>'Margins summary'!$E$18</f>
        <v>5145.84</v>
      </c>
      <c r="F23" s="197">
        <f>'Margins summary'!$E$24</f>
        <v>2731.3292000000006</v>
      </c>
      <c r="G23" s="197">
        <f>'Margins summary'!$E$29</f>
        <v>4055.6064000000006</v>
      </c>
      <c r="H23" s="197">
        <f t="shared" si="1"/>
        <v>6786.9356000000007</v>
      </c>
      <c r="I23" s="197">
        <f t="shared" si="2"/>
        <v>-2112.7356000000009</v>
      </c>
      <c r="J23" s="197">
        <f t="shared" si="0"/>
        <v>-1641.0956000000006</v>
      </c>
      <c r="K23" s="968">
        <f t="shared" si="3"/>
        <v>3157.7220379255473</v>
      </c>
      <c r="L23" s="969">
        <f t="shared" si="4"/>
        <v>318.62308458499962</v>
      </c>
      <c r="M23" s="969">
        <f t="shared" si="5"/>
        <v>4585.0105074882231</v>
      </c>
      <c r="N23" s="969">
        <f t="shared" si="6"/>
        <v>-1427.2884695626758</v>
      </c>
      <c r="O23" s="970">
        <f t="shared" si="7"/>
        <v>-1108.6653849776762</v>
      </c>
      <c r="P23" s="968">
        <f t="shared" si="9"/>
        <v>42586.149051861263</v>
      </c>
      <c r="Q23" s="969">
        <f t="shared" si="8"/>
        <v>4297.062885375005</v>
      </c>
      <c r="R23" s="969">
        <f t="shared" si="8"/>
        <v>61835.062912794376</v>
      </c>
      <c r="S23" s="969">
        <f t="shared" si="8"/>
        <v>-19248.913860933117</v>
      </c>
      <c r="T23" s="970">
        <f t="shared" si="8"/>
        <v>-14951.850975558114</v>
      </c>
    </row>
    <row r="24" spans="2:20" x14ac:dyDescent="0.3">
      <c r="B24" s="417">
        <v>12</v>
      </c>
      <c r="C24" s="197">
        <f>'Margins summary'!$E$12</f>
        <v>4674.2</v>
      </c>
      <c r="D24" s="197">
        <f>'Margins summary'!$E$13</f>
        <v>471.64</v>
      </c>
      <c r="E24" s="197">
        <f>'Margins summary'!$E$18</f>
        <v>5145.84</v>
      </c>
      <c r="F24" s="197">
        <f>'Margins summary'!$E$24</f>
        <v>2731.3292000000006</v>
      </c>
      <c r="G24" s="197">
        <f>'Margins summary'!$E$29</f>
        <v>4055.6064000000006</v>
      </c>
      <c r="H24" s="197">
        <f t="shared" si="1"/>
        <v>6786.9356000000007</v>
      </c>
      <c r="I24" s="197">
        <f t="shared" si="2"/>
        <v>-2112.7356000000009</v>
      </c>
      <c r="J24" s="197">
        <f t="shared" si="0"/>
        <v>-1641.0956000000006</v>
      </c>
      <c r="K24" s="968">
        <f t="shared" si="3"/>
        <v>3036.2711903130266</v>
      </c>
      <c r="L24" s="969">
        <f t="shared" si="4"/>
        <v>306.36835056249964</v>
      </c>
      <c r="M24" s="969">
        <f t="shared" si="5"/>
        <v>4408.6639495079071</v>
      </c>
      <c r="N24" s="969">
        <f t="shared" si="6"/>
        <v>-1372.3927591948805</v>
      </c>
      <c r="O24" s="970">
        <f t="shared" si="7"/>
        <v>-1066.0244086323808</v>
      </c>
      <c r="P24" s="968">
        <f t="shared" si="9"/>
        <v>45622.420242174288</v>
      </c>
      <c r="Q24" s="969">
        <f t="shared" si="8"/>
        <v>4603.4312359375044</v>
      </c>
      <c r="R24" s="969">
        <f t="shared" si="8"/>
        <v>66243.726862302283</v>
      </c>
      <c r="S24" s="969">
        <f t="shared" si="8"/>
        <v>-20621.306620127998</v>
      </c>
      <c r="T24" s="970">
        <f t="shared" si="8"/>
        <v>-16017.875384190495</v>
      </c>
    </row>
    <row r="25" spans="2:20" x14ac:dyDescent="0.3">
      <c r="B25" s="417">
        <v>13</v>
      </c>
      <c r="C25" s="197">
        <f>'Margins summary'!$E$12</f>
        <v>4674.2</v>
      </c>
      <c r="D25" s="197">
        <f>'Margins summary'!$E$13</f>
        <v>471.64</v>
      </c>
      <c r="E25" s="197">
        <f>'Margins summary'!$E$18</f>
        <v>5145.84</v>
      </c>
      <c r="F25" s="197">
        <f>'Margins summary'!$E$24</f>
        <v>2731.3292000000006</v>
      </c>
      <c r="G25" s="197">
        <f>'Margins summary'!$E$29</f>
        <v>4055.6064000000006</v>
      </c>
      <c r="H25" s="197">
        <f t="shared" si="1"/>
        <v>6786.9356000000007</v>
      </c>
      <c r="I25" s="197">
        <f t="shared" si="2"/>
        <v>-2112.7356000000009</v>
      </c>
      <c r="J25" s="197">
        <f t="shared" si="0"/>
        <v>-1641.0956000000006</v>
      </c>
      <c r="K25" s="968">
        <f t="shared" si="3"/>
        <v>2919.4915291471402</v>
      </c>
      <c r="L25" s="969">
        <f t="shared" si="4"/>
        <v>294.58495246394193</v>
      </c>
      <c r="M25" s="969">
        <f t="shared" si="5"/>
        <v>4239.0999514499099</v>
      </c>
      <c r="N25" s="969">
        <f t="shared" si="6"/>
        <v>-1319.6084223027697</v>
      </c>
      <c r="O25" s="970">
        <f t="shared" si="7"/>
        <v>-1025.0234698388276</v>
      </c>
      <c r="P25" s="968">
        <f t="shared" si="9"/>
        <v>48541.911771321429</v>
      </c>
      <c r="Q25" s="969">
        <f t="shared" si="8"/>
        <v>4898.016188401446</v>
      </c>
      <c r="R25" s="969">
        <f t="shared" si="8"/>
        <v>70482.826813752195</v>
      </c>
      <c r="S25" s="969">
        <f t="shared" si="8"/>
        <v>-21940.915042430766</v>
      </c>
      <c r="T25" s="970">
        <f t="shared" si="8"/>
        <v>-17042.898854029321</v>
      </c>
    </row>
    <row r="26" spans="2:20" x14ac:dyDescent="0.3">
      <c r="B26" s="417">
        <v>14</v>
      </c>
      <c r="C26" s="197">
        <f>'Margins summary'!$E$12</f>
        <v>4674.2</v>
      </c>
      <c r="D26" s="197">
        <f>'Margins summary'!$E$13</f>
        <v>471.64</v>
      </c>
      <c r="E26" s="197">
        <f>'Margins summary'!$E$18</f>
        <v>5145.84</v>
      </c>
      <c r="F26" s="197">
        <f>'Margins summary'!$E$24</f>
        <v>2731.3292000000006</v>
      </c>
      <c r="G26" s="197">
        <f>'Margins summary'!$E$29</f>
        <v>4055.6064000000006</v>
      </c>
      <c r="H26" s="197">
        <f t="shared" si="1"/>
        <v>6786.9356000000007</v>
      </c>
      <c r="I26" s="197">
        <f t="shared" si="2"/>
        <v>-2112.7356000000009</v>
      </c>
      <c r="J26" s="197">
        <f t="shared" si="0"/>
        <v>-1641.0956000000006</v>
      </c>
      <c r="K26" s="968">
        <f t="shared" si="3"/>
        <v>2807.2033934107117</v>
      </c>
      <c r="L26" s="969">
        <f t="shared" si="4"/>
        <v>283.25476198455954</v>
      </c>
      <c r="M26" s="969">
        <f t="shared" si="5"/>
        <v>4076.0576456249128</v>
      </c>
      <c r="N26" s="969">
        <f t="shared" si="6"/>
        <v>-1268.8542522142011</v>
      </c>
      <c r="O26" s="970">
        <f t="shared" si="7"/>
        <v>-985.59949022964156</v>
      </c>
      <c r="P26" s="968">
        <f t="shared" si="9"/>
        <v>51349.115164732139</v>
      </c>
      <c r="Q26" s="969">
        <f t="shared" si="8"/>
        <v>5181.270950386006</v>
      </c>
      <c r="R26" s="969">
        <f t="shared" si="8"/>
        <v>74558.884459377106</v>
      </c>
      <c r="S26" s="969">
        <f t="shared" si="8"/>
        <v>-23209.769294644968</v>
      </c>
      <c r="T26" s="970">
        <f t="shared" si="8"/>
        <v>-18028.498344258962</v>
      </c>
    </row>
    <row r="27" spans="2:20" x14ac:dyDescent="0.3">
      <c r="B27" s="417">
        <v>15</v>
      </c>
      <c r="C27" s="197">
        <f>'Margins summary'!$E$12</f>
        <v>4674.2</v>
      </c>
      <c r="D27" s="197">
        <f>'Margins summary'!$E$13</f>
        <v>471.64</v>
      </c>
      <c r="E27" s="197">
        <f>'Margins summary'!$E$18</f>
        <v>5145.84</v>
      </c>
      <c r="F27" s="197">
        <f>'Margins summary'!$E$24</f>
        <v>2731.3292000000006</v>
      </c>
      <c r="G27" s="197">
        <f>'Margins summary'!$E$29</f>
        <v>4055.6064000000006</v>
      </c>
      <c r="H27" s="197">
        <f t="shared" si="1"/>
        <v>6786.9356000000007</v>
      </c>
      <c r="I27" s="197">
        <f t="shared" si="2"/>
        <v>-2112.7356000000009</v>
      </c>
      <c r="J27" s="197">
        <f t="shared" si="0"/>
        <v>-1641.0956000000006</v>
      </c>
      <c r="K27" s="968">
        <f t="shared" si="3"/>
        <v>2699.2340321256843</v>
      </c>
      <c r="L27" s="969">
        <f t="shared" si="4"/>
        <v>272.36034806207647</v>
      </c>
      <c r="M27" s="969">
        <f t="shared" si="5"/>
        <v>3919.2861977162624</v>
      </c>
      <c r="N27" s="969">
        <f t="shared" si="6"/>
        <v>-1220.0521655905782</v>
      </c>
      <c r="O27" s="970">
        <f t="shared" si="7"/>
        <v>-947.6918175285017</v>
      </c>
      <c r="P27" s="968">
        <f t="shared" si="9"/>
        <v>54048.349196857824</v>
      </c>
      <c r="Q27" s="969">
        <f t="shared" si="8"/>
        <v>5453.6312984480828</v>
      </c>
      <c r="R27" s="969">
        <f t="shared" si="8"/>
        <v>78478.170657093375</v>
      </c>
      <c r="S27" s="969">
        <f t="shared" si="8"/>
        <v>-24429.821460235547</v>
      </c>
      <c r="T27" s="970">
        <f t="shared" si="8"/>
        <v>-18976.190161787465</v>
      </c>
    </row>
    <row r="28" spans="2:20" x14ac:dyDescent="0.3">
      <c r="B28" s="558">
        <v>16</v>
      </c>
      <c r="C28" s="207">
        <f>'Margins summary'!$E$12</f>
        <v>4674.2</v>
      </c>
      <c r="D28" s="207">
        <f>'Margins summary'!$E$13</f>
        <v>471.64</v>
      </c>
      <c r="E28" s="207">
        <f>'Margins summary'!$E$18</f>
        <v>5145.84</v>
      </c>
      <c r="F28" s="207">
        <f>'Margins summary'!$E$24</f>
        <v>2731.3292000000006</v>
      </c>
      <c r="G28" s="207">
        <f>'Margins summary'!$E$29</f>
        <v>4055.6064000000006</v>
      </c>
      <c r="H28" s="207">
        <f t="shared" si="1"/>
        <v>6786.9356000000007</v>
      </c>
      <c r="I28" s="207">
        <f t="shared" si="2"/>
        <v>-2112.7356000000009</v>
      </c>
      <c r="J28" s="207">
        <f t="shared" si="0"/>
        <v>-1641.0956000000006</v>
      </c>
      <c r="K28" s="971">
        <f t="shared" si="3"/>
        <v>2595.4173385823888</v>
      </c>
      <c r="L28" s="972">
        <f t="shared" si="4"/>
        <v>261.88495005968895</v>
      </c>
      <c r="M28" s="972">
        <f t="shared" si="5"/>
        <v>3768.5444208810218</v>
      </c>
      <c r="N28" s="972">
        <f t="shared" si="6"/>
        <v>-1173.127082298633</v>
      </c>
      <c r="O28" s="973">
        <f t="shared" si="7"/>
        <v>-911.24213223894412</v>
      </c>
      <c r="P28" s="971">
        <f t="shared" si="9"/>
        <v>56643.766535440212</v>
      </c>
      <c r="Q28" s="972">
        <f t="shared" si="8"/>
        <v>5715.5162485077717</v>
      </c>
      <c r="R28" s="972">
        <f t="shared" si="8"/>
        <v>82246.715077974397</v>
      </c>
      <c r="S28" s="972">
        <f t="shared" si="8"/>
        <v>-25602.948542534181</v>
      </c>
      <c r="T28" s="973">
        <f t="shared" si="8"/>
        <v>-19887.43229402641</v>
      </c>
    </row>
    <row r="35" spans="2:20" x14ac:dyDescent="0.3">
      <c r="B35" s="211" t="s">
        <v>647</v>
      </c>
      <c r="C35" s="194"/>
      <c r="D35" s="193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</row>
    <row r="36" spans="2:20" x14ac:dyDescent="0.3">
      <c r="B36" s="203"/>
      <c r="C36" s="1082"/>
      <c r="D36" s="1082"/>
      <c r="E36" s="1082"/>
      <c r="F36" s="148"/>
      <c r="G36" s="1082"/>
      <c r="H36" s="1082"/>
      <c r="I36" s="148"/>
      <c r="J36" s="148"/>
      <c r="K36" s="1083" t="s">
        <v>273</v>
      </c>
      <c r="L36" s="1084"/>
      <c r="M36" s="1084"/>
      <c r="N36" s="1084"/>
      <c r="O36" s="1085"/>
      <c r="P36" s="1083" t="s">
        <v>274</v>
      </c>
      <c r="Q36" s="1084"/>
      <c r="R36" s="1084"/>
      <c r="S36" s="1084"/>
      <c r="T36" s="1085"/>
    </row>
    <row r="37" spans="2:20" ht="51" x14ac:dyDescent="0.3">
      <c r="B37" s="204" t="s">
        <v>275</v>
      </c>
      <c r="C37" s="171" t="s">
        <v>622</v>
      </c>
      <c r="D37" s="171" t="s">
        <v>591</v>
      </c>
      <c r="E37" s="171" t="s">
        <v>623</v>
      </c>
      <c r="F37" s="205" t="s">
        <v>286</v>
      </c>
      <c r="G37" s="171" t="s">
        <v>278</v>
      </c>
      <c r="H37" s="171" t="s">
        <v>279</v>
      </c>
      <c r="I37" s="171" t="s">
        <v>624</v>
      </c>
      <c r="J37" s="171" t="s">
        <v>625</v>
      </c>
      <c r="K37" s="195" t="s">
        <v>280</v>
      </c>
      <c r="L37" s="171" t="s">
        <v>626</v>
      </c>
      <c r="M37" s="171" t="s">
        <v>298</v>
      </c>
      <c r="N37" s="171" t="s">
        <v>627</v>
      </c>
      <c r="O37" s="198" t="s">
        <v>282</v>
      </c>
      <c r="P37" s="195" t="s">
        <v>283</v>
      </c>
      <c r="Q37" s="171" t="s">
        <v>628</v>
      </c>
      <c r="R37" s="171" t="s">
        <v>299</v>
      </c>
      <c r="S37" s="171" t="s">
        <v>629</v>
      </c>
      <c r="T37" s="198" t="s">
        <v>285</v>
      </c>
    </row>
    <row r="38" spans="2:20" x14ac:dyDescent="0.3">
      <c r="B38" s="173"/>
      <c r="C38" s="201" t="s">
        <v>571</v>
      </c>
      <c r="D38" s="201" t="s">
        <v>571</v>
      </c>
      <c r="E38" s="201" t="s">
        <v>571</v>
      </c>
      <c r="F38" s="201" t="s">
        <v>571</v>
      </c>
      <c r="G38" s="201" t="s">
        <v>571</v>
      </c>
      <c r="H38" s="201" t="s">
        <v>571</v>
      </c>
      <c r="I38" s="201" t="s">
        <v>571</v>
      </c>
      <c r="J38" s="202" t="s">
        <v>571</v>
      </c>
      <c r="K38" s="201" t="s">
        <v>571</v>
      </c>
      <c r="L38" s="201" t="s">
        <v>571</v>
      </c>
      <c r="M38" s="201" t="s">
        <v>571</v>
      </c>
      <c r="N38" s="201" t="s">
        <v>571</v>
      </c>
      <c r="O38" s="202" t="s">
        <v>571</v>
      </c>
      <c r="P38" s="201" t="s">
        <v>571</v>
      </c>
      <c r="Q38" s="201" t="s">
        <v>571</v>
      </c>
      <c r="R38" s="201" t="s">
        <v>571</v>
      </c>
      <c r="S38" s="201" t="s">
        <v>571</v>
      </c>
      <c r="T38" s="202" t="s">
        <v>571</v>
      </c>
    </row>
    <row r="39" spans="2:20" x14ac:dyDescent="0.3">
      <c r="B39" s="725">
        <v>1</v>
      </c>
      <c r="C39" s="197">
        <f>'Margins summary'!$F$12</f>
        <v>2162.5</v>
      </c>
      <c r="D39" s="197">
        <f>'Margins summary'!$F$13</f>
        <v>471.64</v>
      </c>
      <c r="E39" s="197">
        <f>'Margins summary'!$F$18</f>
        <v>2634.14</v>
      </c>
      <c r="F39" s="197">
        <f>'Margins summary'!$F$24</f>
        <v>1959.4805899999999</v>
      </c>
      <c r="G39" s="197">
        <f>'Margins summary'!$F$29</f>
        <v>3608.9468000000006</v>
      </c>
      <c r="H39" s="197">
        <f>F39+G39</f>
        <v>5568.4273900000007</v>
      </c>
      <c r="I39" s="197">
        <f>C39-H39</f>
        <v>-3405.9273900000007</v>
      </c>
      <c r="J39" s="197">
        <f t="shared" ref="J39:J54" si="10">E39-H39</f>
        <v>-2934.2873900000009</v>
      </c>
      <c r="K39" s="968">
        <f>C39/(1+$C$6)^($B39-1)</f>
        <v>2162.5</v>
      </c>
      <c r="L39" s="974">
        <f>D39/(1+$C$6)^($B39-1)</f>
        <v>471.64</v>
      </c>
      <c r="M39" s="969">
        <f>H39/(1+$C$6)^($B39-1)</f>
        <v>5568.4273900000007</v>
      </c>
      <c r="N39" s="969">
        <f>K39-M39</f>
        <v>-3405.9273900000007</v>
      </c>
      <c r="O39" s="970">
        <f>N39+L39</f>
        <v>-2934.2873900000009</v>
      </c>
      <c r="P39" s="968">
        <f>K39</f>
        <v>2162.5</v>
      </c>
      <c r="Q39" s="969">
        <f>L39</f>
        <v>471.64</v>
      </c>
      <c r="R39" s="969">
        <f>M39</f>
        <v>5568.4273900000007</v>
      </c>
      <c r="S39" s="969">
        <f>N39</f>
        <v>-3405.9273900000007</v>
      </c>
      <c r="T39" s="970">
        <f>O39</f>
        <v>-2934.2873900000009</v>
      </c>
    </row>
    <row r="40" spans="2:20" x14ac:dyDescent="0.3">
      <c r="B40" s="417">
        <v>2</v>
      </c>
      <c r="C40" s="197">
        <f>'Margins summary'!$F$12</f>
        <v>2162.5</v>
      </c>
      <c r="D40" s="197">
        <f>'Margins summary'!$F$13</f>
        <v>471.64</v>
      </c>
      <c r="E40" s="197">
        <f>'Margins summary'!$F$18</f>
        <v>2634.14</v>
      </c>
      <c r="F40" s="197">
        <f>'Margins summary'!$F$24</f>
        <v>1959.4805899999999</v>
      </c>
      <c r="G40" s="197">
        <f>'Margins summary'!$F$29</f>
        <v>3608.9468000000006</v>
      </c>
      <c r="H40" s="197">
        <f t="shared" ref="H40:H54" si="11">F40+G40</f>
        <v>5568.4273900000007</v>
      </c>
      <c r="I40" s="197">
        <f t="shared" ref="I40:I54" si="12">C40-H40</f>
        <v>-3405.9273900000007</v>
      </c>
      <c r="J40" s="197">
        <f t="shared" si="10"/>
        <v>-2934.2873900000009</v>
      </c>
      <c r="K40" s="968">
        <f t="shared" ref="K40:K54" si="13">C40/(1+$C$6)^($B40-1)</f>
        <v>2079.3269230769229</v>
      </c>
      <c r="L40" s="969">
        <f t="shared" ref="L40:L54" si="14">D40/(1+$C$6)^($B40-1)</f>
        <v>453.49999999999994</v>
      </c>
      <c r="M40" s="969">
        <f t="shared" ref="M40:M54" si="15">H40/(1+$C$6)^($B40-1)</f>
        <v>5354.2571057692312</v>
      </c>
      <c r="N40" s="969">
        <f t="shared" ref="N40:N54" si="16">K40-M40</f>
        <v>-3274.9301826923083</v>
      </c>
      <c r="O40" s="970">
        <f t="shared" ref="O40:O54" si="17">N40+L40</f>
        <v>-2821.4301826923083</v>
      </c>
      <c r="P40" s="968">
        <f>P39+K40</f>
        <v>4241.8269230769229</v>
      </c>
      <c r="Q40" s="969">
        <f t="shared" ref="Q40:Q54" si="18">Q39+L40</f>
        <v>925.13999999999987</v>
      </c>
      <c r="R40" s="969">
        <f t="shared" ref="R40:R54" si="19">R39+M40</f>
        <v>10922.684495769232</v>
      </c>
      <c r="S40" s="969">
        <f t="shared" ref="S40:S54" si="20">S39+N40</f>
        <v>-6680.8575726923091</v>
      </c>
      <c r="T40" s="970">
        <f t="shared" ref="T40:T54" si="21">T39+O40</f>
        <v>-5755.7175726923087</v>
      </c>
    </row>
    <row r="41" spans="2:20" x14ac:dyDescent="0.3">
      <c r="B41" s="417">
        <v>3</v>
      </c>
      <c r="C41" s="197">
        <f>'Margins summary'!$F$12</f>
        <v>2162.5</v>
      </c>
      <c r="D41" s="197">
        <f>'Margins summary'!$F$13</f>
        <v>471.64</v>
      </c>
      <c r="E41" s="197">
        <f>'Margins summary'!$F$18</f>
        <v>2634.14</v>
      </c>
      <c r="F41" s="197">
        <f>'Margins summary'!$F$24</f>
        <v>1959.4805899999999</v>
      </c>
      <c r="G41" s="197">
        <f>'Margins summary'!$F$29</f>
        <v>3608.9468000000006</v>
      </c>
      <c r="H41" s="197">
        <f t="shared" si="11"/>
        <v>5568.4273900000007</v>
      </c>
      <c r="I41" s="197">
        <f t="shared" si="12"/>
        <v>-3405.9273900000007</v>
      </c>
      <c r="J41" s="197">
        <f t="shared" si="10"/>
        <v>-2934.2873900000009</v>
      </c>
      <c r="K41" s="968">
        <f t="shared" si="13"/>
        <v>1999.3528106508872</v>
      </c>
      <c r="L41" s="969">
        <f t="shared" si="14"/>
        <v>436.05769230769226</v>
      </c>
      <c r="M41" s="969">
        <f t="shared" si="15"/>
        <v>5148.324140162722</v>
      </c>
      <c r="N41" s="969">
        <f t="shared" si="16"/>
        <v>-3148.9713295118345</v>
      </c>
      <c r="O41" s="970">
        <f t="shared" si="17"/>
        <v>-2712.9136372041421</v>
      </c>
      <c r="P41" s="968">
        <f t="shared" ref="P41:P54" si="22">P40+K41</f>
        <v>6241.1797337278103</v>
      </c>
      <c r="Q41" s="969">
        <f t="shared" si="18"/>
        <v>1361.1976923076923</v>
      </c>
      <c r="R41" s="969">
        <f t="shared" si="19"/>
        <v>16071.008635931954</v>
      </c>
      <c r="S41" s="969">
        <f t="shared" si="20"/>
        <v>-9829.8289022041427</v>
      </c>
      <c r="T41" s="970">
        <f t="shared" si="21"/>
        <v>-8468.6312098964518</v>
      </c>
    </row>
    <row r="42" spans="2:20" x14ac:dyDescent="0.3">
      <c r="B42" s="417">
        <v>4</v>
      </c>
      <c r="C42" s="197">
        <f>'Margins summary'!$F$12</f>
        <v>2162.5</v>
      </c>
      <c r="D42" s="197">
        <f>'Margins summary'!$F$13</f>
        <v>471.64</v>
      </c>
      <c r="E42" s="197">
        <f>'Margins summary'!$F$18</f>
        <v>2634.14</v>
      </c>
      <c r="F42" s="197">
        <f>'Margins summary'!$F$24</f>
        <v>1959.4805899999999</v>
      </c>
      <c r="G42" s="197">
        <f>'Margins summary'!$F$29</f>
        <v>3608.9468000000006</v>
      </c>
      <c r="H42" s="197">
        <f t="shared" si="11"/>
        <v>5568.4273900000007</v>
      </c>
      <c r="I42" s="197">
        <f t="shared" si="12"/>
        <v>-3405.9273900000007</v>
      </c>
      <c r="J42" s="197">
        <f t="shared" si="10"/>
        <v>-2934.2873900000009</v>
      </c>
      <c r="K42" s="968">
        <f t="shared" si="13"/>
        <v>1922.4546256258534</v>
      </c>
      <c r="L42" s="969">
        <f t="shared" si="14"/>
        <v>419.28624260355025</v>
      </c>
      <c r="M42" s="969">
        <f t="shared" si="15"/>
        <v>4950.3116732333865</v>
      </c>
      <c r="N42" s="969">
        <f t="shared" si="16"/>
        <v>-3027.8570476075329</v>
      </c>
      <c r="O42" s="970">
        <f t="shared" si="17"/>
        <v>-2608.5708050039825</v>
      </c>
      <c r="P42" s="968">
        <f t="shared" si="22"/>
        <v>8163.634359353664</v>
      </c>
      <c r="Q42" s="969">
        <f t="shared" si="18"/>
        <v>1780.4839349112426</v>
      </c>
      <c r="R42" s="969">
        <f t="shared" si="19"/>
        <v>21021.320309165341</v>
      </c>
      <c r="S42" s="969">
        <f t="shared" si="20"/>
        <v>-12857.685949811676</v>
      </c>
      <c r="T42" s="970">
        <f t="shared" si="21"/>
        <v>-11077.202014900435</v>
      </c>
    </row>
    <row r="43" spans="2:20" x14ac:dyDescent="0.3">
      <c r="B43" s="417">
        <v>5</v>
      </c>
      <c r="C43" s="197">
        <f>'Margins summary'!$F$12</f>
        <v>2162.5</v>
      </c>
      <c r="D43" s="197">
        <f>'Margins summary'!$F$13</f>
        <v>471.64</v>
      </c>
      <c r="E43" s="197">
        <f>'Margins summary'!$F$18</f>
        <v>2634.14</v>
      </c>
      <c r="F43" s="197">
        <f>'Margins summary'!$F$24</f>
        <v>1959.4805899999999</v>
      </c>
      <c r="G43" s="197">
        <f>'Margins summary'!$F$29</f>
        <v>3608.9468000000006</v>
      </c>
      <c r="H43" s="197">
        <f t="shared" si="11"/>
        <v>5568.4273900000007</v>
      </c>
      <c r="I43" s="197">
        <f t="shared" si="12"/>
        <v>-3405.9273900000007</v>
      </c>
      <c r="J43" s="197">
        <f t="shared" si="10"/>
        <v>-2934.2873900000009</v>
      </c>
      <c r="K43" s="968">
        <f t="shared" si="13"/>
        <v>1848.5140631017819</v>
      </c>
      <c r="L43" s="969">
        <f t="shared" si="14"/>
        <v>403.15984865725983</v>
      </c>
      <c r="M43" s="969">
        <f t="shared" si="15"/>
        <v>4759.9150704167178</v>
      </c>
      <c r="N43" s="969">
        <f t="shared" si="16"/>
        <v>-2911.4010073149357</v>
      </c>
      <c r="O43" s="970">
        <f t="shared" si="17"/>
        <v>-2508.2411586576759</v>
      </c>
      <c r="P43" s="968">
        <f t="shared" si="22"/>
        <v>10012.148422455446</v>
      </c>
      <c r="Q43" s="969">
        <f t="shared" si="18"/>
        <v>2183.6437835685024</v>
      </c>
      <c r="R43" s="969">
        <f t="shared" si="19"/>
        <v>25781.23537958206</v>
      </c>
      <c r="S43" s="969">
        <f t="shared" si="20"/>
        <v>-15769.086957126612</v>
      </c>
      <c r="T43" s="970">
        <f t="shared" si="21"/>
        <v>-13585.443173558111</v>
      </c>
    </row>
    <row r="44" spans="2:20" x14ac:dyDescent="0.3">
      <c r="B44" s="417">
        <v>6</v>
      </c>
      <c r="C44" s="197">
        <f>'Margins summary'!$F$12</f>
        <v>2162.5</v>
      </c>
      <c r="D44" s="197">
        <f>'Margins summary'!$F$13</f>
        <v>471.64</v>
      </c>
      <c r="E44" s="197">
        <f>'Margins summary'!$F$18</f>
        <v>2634.14</v>
      </c>
      <c r="F44" s="197">
        <f>'Margins summary'!$F$24</f>
        <v>1959.4805899999999</v>
      </c>
      <c r="G44" s="197">
        <f>'Margins summary'!$F$29</f>
        <v>3608.9468000000006</v>
      </c>
      <c r="H44" s="197">
        <f t="shared" si="11"/>
        <v>5568.4273900000007</v>
      </c>
      <c r="I44" s="197">
        <f t="shared" si="12"/>
        <v>-3405.9273900000007</v>
      </c>
      <c r="J44" s="197">
        <f t="shared" si="10"/>
        <v>-2934.2873900000009</v>
      </c>
      <c r="K44" s="968">
        <f t="shared" si="13"/>
        <v>1777.4173683670977</v>
      </c>
      <c r="L44" s="969">
        <f t="shared" si="14"/>
        <v>387.65370063198054</v>
      </c>
      <c r="M44" s="969">
        <f t="shared" si="15"/>
        <v>4576.8414138622275</v>
      </c>
      <c r="N44" s="969">
        <f t="shared" si="16"/>
        <v>-2799.4240454951296</v>
      </c>
      <c r="O44" s="970">
        <f t="shared" si="17"/>
        <v>-2411.7703448631491</v>
      </c>
      <c r="P44" s="968">
        <f t="shared" si="22"/>
        <v>11789.565790822544</v>
      </c>
      <c r="Q44" s="969">
        <f t="shared" si="18"/>
        <v>2571.2974842004828</v>
      </c>
      <c r="R44" s="969">
        <f t="shared" si="19"/>
        <v>30358.076793444288</v>
      </c>
      <c r="S44" s="969">
        <f t="shared" si="20"/>
        <v>-18568.511002621741</v>
      </c>
      <c r="T44" s="970">
        <f t="shared" si="21"/>
        <v>-15997.21351842126</v>
      </c>
    </row>
    <row r="45" spans="2:20" x14ac:dyDescent="0.3">
      <c r="B45" s="417">
        <v>7</v>
      </c>
      <c r="C45" s="197">
        <f>'Margins summary'!$F$12</f>
        <v>2162.5</v>
      </c>
      <c r="D45" s="197">
        <f>'Margins summary'!$F$13</f>
        <v>471.64</v>
      </c>
      <c r="E45" s="197">
        <f>'Margins summary'!$F$18</f>
        <v>2634.14</v>
      </c>
      <c r="F45" s="197">
        <f>'Margins summary'!$F$24</f>
        <v>1959.4805899999999</v>
      </c>
      <c r="G45" s="197">
        <f>'Margins summary'!$F$29</f>
        <v>3608.9468000000006</v>
      </c>
      <c r="H45" s="197">
        <f t="shared" si="11"/>
        <v>5568.4273900000007</v>
      </c>
      <c r="I45" s="197">
        <f t="shared" si="12"/>
        <v>-3405.9273900000007</v>
      </c>
      <c r="J45" s="197">
        <f t="shared" si="10"/>
        <v>-2934.2873900000009</v>
      </c>
      <c r="K45" s="968">
        <f t="shared" si="13"/>
        <v>1709.0551618914401</v>
      </c>
      <c r="L45" s="969">
        <f t="shared" si="14"/>
        <v>372.74394291536589</v>
      </c>
      <c r="M45" s="969">
        <f t="shared" si="15"/>
        <v>4400.8090517906039</v>
      </c>
      <c r="N45" s="969">
        <f t="shared" si="16"/>
        <v>-2691.7538898991638</v>
      </c>
      <c r="O45" s="970">
        <f t="shared" si="17"/>
        <v>-2319.0099469837978</v>
      </c>
      <c r="P45" s="968">
        <f t="shared" si="22"/>
        <v>13498.620952713984</v>
      </c>
      <c r="Q45" s="969">
        <f t="shared" si="18"/>
        <v>2944.0414271158488</v>
      </c>
      <c r="R45" s="969">
        <f t="shared" si="19"/>
        <v>34758.885845234894</v>
      </c>
      <c r="S45" s="969">
        <f t="shared" si="20"/>
        <v>-21260.264892520903</v>
      </c>
      <c r="T45" s="970">
        <f t="shared" si="21"/>
        <v>-18316.223465405059</v>
      </c>
    </row>
    <row r="46" spans="2:20" x14ac:dyDescent="0.3">
      <c r="B46" s="417">
        <v>8</v>
      </c>
      <c r="C46" s="197">
        <f>'Margins summary'!$F$12</f>
        <v>2162.5</v>
      </c>
      <c r="D46" s="197">
        <f>'Margins summary'!$F$13</f>
        <v>471.64</v>
      </c>
      <c r="E46" s="197">
        <f>'Margins summary'!$F$18</f>
        <v>2634.14</v>
      </c>
      <c r="F46" s="197">
        <f>'Margins summary'!$F$24</f>
        <v>1959.4805899999999</v>
      </c>
      <c r="G46" s="197">
        <f>'Margins summary'!$F$29</f>
        <v>3608.9468000000006</v>
      </c>
      <c r="H46" s="197">
        <f t="shared" si="11"/>
        <v>5568.4273900000007</v>
      </c>
      <c r="I46" s="197">
        <f t="shared" si="12"/>
        <v>-3405.9273900000007</v>
      </c>
      <c r="J46" s="197">
        <f t="shared" si="10"/>
        <v>-2934.2873900000009</v>
      </c>
      <c r="K46" s="968">
        <f t="shared" si="13"/>
        <v>1643.3222710494617</v>
      </c>
      <c r="L46" s="969">
        <f t="shared" si="14"/>
        <v>358.40763741862111</v>
      </c>
      <c r="M46" s="969">
        <f t="shared" si="15"/>
        <v>4231.5471651832731</v>
      </c>
      <c r="N46" s="969">
        <f t="shared" si="16"/>
        <v>-2588.2248941338112</v>
      </c>
      <c r="O46" s="970">
        <f t="shared" si="17"/>
        <v>-2229.8172567151901</v>
      </c>
      <c r="P46" s="968">
        <f t="shared" si="22"/>
        <v>15141.943223763445</v>
      </c>
      <c r="Q46" s="969">
        <f t="shared" si="18"/>
        <v>3302.4490645344699</v>
      </c>
      <c r="R46" s="969">
        <f t="shared" si="19"/>
        <v>38990.433010418164</v>
      </c>
      <c r="S46" s="969">
        <f t="shared" si="20"/>
        <v>-23848.489786654714</v>
      </c>
      <c r="T46" s="970">
        <f t="shared" si="21"/>
        <v>-20546.040722120248</v>
      </c>
    </row>
    <row r="47" spans="2:20" x14ac:dyDescent="0.3">
      <c r="B47" s="417">
        <v>9</v>
      </c>
      <c r="C47" s="197">
        <f>'Margins summary'!$F$12</f>
        <v>2162.5</v>
      </c>
      <c r="D47" s="197">
        <f>'Margins summary'!$F$13</f>
        <v>471.64</v>
      </c>
      <c r="E47" s="197">
        <f>'Margins summary'!$F$18</f>
        <v>2634.14</v>
      </c>
      <c r="F47" s="197">
        <f>'Margins summary'!$F$24</f>
        <v>1959.4805899999999</v>
      </c>
      <c r="G47" s="197">
        <f>'Margins summary'!$F$29</f>
        <v>3608.9468000000006</v>
      </c>
      <c r="H47" s="197">
        <f t="shared" si="11"/>
        <v>5568.4273900000007</v>
      </c>
      <c r="I47" s="197">
        <f t="shared" si="12"/>
        <v>-3405.9273900000007</v>
      </c>
      <c r="J47" s="197">
        <f t="shared" si="10"/>
        <v>-2934.2873900000009</v>
      </c>
      <c r="K47" s="968">
        <f t="shared" si="13"/>
        <v>1580.1175683167899</v>
      </c>
      <c r="L47" s="969">
        <f t="shared" si="14"/>
        <v>344.6227282871356</v>
      </c>
      <c r="M47" s="969">
        <f t="shared" si="15"/>
        <v>4068.7953511377618</v>
      </c>
      <c r="N47" s="969">
        <f t="shared" si="16"/>
        <v>-2488.677782820972</v>
      </c>
      <c r="O47" s="970">
        <f t="shared" si="17"/>
        <v>-2144.0550545338365</v>
      </c>
      <c r="P47" s="968">
        <f t="shared" si="22"/>
        <v>16722.060792080236</v>
      </c>
      <c r="Q47" s="969">
        <f t="shared" si="18"/>
        <v>3647.0717928216054</v>
      </c>
      <c r="R47" s="969">
        <f t="shared" si="19"/>
        <v>43059.228361555928</v>
      </c>
      <c r="S47" s="969">
        <f t="shared" si="20"/>
        <v>-26337.167569475685</v>
      </c>
      <c r="T47" s="970">
        <f t="shared" si="21"/>
        <v>-22690.095776654085</v>
      </c>
    </row>
    <row r="48" spans="2:20" x14ac:dyDescent="0.3">
      <c r="B48" s="417">
        <v>10</v>
      </c>
      <c r="C48" s="197">
        <f>'Margins summary'!$F$12</f>
        <v>2162.5</v>
      </c>
      <c r="D48" s="197">
        <f>'Margins summary'!$F$13</f>
        <v>471.64</v>
      </c>
      <c r="E48" s="197">
        <f>'Margins summary'!$F$18</f>
        <v>2634.14</v>
      </c>
      <c r="F48" s="197">
        <f>'Margins summary'!$F$24</f>
        <v>1959.4805899999999</v>
      </c>
      <c r="G48" s="197">
        <f>'Margins summary'!$F$29</f>
        <v>3608.9468000000006</v>
      </c>
      <c r="H48" s="197">
        <f t="shared" si="11"/>
        <v>5568.4273900000007</v>
      </c>
      <c r="I48" s="197">
        <f t="shared" si="12"/>
        <v>-3405.9273900000007</v>
      </c>
      <c r="J48" s="197">
        <f t="shared" si="10"/>
        <v>-2934.2873900000009</v>
      </c>
      <c r="K48" s="968">
        <f t="shared" si="13"/>
        <v>1519.3438156892209</v>
      </c>
      <c r="L48" s="969">
        <f t="shared" si="14"/>
        <v>331.36800796839958</v>
      </c>
      <c r="M48" s="969">
        <f t="shared" si="15"/>
        <v>3912.3032222478478</v>
      </c>
      <c r="N48" s="969">
        <f t="shared" si="16"/>
        <v>-2392.9594065586271</v>
      </c>
      <c r="O48" s="970">
        <f t="shared" si="17"/>
        <v>-2061.5913985902275</v>
      </c>
      <c r="P48" s="968">
        <f t="shared" si="22"/>
        <v>18241.404607769458</v>
      </c>
      <c r="Q48" s="969">
        <f t="shared" si="18"/>
        <v>3978.4398007900049</v>
      </c>
      <c r="R48" s="969">
        <f t="shared" si="19"/>
        <v>46971.531583803779</v>
      </c>
      <c r="S48" s="969">
        <f t="shared" si="20"/>
        <v>-28730.126976034313</v>
      </c>
      <c r="T48" s="970">
        <f t="shared" si="21"/>
        <v>-24751.687175244311</v>
      </c>
    </row>
    <row r="49" spans="2:20" x14ac:dyDescent="0.3">
      <c r="B49" s="417">
        <v>11</v>
      </c>
      <c r="C49" s="197">
        <f>'Margins summary'!$F$12</f>
        <v>2162.5</v>
      </c>
      <c r="D49" s="197">
        <f>'Margins summary'!$F$13</f>
        <v>471.64</v>
      </c>
      <c r="E49" s="197">
        <f>'Margins summary'!$F$18</f>
        <v>2634.14</v>
      </c>
      <c r="F49" s="197">
        <f>'Margins summary'!$F$24</f>
        <v>1959.4805899999999</v>
      </c>
      <c r="G49" s="197">
        <f>'Margins summary'!$F$29</f>
        <v>3608.9468000000006</v>
      </c>
      <c r="H49" s="197">
        <f t="shared" si="11"/>
        <v>5568.4273900000007</v>
      </c>
      <c r="I49" s="197">
        <f t="shared" si="12"/>
        <v>-3405.9273900000007</v>
      </c>
      <c r="J49" s="197">
        <f t="shared" si="10"/>
        <v>-2934.2873900000009</v>
      </c>
      <c r="K49" s="968">
        <f t="shared" si="13"/>
        <v>1460.9075150857893</v>
      </c>
      <c r="L49" s="969">
        <f t="shared" si="14"/>
        <v>318.62308458499962</v>
      </c>
      <c r="M49" s="969">
        <f t="shared" si="15"/>
        <v>3761.8300213921611</v>
      </c>
      <c r="N49" s="969">
        <f t="shared" si="16"/>
        <v>-2300.9225063063718</v>
      </c>
      <c r="O49" s="970">
        <f t="shared" si="17"/>
        <v>-1982.2994217213723</v>
      </c>
      <c r="P49" s="968">
        <f t="shared" si="22"/>
        <v>19702.312122855248</v>
      </c>
      <c r="Q49" s="969">
        <f t="shared" si="18"/>
        <v>4297.062885375005</v>
      </c>
      <c r="R49" s="969">
        <f t="shared" si="19"/>
        <v>50733.36160519594</v>
      </c>
      <c r="S49" s="969">
        <f t="shared" si="20"/>
        <v>-31031.049482340684</v>
      </c>
      <c r="T49" s="970">
        <f t="shared" si="21"/>
        <v>-26733.986596965682</v>
      </c>
    </row>
    <row r="50" spans="2:20" x14ac:dyDescent="0.3">
      <c r="B50" s="417">
        <v>12</v>
      </c>
      <c r="C50" s="197">
        <f>'Margins summary'!$F$12</f>
        <v>2162.5</v>
      </c>
      <c r="D50" s="197">
        <f>'Margins summary'!$F$13</f>
        <v>471.64</v>
      </c>
      <c r="E50" s="197">
        <f>'Margins summary'!$F$18</f>
        <v>2634.14</v>
      </c>
      <c r="F50" s="197">
        <f>'Margins summary'!$F$24</f>
        <v>1959.4805899999999</v>
      </c>
      <c r="G50" s="197">
        <f>'Margins summary'!$F$29</f>
        <v>3608.9468000000006</v>
      </c>
      <c r="H50" s="197">
        <f t="shared" si="11"/>
        <v>5568.4273900000007</v>
      </c>
      <c r="I50" s="197">
        <f t="shared" si="12"/>
        <v>-3405.9273900000007</v>
      </c>
      <c r="J50" s="197">
        <f t="shared" si="10"/>
        <v>-2934.2873900000009</v>
      </c>
      <c r="K50" s="968">
        <f t="shared" si="13"/>
        <v>1404.7187645055669</v>
      </c>
      <c r="L50" s="969">
        <f t="shared" si="14"/>
        <v>306.36835056249964</v>
      </c>
      <c r="M50" s="969">
        <f t="shared" si="15"/>
        <v>3617.1442513386169</v>
      </c>
      <c r="N50" s="969">
        <f t="shared" si="16"/>
        <v>-2212.4254868330499</v>
      </c>
      <c r="O50" s="970">
        <f t="shared" si="17"/>
        <v>-1906.0571362705502</v>
      </c>
      <c r="P50" s="968">
        <f t="shared" si="22"/>
        <v>21107.030887360816</v>
      </c>
      <c r="Q50" s="969">
        <f t="shared" si="18"/>
        <v>4603.4312359375044</v>
      </c>
      <c r="R50" s="969">
        <f t="shared" si="19"/>
        <v>54350.505856534553</v>
      </c>
      <c r="S50" s="969">
        <f t="shared" si="20"/>
        <v>-33243.474969173738</v>
      </c>
      <c r="T50" s="970">
        <f t="shared" si="21"/>
        <v>-28640.043733236231</v>
      </c>
    </row>
    <row r="51" spans="2:20" x14ac:dyDescent="0.3">
      <c r="B51" s="417">
        <v>13</v>
      </c>
      <c r="C51" s="197">
        <f>'Margins summary'!$F$12</f>
        <v>2162.5</v>
      </c>
      <c r="D51" s="197">
        <f>'Margins summary'!$F$13</f>
        <v>471.64</v>
      </c>
      <c r="E51" s="197">
        <f>'Margins summary'!$F$18</f>
        <v>2634.14</v>
      </c>
      <c r="F51" s="197">
        <f>'Margins summary'!$F$24</f>
        <v>1959.4805899999999</v>
      </c>
      <c r="G51" s="197">
        <f>'Margins summary'!$F$29</f>
        <v>3608.9468000000006</v>
      </c>
      <c r="H51" s="197">
        <f t="shared" si="11"/>
        <v>5568.4273900000007</v>
      </c>
      <c r="I51" s="197">
        <f t="shared" si="12"/>
        <v>-3405.9273900000007</v>
      </c>
      <c r="J51" s="197">
        <f t="shared" si="10"/>
        <v>-2934.2873900000009</v>
      </c>
      <c r="K51" s="968">
        <f t="shared" si="13"/>
        <v>1350.6911197168909</v>
      </c>
      <c r="L51" s="969">
        <f t="shared" si="14"/>
        <v>294.58495246394193</v>
      </c>
      <c r="M51" s="969">
        <f t="shared" si="15"/>
        <v>3478.0233185948232</v>
      </c>
      <c r="N51" s="969">
        <f t="shared" si="16"/>
        <v>-2127.3321988779326</v>
      </c>
      <c r="O51" s="970">
        <f t="shared" si="17"/>
        <v>-1832.7472464139905</v>
      </c>
      <c r="P51" s="968">
        <f t="shared" si="22"/>
        <v>22457.722007077708</v>
      </c>
      <c r="Q51" s="969">
        <f t="shared" si="18"/>
        <v>4898.016188401446</v>
      </c>
      <c r="R51" s="969">
        <f t="shared" si="19"/>
        <v>57828.529175129377</v>
      </c>
      <c r="S51" s="969">
        <f t="shared" si="20"/>
        <v>-35370.807168051673</v>
      </c>
      <c r="T51" s="970">
        <f t="shared" si="21"/>
        <v>-30472.790979650221</v>
      </c>
    </row>
    <row r="52" spans="2:20" x14ac:dyDescent="0.3">
      <c r="B52" s="417">
        <v>14</v>
      </c>
      <c r="C52" s="197">
        <f>'Margins summary'!$F$12</f>
        <v>2162.5</v>
      </c>
      <c r="D52" s="197">
        <f>'Margins summary'!$F$13</f>
        <v>471.64</v>
      </c>
      <c r="E52" s="197">
        <f>'Margins summary'!$F$18</f>
        <v>2634.14</v>
      </c>
      <c r="F52" s="197">
        <f>'Margins summary'!$F$24</f>
        <v>1959.4805899999999</v>
      </c>
      <c r="G52" s="197">
        <f>'Margins summary'!$F$29</f>
        <v>3608.9468000000006</v>
      </c>
      <c r="H52" s="197">
        <f t="shared" si="11"/>
        <v>5568.4273900000007</v>
      </c>
      <c r="I52" s="197">
        <f t="shared" si="12"/>
        <v>-3405.9273900000007</v>
      </c>
      <c r="J52" s="197">
        <f t="shared" si="10"/>
        <v>-2934.2873900000009</v>
      </c>
      <c r="K52" s="968">
        <f t="shared" si="13"/>
        <v>1298.7414612662412</v>
      </c>
      <c r="L52" s="969">
        <f t="shared" si="14"/>
        <v>283.25476198455954</v>
      </c>
      <c r="M52" s="969">
        <f t="shared" si="15"/>
        <v>3344.2531909565605</v>
      </c>
      <c r="N52" s="969">
        <f t="shared" si="16"/>
        <v>-2045.5117296903193</v>
      </c>
      <c r="O52" s="970">
        <f t="shared" si="17"/>
        <v>-1762.2569677057597</v>
      </c>
      <c r="P52" s="968">
        <f t="shared" si="22"/>
        <v>23756.463468343947</v>
      </c>
      <c r="Q52" s="969">
        <f t="shared" si="18"/>
        <v>5181.270950386006</v>
      </c>
      <c r="R52" s="969">
        <f t="shared" si="19"/>
        <v>61172.782366085936</v>
      </c>
      <c r="S52" s="969">
        <f t="shared" si="20"/>
        <v>-37416.318897741992</v>
      </c>
      <c r="T52" s="970">
        <f t="shared" si="21"/>
        <v>-32235.047947355979</v>
      </c>
    </row>
    <row r="53" spans="2:20" x14ac:dyDescent="0.3">
      <c r="B53" s="417">
        <v>15</v>
      </c>
      <c r="C53" s="197">
        <f>'Margins summary'!$F$12</f>
        <v>2162.5</v>
      </c>
      <c r="D53" s="197">
        <f>'Margins summary'!$F$13</f>
        <v>471.64</v>
      </c>
      <c r="E53" s="197">
        <f>'Margins summary'!$F$18</f>
        <v>2634.14</v>
      </c>
      <c r="F53" s="197">
        <f>'Margins summary'!$F$24</f>
        <v>1959.4805899999999</v>
      </c>
      <c r="G53" s="197">
        <f>'Margins summary'!$F$29</f>
        <v>3608.9468000000006</v>
      </c>
      <c r="H53" s="197">
        <f t="shared" si="11"/>
        <v>5568.4273900000007</v>
      </c>
      <c r="I53" s="197">
        <f t="shared" si="12"/>
        <v>-3405.9273900000007</v>
      </c>
      <c r="J53" s="197">
        <f t="shared" si="10"/>
        <v>-2934.2873900000009</v>
      </c>
      <c r="K53" s="968">
        <f t="shared" si="13"/>
        <v>1248.7898666021549</v>
      </c>
      <c r="L53" s="969">
        <f t="shared" si="14"/>
        <v>272.36034806207647</v>
      </c>
      <c r="M53" s="969">
        <f t="shared" si="15"/>
        <v>3215.6280682274623</v>
      </c>
      <c r="N53" s="969">
        <f t="shared" si="16"/>
        <v>-1966.8382016253074</v>
      </c>
      <c r="O53" s="970">
        <f t="shared" si="17"/>
        <v>-1694.4778535632308</v>
      </c>
      <c r="P53" s="968">
        <f t="shared" si="22"/>
        <v>25005.253334946101</v>
      </c>
      <c r="Q53" s="969">
        <f t="shared" si="18"/>
        <v>5453.6312984480828</v>
      </c>
      <c r="R53" s="969">
        <f t="shared" si="19"/>
        <v>64388.410434313395</v>
      </c>
      <c r="S53" s="969">
        <f t="shared" si="20"/>
        <v>-39383.157099367301</v>
      </c>
      <c r="T53" s="970">
        <f t="shared" si="21"/>
        <v>-33929.525800919211</v>
      </c>
    </row>
    <row r="54" spans="2:20" x14ac:dyDescent="0.3">
      <c r="B54" s="558">
        <v>16</v>
      </c>
      <c r="C54" s="207">
        <f>'Margins summary'!$F$12</f>
        <v>2162.5</v>
      </c>
      <c r="D54" s="207">
        <f>'Margins summary'!$F$13</f>
        <v>471.64</v>
      </c>
      <c r="E54" s="207">
        <f>'Margins summary'!$F$18</f>
        <v>2634.14</v>
      </c>
      <c r="F54" s="207">
        <f>'Margins summary'!$F$24</f>
        <v>1959.4805899999999</v>
      </c>
      <c r="G54" s="207">
        <f>'Margins summary'!$F$29</f>
        <v>3608.9468000000006</v>
      </c>
      <c r="H54" s="207">
        <f t="shared" si="11"/>
        <v>5568.4273900000007</v>
      </c>
      <c r="I54" s="207">
        <f t="shared" si="12"/>
        <v>-3405.9273900000007</v>
      </c>
      <c r="J54" s="207">
        <f t="shared" si="10"/>
        <v>-2934.2873900000009</v>
      </c>
      <c r="K54" s="971">
        <f t="shared" si="13"/>
        <v>1200.7594871174567</v>
      </c>
      <c r="L54" s="972">
        <f t="shared" si="14"/>
        <v>261.88495005968895</v>
      </c>
      <c r="M54" s="972">
        <f t="shared" si="15"/>
        <v>3091.9500656033292</v>
      </c>
      <c r="N54" s="972">
        <f t="shared" si="16"/>
        <v>-1891.1905784858725</v>
      </c>
      <c r="O54" s="973">
        <f t="shared" si="17"/>
        <v>-1629.3056284261836</v>
      </c>
      <c r="P54" s="971">
        <f t="shared" si="22"/>
        <v>26206.012822063556</v>
      </c>
      <c r="Q54" s="972">
        <f t="shared" si="18"/>
        <v>5715.5162485077717</v>
      </c>
      <c r="R54" s="972">
        <f t="shared" si="19"/>
        <v>67480.360499916729</v>
      </c>
      <c r="S54" s="972">
        <f t="shared" si="20"/>
        <v>-41274.347677853177</v>
      </c>
      <c r="T54" s="973">
        <f t="shared" si="21"/>
        <v>-35558.831429345395</v>
      </c>
    </row>
    <row r="61" spans="2:20" x14ac:dyDescent="0.3">
      <c r="B61" s="211" t="s">
        <v>5</v>
      </c>
      <c r="C61" s="194"/>
      <c r="D61" s="193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</row>
    <row r="62" spans="2:20" x14ac:dyDescent="0.3">
      <c r="B62" s="203"/>
      <c r="C62" s="1082"/>
      <c r="D62" s="1082"/>
      <c r="E62" s="1082"/>
      <c r="F62" s="148"/>
      <c r="G62" s="1082"/>
      <c r="H62" s="1082"/>
      <c r="I62" s="148"/>
      <c r="J62" s="148"/>
      <c r="K62" s="1083" t="s">
        <v>273</v>
      </c>
      <c r="L62" s="1084"/>
      <c r="M62" s="1084"/>
      <c r="N62" s="1084"/>
      <c r="O62" s="1085"/>
      <c r="P62" s="1083" t="s">
        <v>274</v>
      </c>
      <c r="Q62" s="1084"/>
      <c r="R62" s="1084"/>
      <c r="S62" s="1084"/>
      <c r="T62" s="1085"/>
    </row>
    <row r="63" spans="2:20" ht="51" x14ac:dyDescent="0.3">
      <c r="B63" s="204" t="s">
        <v>275</v>
      </c>
      <c r="C63" s="171" t="s">
        <v>622</v>
      </c>
      <c r="D63" s="171" t="s">
        <v>591</v>
      </c>
      <c r="E63" s="171" t="s">
        <v>623</v>
      </c>
      <c r="F63" s="205" t="s">
        <v>286</v>
      </c>
      <c r="G63" s="171" t="s">
        <v>278</v>
      </c>
      <c r="H63" s="171" t="s">
        <v>279</v>
      </c>
      <c r="I63" s="171" t="s">
        <v>624</v>
      </c>
      <c r="J63" s="171" t="s">
        <v>625</v>
      </c>
      <c r="K63" s="195" t="s">
        <v>280</v>
      </c>
      <c r="L63" s="171" t="s">
        <v>626</v>
      </c>
      <c r="M63" s="171" t="s">
        <v>281</v>
      </c>
      <c r="N63" s="171" t="s">
        <v>627</v>
      </c>
      <c r="O63" s="198" t="s">
        <v>282</v>
      </c>
      <c r="P63" s="195" t="s">
        <v>283</v>
      </c>
      <c r="Q63" s="171" t="s">
        <v>628</v>
      </c>
      <c r="R63" s="171" t="s">
        <v>284</v>
      </c>
      <c r="S63" s="171" t="s">
        <v>629</v>
      </c>
      <c r="T63" s="198" t="s">
        <v>285</v>
      </c>
    </row>
    <row r="64" spans="2:20" x14ac:dyDescent="0.3">
      <c r="B64" s="173"/>
      <c r="C64" s="201" t="s">
        <v>571</v>
      </c>
      <c r="D64" s="201" t="s">
        <v>571</v>
      </c>
      <c r="E64" s="201" t="s">
        <v>571</v>
      </c>
      <c r="F64" s="201" t="s">
        <v>571</v>
      </c>
      <c r="G64" s="201" t="s">
        <v>571</v>
      </c>
      <c r="H64" s="201" t="s">
        <v>571</v>
      </c>
      <c r="I64" s="201" t="s">
        <v>571</v>
      </c>
      <c r="J64" s="202" t="s">
        <v>571</v>
      </c>
      <c r="K64" s="201" t="s">
        <v>571</v>
      </c>
      <c r="L64" s="201" t="s">
        <v>571</v>
      </c>
      <c r="M64" s="201" t="s">
        <v>571</v>
      </c>
      <c r="N64" s="201" t="s">
        <v>571</v>
      </c>
      <c r="O64" s="202" t="s">
        <v>571</v>
      </c>
      <c r="P64" s="201" t="s">
        <v>571</v>
      </c>
      <c r="Q64" s="201" t="s">
        <v>571</v>
      </c>
      <c r="R64" s="201" t="s">
        <v>571</v>
      </c>
      <c r="S64" s="201" t="s">
        <v>571</v>
      </c>
      <c r="T64" s="202" t="s">
        <v>571</v>
      </c>
    </row>
    <row r="65" spans="2:20" x14ac:dyDescent="0.3">
      <c r="B65" s="725">
        <v>1</v>
      </c>
      <c r="C65" s="197">
        <f>'Margins summary'!$G$12</f>
        <v>6429.5</v>
      </c>
      <c r="D65" s="197">
        <f>'Margins summary'!$G$13</f>
        <v>471.64</v>
      </c>
      <c r="E65" s="197">
        <f>'Margins summary'!$G$18</f>
        <v>6901.14</v>
      </c>
      <c r="F65" s="197">
        <f>'Margins summary'!$G$24</f>
        <v>3562.03775</v>
      </c>
      <c r="G65" s="197">
        <f>'Margins summary'!$G$29</f>
        <v>2542.6675999999998</v>
      </c>
      <c r="H65" s="197">
        <f>F65+G65</f>
        <v>6104.7053500000002</v>
      </c>
      <c r="I65" s="197">
        <f>C65-H65</f>
        <v>324.79464999999982</v>
      </c>
      <c r="J65" s="197">
        <f t="shared" ref="J65:J80" si="23">E65-H65</f>
        <v>796.43465000000015</v>
      </c>
      <c r="K65" s="968">
        <f>C65/(1+$C$6)^($B65-1)</f>
        <v>6429.5</v>
      </c>
      <c r="L65" s="974">
        <f>D65/(1+$C$6)^($B65-1)</f>
        <v>471.64</v>
      </c>
      <c r="M65" s="969">
        <f>H65/(1+$C$6)^($B65-1)</f>
        <v>6104.7053500000002</v>
      </c>
      <c r="N65" s="969">
        <f>K65-M65</f>
        <v>324.79464999999982</v>
      </c>
      <c r="O65" s="970">
        <f>N65+L65</f>
        <v>796.43464999999981</v>
      </c>
      <c r="P65" s="968">
        <f>K65</f>
        <v>6429.5</v>
      </c>
      <c r="Q65" s="969">
        <f>L65</f>
        <v>471.64</v>
      </c>
      <c r="R65" s="969">
        <f>M65</f>
        <v>6104.7053500000002</v>
      </c>
      <c r="S65" s="969">
        <f>N65</f>
        <v>324.79464999999982</v>
      </c>
      <c r="T65" s="970">
        <f>O65</f>
        <v>796.43464999999981</v>
      </c>
    </row>
    <row r="66" spans="2:20" x14ac:dyDescent="0.3">
      <c r="B66" s="417">
        <v>2</v>
      </c>
      <c r="C66" s="197">
        <f>'Margins summary'!$G$12</f>
        <v>6429.5</v>
      </c>
      <c r="D66" s="197">
        <f>'Margins summary'!$G$13</f>
        <v>471.64</v>
      </c>
      <c r="E66" s="197">
        <f>'Margins summary'!$G$18</f>
        <v>6901.14</v>
      </c>
      <c r="F66" s="197">
        <f>'Margins summary'!$G$24</f>
        <v>3562.03775</v>
      </c>
      <c r="G66" s="197">
        <f>'Margins summary'!$G$29</f>
        <v>2542.6675999999998</v>
      </c>
      <c r="H66" s="197">
        <f t="shared" ref="H66:H80" si="24">F66+G66</f>
        <v>6104.7053500000002</v>
      </c>
      <c r="I66" s="197">
        <f t="shared" ref="I66:I80" si="25">C66-H66</f>
        <v>324.79464999999982</v>
      </c>
      <c r="J66" s="197">
        <f t="shared" si="23"/>
        <v>796.43465000000015</v>
      </c>
      <c r="K66" s="968">
        <f t="shared" ref="K66:K80" si="26">C66/(1+$C$6)^($B66-1)</f>
        <v>6182.2115384615381</v>
      </c>
      <c r="L66" s="969">
        <f t="shared" ref="L66:L80" si="27">D66/(1+$C$6)^($B66-1)</f>
        <v>453.49999999999994</v>
      </c>
      <c r="M66" s="969">
        <f t="shared" ref="M66:M80" si="28">H66/(1+$C$6)^($B66-1)</f>
        <v>5869.9089903846152</v>
      </c>
      <c r="N66" s="969">
        <f t="shared" ref="N66:N80" si="29">K66-M66</f>
        <v>312.3025480769229</v>
      </c>
      <c r="O66" s="970">
        <f t="shared" ref="O66:O80" si="30">N66+L66</f>
        <v>765.8025480769229</v>
      </c>
      <c r="P66" s="968">
        <f>P65+K66</f>
        <v>12611.711538461539</v>
      </c>
      <c r="Q66" s="969">
        <f t="shared" ref="Q66:Q80" si="31">Q65+L66</f>
        <v>925.13999999999987</v>
      </c>
      <c r="R66" s="969">
        <f t="shared" ref="R66:R80" si="32">R65+M66</f>
        <v>11974.614340384614</v>
      </c>
      <c r="S66" s="969">
        <f t="shared" ref="S66:S80" si="33">S65+N66</f>
        <v>637.09719807692272</v>
      </c>
      <c r="T66" s="970">
        <f t="shared" ref="T66:T80" si="34">T65+O66</f>
        <v>1562.2371980769226</v>
      </c>
    </row>
    <row r="67" spans="2:20" x14ac:dyDescent="0.3">
      <c r="B67" s="417">
        <v>3</v>
      </c>
      <c r="C67" s="197">
        <f>'Margins summary'!$G$12</f>
        <v>6429.5</v>
      </c>
      <c r="D67" s="197">
        <f>'Margins summary'!$G$13</f>
        <v>471.64</v>
      </c>
      <c r="E67" s="197">
        <f>'Margins summary'!$G$18</f>
        <v>6901.14</v>
      </c>
      <c r="F67" s="197">
        <f>'Margins summary'!$G$24</f>
        <v>3562.03775</v>
      </c>
      <c r="G67" s="197">
        <f>'Margins summary'!$G$29</f>
        <v>2542.6675999999998</v>
      </c>
      <c r="H67" s="197">
        <f t="shared" si="24"/>
        <v>6104.7053500000002</v>
      </c>
      <c r="I67" s="197">
        <f t="shared" si="25"/>
        <v>324.79464999999982</v>
      </c>
      <c r="J67" s="197">
        <f t="shared" si="23"/>
        <v>796.43465000000015</v>
      </c>
      <c r="K67" s="968">
        <f t="shared" si="26"/>
        <v>5944.4341715976325</v>
      </c>
      <c r="L67" s="969">
        <f t="shared" si="27"/>
        <v>436.05769230769226</v>
      </c>
      <c r="M67" s="969">
        <f t="shared" si="28"/>
        <v>5644.1432599852069</v>
      </c>
      <c r="N67" s="969">
        <f t="shared" si="29"/>
        <v>300.29091161242559</v>
      </c>
      <c r="O67" s="970">
        <f t="shared" si="30"/>
        <v>736.34860392011785</v>
      </c>
      <c r="P67" s="968">
        <f t="shared" ref="P67:P80" si="35">P66+K67</f>
        <v>18556.145710059172</v>
      </c>
      <c r="Q67" s="969">
        <f t="shared" si="31"/>
        <v>1361.1976923076923</v>
      </c>
      <c r="R67" s="969">
        <f t="shared" si="32"/>
        <v>17618.75760036982</v>
      </c>
      <c r="S67" s="969">
        <f t="shared" si="33"/>
        <v>937.38810968934831</v>
      </c>
      <c r="T67" s="970">
        <f t="shared" si="34"/>
        <v>2298.5858019970406</v>
      </c>
    </row>
    <row r="68" spans="2:20" x14ac:dyDescent="0.3">
      <c r="B68" s="417">
        <v>4</v>
      </c>
      <c r="C68" s="197">
        <f>'Margins summary'!$G$12</f>
        <v>6429.5</v>
      </c>
      <c r="D68" s="197">
        <f>'Margins summary'!$G$13</f>
        <v>471.64</v>
      </c>
      <c r="E68" s="197">
        <f>'Margins summary'!$G$18</f>
        <v>6901.14</v>
      </c>
      <c r="F68" s="197">
        <f>'Margins summary'!$G$24</f>
        <v>3562.03775</v>
      </c>
      <c r="G68" s="197">
        <f>'Margins summary'!$G$29</f>
        <v>2542.6675999999998</v>
      </c>
      <c r="H68" s="197">
        <f t="shared" si="24"/>
        <v>6104.7053500000002</v>
      </c>
      <c r="I68" s="197">
        <f t="shared" si="25"/>
        <v>324.79464999999982</v>
      </c>
      <c r="J68" s="197">
        <f t="shared" si="23"/>
        <v>796.43465000000015</v>
      </c>
      <c r="K68" s="968">
        <f t="shared" si="26"/>
        <v>5715.8020880746471</v>
      </c>
      <c r="L68" s="969">
        <f t="shared" si="27"/>
        <v>419.28624260355025</v>
      </c>
      <c r="M68" s="969">
        <f t="shared" si="28"/>
        <v>5427.0608269088525</v>
      </c>
      <c r="N68" s="969">
        <f t="shared" si="29"/>
        <v>288.74126116579464</v>
      </c>
      <c r="O68" s="970">
        <f t="shared" si="30"/>
        <v>708.02750376934489</v>
      </c>
      <c r="P68" s="968">
        <f t="shared" si="35"/>
        <v>24271.94779813382</v>
      </c>
      <c r="Q68" s="969">
        <f t="shared" si="31"/>
        <v>1780.4839349112426</v>
      </c>
      <c r="R68" s="969">
        <f t="shared" si="32"/>
        <v>23045.818427278671</v>
      </c>
      <c r="S68" s="969">
        <f t="shared" si="33"/>
        <v>1226.129370855143</v>
      </c>
      <c r="T68" s="970">
        <f t="shared" si="34"/>
        <v>3006.6133057663856</v>
      </c>
    </row>
    <row r="69" spans="2:20" x14ac:dyDescent="0.3">
      <c r="B69" s="417">
        <v>5</v>
      </c>
      <c r="C69" s="197">
        <f>'Margins summary'!$G$12</f>
        <v>6429.5</v>
      </c>
      <c r="D69" s="197">
        <f>'Margins summary'!$G$13</f>
        <v>471.64</v>
      </c>
      <c r="E69" s="197">
        <f>'Margins summary'!$G$18</f>
        <v>6901.14</v>
      </c>
      <c r="F69" s="197">
        <f>'Margins summary'!$G$24</f>
        <v>3562.03775</v>
      </c>
      <c r="G69" s="197">
        <f>'Margins summary'!$G$29</f>
        <v>2542.6675999999998</v>
      </c>
      <c r="H69" s="197">
        <f t="shared" si="24"/>
        <v>6104.7053500000002</v>
      </c>
      <c r="I69" s="197">
        <f t="shared" si="25"/>
        <v>324.79464999999982</v>
      </c>
      <c r="J69" s="197">
        <f t="shared" si="23"/>
        <v>796.43465000000015</v>
      </c>
      <c r="K69" s="968">
        <f t="shared" si="26"/>
        <v>5495.963546225621</v>
      </c>
      <c r="L69" s="969">
        <f t="shared" si="27"/>
        <v>403.15984865725983</v>
      </c>
      <c r="M69" s="969">
        <f t="shared" si="28"/>
        <v>5218.3277181815884</v>
      </c>
      <c r="N69" s="969">
        <f t="shared" si="29"/>
        <v>277.63582804403268</v>
      </c>
      <c r="O69" s="970">
        <f t="shared" si="30"/>
        <v>680.79567670129245</v>
      </c>
      <c r="P69" s="968">
        <f t="shared" si="35"/>
        <v>29767.91134435944</v>
      </c>
      <c r="Q69" s="969">
        <f t="shared" si="31"/>
        <v>2183.6437835685024</v>
      </c>
      <c r="R69" s="969">
        <f t="shared" si="32"/>
        <v>28264.146145460261</v>
      </c>
      <c r="S69" s="969">
        <f t="shared" si="33"/>
        <v>1503.7651988991756</v>
      </c>
      <c r="T69" s="970">
        <f t="shared" si="34"/>
        <v>3687.408982467678</v>
      </c>
    </row>
    <row r="70" spans="2:20" x14ac:dyDescent="0.3">
      <c r="B70" s="417">
        <v>6</v>
      </c>
      <c r="C70" s="197">
        <f>'Margins summary'!$G$12</f>
        <v>6429.5</v>
      </c>
      <c r="D70" s="197">
        <f>'Margins summary'!$G$13</f>
        <v>471.64</v>
      </c>
      <c r="E70" s="197">
        <f>'Margins summary'!$G$18</f>
        <v>6901.14</v>
      </c>
      <c r="F70" s="197">
        <f>'Margins summary'!$G$24</f>
        <v>3562.03775</v>
      </c>
      <c r="G70" s="197">
        <f>'Margins summary'!$G$29</f>
        <v>2542.6675999999998</v>
      </c>
      <c r="H70" s="197">
        <f t="shared" si="24"/>
        <v>6104.7053500000002</v>
      </c>
      <c r="I70" s="197">
        <f t="shared" si="25"/>
        <v>324.79464999999982</v>
      </c>
      <c r="J70" s="197">
        <f t="shared" si="23"/>
        <v>796.43465000000015</v>
      </c>
      <c r="K70" s="968">
        <f t="shared" si="26"/>
        <v>5284.5803329092505</v>
      </c>
      <c r="L70" s="969">
        <f t="shared" si="27"/>
        <v>387.65370063198054</v>
      </c>
      <c r="M70" s="969">
        <f t="shared" si="28"/>
        <v>5017.6228059438345</v>
      </c>
      <c r="N70" s="969">
        <f t="shared" si="29"/>
        <v>266.95752696541604</v>
      </c>
      <c r="O70" s="970">
        <f t="shared" si="30"/>
        <v>654.61122759739658</v>
      </c>
      <c r="P70" s="968">
        <f t="shared" si="35"/>
        <v>35052.491677268692</v>
      </c>
      <c r="Q70" s="969">
        <f t="shared" si="31"/>
        <v>2571.2974842004828</v>
      </c>
      <c r="R70" s="969">
        <f t="shared" si="32"/>
        <v>33281.768951404098</v>
      </c>
      <c r="S70" s="969">
        <f t="shared" si="33"/>
        <v>1770.7227258645917</v>
      </c>
      <c r="T70" s="970">
        <f t="shared" si="34"/>
        <v>4342.0202100650749</v>
      </c>
    </row>
    <row r="71" spans="2:20" x14ac:dyDescent="0.3">
      <c r="B71" s="417">
        <v>7</v>
      </c>
      <c r="C71" s="197">
        <f>'Margins summary'!$G$12</f>
        <v>6429.5</v>
      </c>
      <c r="D71" s="197">
        <f>'Margins summary'!$G$13</f>
        <v>471.64</v>
      </c>
      <c r="E71" s="197">
        <f>'Margins summary'!$G$18</f>
        <v>6901.14</v>
      </c>
      <c r="F71" s="197">
        <f>'Margins summary'!$G$24</f>
        <v>3562.03775</v>
      </c>
      <c r="G71" s="197">
        <f>'Margins summary'!$G$29</f>
        <v>2542.6675999999998</v>
      </c>
      <c r="H71" s="197">
        <f t="shared" si="24"/>
        <v>6104.7053500000002</v>
      </c>
      <c r="I71" s="197">
        <f t="shared" si="25"/>
        <v>324.79464999999982</v>
      </c>
      <c r="J71" s="197">
        <f t="shared" si="23"/>
        <v>796.43465000000015</v>
      </c>
      <c r="K71" s="968">
        <f t="shared" si="26"/>
        <v>5081.3272431819714</v>
      </c>
      <c r="L71" s="969">
        <f t="shared" si="27"/>
        <v>372.74394291536589</v>
      </c>
      <c r="M71" s="969">
        <f t="shared" si="28"/>
        <v>4824.6373134075329</v>
      </c>
      <c r="N71" s="969">
        <f t="shared" si="29"/>
        <v>256.6899297744385</v>
      </c>
      <c r="O71" s="970">
        <f t="shared" si="30"/>
        <v>629.43387268980439</v>
      </c>
      <c r="P71" s="968">
        <f t="shared" si="35"/>
        <v>40133.818920450663</v>
      </c>
      <c r="Q71" s="969">
        <f t="shared" si="31"/>
        <v>2944.0414271158488</v>
      </c>
      <c r="R71" s="969">
        <f t="shared" si="32"/>
        <v>38106.406264811631</v>
      </c>
      <c r="S71" s="969">
        <f t="shared" si="33"/>
        <v>2027.4126556390302</v>
      </c>
      <c r="T71" s="970">
        <f t="shared" si="34"/>
        <v>4971.454082754879</v>
      </c>
    </row>
    <row r="72" spans="2:20" x14ac:dyDescent="0.3">
      <c r="B72" s="417">
        <v>8</v>
      </c>
      <c r="C72" s="197">
        <f>'Margins summary'!$G$12</f>
        <v>6429.5</v>
      </c>
      <c r="D72" s="197">
        <f>'Margins summary'!$G$13</f>
        <v>471.64</v>
      </c>
      <c r="E72" s="197">
        <f>'Margins summary'!$G$18</f>
        <v>6901.14</v>
      </c>
      <c r="F72" s="197">
        <f>'Margins summary'!$G$24</f>
        <v>3562.03775</v>
      </c>
      <c r="G72" s="197">
        <f>'Margins summary'!$G$29</f>
        <v>2542.6675999999998</v>
      </c>
      <c r="H72" s="197">
        <f t="shared" si="24"/>
        <v>6104.7053500000002</v>
      </c>
      <c r="I72" s="197">
        <f t="shared" si="25"/>
        <v>324.79464999999982</v>
      </c>
      <c r="J72" s="197">
        <f t="shared" si="23"/>
        <v>796.43465000000015</v>
      </c>
      <c r="K72" s="968">
        <f t="shared" si="26"/>
        <v>4885.8915799826655</v>
      </c>
      <c r="L72" s="969">
        <f t="shared" si="27"/>
        <v>358.40763741862111</v>
      </c>
      <c r="M72" s="969">
        <f t="shared" si="28"/>
        <v>4639.0743398149361</v>
      </c>
      <c r="N72" s="969">
        <f t="shared" si="29"/>
        <v>246.81724016772932</v>
      </c>
      <c r="O72" s="970">
        <f t="shared" si="30"/>
        <v>605.22487758635043</v>
      </c>
      <c r="P72" s="968">
        <f t="shared" si="35"/>
        <v>45019.710500433328</v>
      </c>
      <c r="Q72" s="969">
        <f t="shared" si="31"/>
        <v>3302.4490645344699</v>
      </c>
      <c r="R72" s="969">
        <f t="shared" si="32"/>
        <v>42745.480604626566</v>
      </c>
      <c r="S72" s="969">
        <f t="shared" si="33"/>
        <v>2274.2298958067595</v>
      </c>
      <c r="T72" s="970">
        <f t="shared" si="34"/>
        <v>5576.678960341229</v>
      </c>
    </row>
    <row r="73" spans="2:20" x14ac:dyDescent="0.3">
      <c r="B73" s="417">
        <v>9</v>
      </c>
      <c r="C73" s="197">
        <f>'Margins summary'!$G$12</f>
        <v>6429.5</v>
      </c>
      <c r="D73" s="197">
        <f>'Margins summary'!$G$13</f>
        <v>471.64</v>
      </c>
      <c r="E73" s="197">
        <f>'Margins summary'!$G$18</f>
        <v>6901.14</v>
      </c>
      <c r="F73" s="197">
        <f>'Margins summary'!$G$24</f>
        <v>3562.03775</v>
      </c>
      <c r="G73" s="197">
        <f>'Margins summary'!$G$29</f>
        <v>2542.6675999999998</v>
      </c>
      <c r="H73" s="197">
        <f t="shared" si="24"/>
        <v>6104.7053500000002</v>
      </c>
      <c r="I73" s="197">
        <f t="shared" si="25"/>
        <v>324.79464999999982</v>
      </c>
      <c r="J73" s="197">
        <f t="shared" si="23"/>
        <v>796.43465000000015</v>
      </c>
      <c r="K73" s="968">
        <f t="shared" si="26"/>
        <v>4697.9726730602542</v>
      </c>
      <c r="L73" s="969">
        <f t="shared" si="27"/>
        <v>344.6227282871356</v>
      </c>
      <c r="M73" s="969">
        <f t="shared" si="28"/>
        <v>4460.6484036682068</v>
      </c>
      <c r="N73" s="969">
        <f t="shared" si="29"/>
        <v>237.32426939204743</v>
      </c>
      <c r="O73" s="970">
        <f t="shared" si="30"/>
        <v>581.94699767918303</v>
      </c>
      <c r="P73" s="968">
        <f t="shared" si="35"/>
        <v>49717.683173493584</v>
      </c>
      <c r="Q73" s="969">
        <f t="shared" si="31"/>
        <v>3647.0717928216054</v>
      </c>
      <c r="R73" s="969">
        <f t="shared" si="32"/>
        <v>47206.129008294774</v>
      </c>
      <c r="S73" s="969">
        <f t="shared" si="33"/>
        <v>2511.5541651988069</v>
      </c>
      <c r="T73" s="970">
        <f t="shared" si="34"/>
        <v>6158.6259580204123</v>
      </c>
    </row>
    <row r="74" spans="2:20" x14ac:dyDescent="0.3">
      <c r="B74" s="417">
        <v>10</v>
      </c>
      <c r="C74" s="197">
        <f>'Margins summary'!$G$12</f>
        <v>6429.5</v>
      </c>
      <c r="D74" s="197">
        <f>'Margins summary'!$G$13</f>
        <v>471.64</v>
      </c>
      <c r="E74" s="197">
        <f>'Margins summary'!$G$18</f>
        <v>6901.14</v>
      </c>
      <c r="F74" s="197">
        <f>'Margins summary'!$G$24</f>
        <v>3562.03775</v>
      </c>
      <c r="G74" s="197">
        <f>'Margins summary'!$G$29</f>
        <v>2542.6675999999998</v>
      </c>
      <c r="H74" s="197">
        <f t="shared" si="24"/>
        <v>6104.7053500000002</v>
      </c>
      <c r="I74" s="197">
        <f t="shared" si="25"/>
        <v>324.79464999999982</v>
      </c>
      <c r="J74" s="197">
        <f t="shared" si="23"/>
        <v>796.43465000000015</v>
      </c>
      <c r="K74" s="968">
        <f t="shared" si="26"/>
        <v>4517.281416404091</v>
      </c>
      <c r="L74" s="969">
        <f t="shared" si="27"/>
        <v>331.36800796839958</v>
      </c>
      <c r="M74" s="969">
        <f t="shared" si="28"/>
        <v>4289.0850035271224</v>
      </c>
      <c r="N74" s="969">
        <f t="shared" si="29"/>
        <v>228.19641287696868</v>
      </c>
      <c r="O74" s="970">
        <f t="shared" si="30"/>
        <v>559.5644208453682</v>
      </c>
      <c r="P74" s="968">
        <f t="shared" si="35"/>
        <v>54234.964589897674</v>
      </c>
      <c r="Q74" s="969">
        <f t="shared" si="31"/>
        <v>3978.4398007900049</v>
      </c>
      <c r="R74" s="969">
        <f t="shared" si="32"/>
        <v>51495.214011821896</v>
      </c>
      <c r="S74" s="969">
        <f t="shared" si="33"/>
        <v>2739.7505780757756</v>
      </c>
      <c r="T74" s="970">
        <f t="shared" si="34"/>
        <v>6718.1903788657801</v>
      </c>
    </row>
    <row r="75" spans="2:20" x14ac:dyDescent="0.3">
      <c r="B75" s="417">
        <v>11</v>
      </c>
      <c r="C75" s="197">
        <f>'Margins summary'!$G$12</f>
        <v>6429.5</v>
      </c>
      <c r="D75" s="197">
        <f>'Margins summary'!$G$13</f>
        <v>471.64</v>
      </c>
      <c r="E75" s="197">
        <f>'Margins summary'!$G$18</f>
        <v>6901.14</v>
      </c>
      <c r="F75" s="197">
        <f>'Margins summary'!$G$24</f>
        <v>3562.03775</v>
      </c>
      <c r="G75" s="197">
        <f>'Margins summary'!$G$29</f>
        <v>2542.6675999999998</v>
      </c>
      <c r="H75" s="197">
        <f t="shared" si="24"/>
        <v>6104.7053500000002</v>
      </c>
      <c r="I75" s="197">
        <f t="shared" si="25"/>
        <v>324.79464999999982</v>
      </c>
      <c r="J75" s="197">
        <f t="shared" si="23"/>
        <v>796.43465000000015</v>
      </c>
      <c r="K75" s="968">
        <f t="shared" si="26"/>
        <v>4343.5398234654722</v>
      </c>
      <c r="L75" s="969">
        <f t="shared" si="27"/>
        <v>318.62308458499962</v>
      </c>
      <c r="M75" s="969">
        <f t="shared" si="28"/>
        <v>4124.1201956991554</v>
      </c>
      <c r="N75" s="969">
        <f t="shared" si="29"/>
        <v>219.41962776631681</v>
      </c>
      <c r="O75" s="970">
        <f t="shared" si="30"/>
        <v>538.04271235131637</v>
      </c>
      <c r="P75" s="968">
        <f t="shared" si="35"/>
        <v>58578.504413363145</v>
      </c>
      <c r="Q75" s="969">
        <f t="shared" si="31"/>
        <v>4297.062885375005</v>
      </c>
      <c r="R75" s="969">
        <f t="shared" si="32"/>
        <v>55619.334207521053</v>
      </c>
      <c r="S75" s="969">
        <f t="shared" si="33"/>
        <v>2959.1702058420924</v>
      </c>
      <c r="T75" s="970">
        <f t="shared" si="34"/>
        <v>7256.2330912170964</v>
      </c>
    </row>
    <row r="76" spans="2:20" x14ac:dyDescent="0.3">
      <c r="B76" s="417">
        <v>12</v>
      </c>
      <c r="C76" s="197">
        <f>'Margins summary'!$G$12</f>
        <v>6429.5</v>
      </c>
      <c r="D76" s="197">
        <f>'Margins summary'!$G$13</f>
        <v>471.64</v>
      </c>
      <c r="E76" s="197">
        <f>'Margins summary'!$G$18</f>
        <v>6901.14</v>
      </c>
      <c r="F76" s="197">
        <f>'Margins summary'!$G$24</f>
        <v>3562.03775</v>
      </c>
      <c r="G76" s="197">
        <f>'Margins summary'!$G$29</f>
        <v>2542.6675999999998</v>
      </c>
      <c r="H76" s="197">
        <f t="shared" si="24"/>
        <v>6104.7053500000002</v>
      </c>
      <c r="I76" s="197">
        <f t="shared" si="25"/>
        <v>324.79464999999982</v>
      </c>
      <c r="J76" s="197">
        <f t="shared" si="23"/>
        <v>796.43465000000015</v>
      </c>
      <c r="K76" s="968">
        <f t="shared" si="26"/>
        <v>4176.4805994860308</v>
      </c>
      <c r="L76" s="969">
        <f t="shared" si="27"/>
        <v>306.36835056249964</v>
      </c>
      <c r="M76" s="969">
        <f t="shared" si="28"/>
        <v>3965.5001881722656</v>
      </c>
      <c r="N76" s="969">
        <f t="shared" si="29"/>
        <v>210.98041131376522</v>
      </c>
      <c r="O76" s="970">
        <f t="shared" si="30"/>
        <v>517.34876187626492</v>
      </c>
      <c r="P76" s="968">
        <f t="shared" si="35"/>
        <v>62754.985012849174</v>
      </c>
      <c r="Q76" s="969">
        <f t="shared" si="31"/>
        <v>4603.4312359375044</v>
      </c>
      <c r="R76" s="969">
        <f t="shared" si="32"/>
        <v>59584.834395693317</v>
      </c>
      <c r="S76" s="969">
        <f t="shared" si="33"/>
        <v>3170.1506171558576</v>
      </c>
      <c r="T76" s="970">
        <f t="shared" si="34"/>
        <v>7773.5818530933611</v>
      </c>
    </row>
    <row r="77" spans="2:20" x14ac:dyDescent="0.3">
      <c r="B77" s="417">
        <v>13</v>
      </c>
      <c r="C77" s="197">
        <f>'Margins summary'!$G$12</f>
        <v>6429.5</v>
      </c>
      <c r="D77" s="197">
        <f>'Margins summary'!$G$13</f>
        <v>471.64</v>
      </c>
      <c r="E77" s="197">
        <f>'Margins summary'!$G$18</f>
        <v>6901.14</v>
      </c>
      <c r="F77" s="197">
        <f>'Margins summary'!$G$24</f>
        <v>3562.03775</v>
      </c>
      <c r="G77" s="197">
        <f>'Margins summary'!$G$29</f>
        <v>2542.6675999999998</v>
      </c>
      <c r="H77" s="197">
        <f t="shared" si="24"/>
        <v>6104.7053500000002</v>
      </c>
      <c r="I77" s="197">
        <f t="shared" si="25"/>
        <v>324.79464999999982</v>
      </c>
      <c r="J77" s="197">
        <f t="shared" si="23"/>
        <v>796.43465000000015</v>
      </c>
      <c r="K77" s="968">
        <f t="shared" si="26"/>
        <v>4015.8467302750287</v>
      </c>
      <c r="L77" s="969">
        <f t="shared" si="27"/>
        <v>294.58495246394193</v>
      </c>
      <c r="M77" s="969">
        <f t="shared" si="28"/>
        <v>3812.9809501656391</v>
      </c>
      <c r="N77" s="969">
        <f t="shared" si="29"/>
        <v>202.86578010938956</v>
      </c>
      <c r="O77" s="970">
        <f t="shared" si="30"/>
        <v>497.45073257333149</v>
      </c>
      <c r="P77" s="968">
        <f t="shared" si="35"/>
        <v>66770.831743124203</v>
      </c>
      <c r="Q77" s="969">
        <f t="shared" si="31"/>
        <v>4898.016188401446</v>
      </c>
      <c r="R77" s="969">
        <f t="shared" si="32"/>
        <v>63397.815345858959</v>
      </c>
      <c r="S77" s="969">
        <f t="shared" si="33"/>
        <v>3373.0163972652472</v>
      </c>
      <c r="T77" s="970">
        <f t="shared" si="34"/>
        <v>8271.0325856666932</v>
      </c>
    </row>
    <row r="78" spans="2:20" x14ac:dyDescent="0.3">
      <c r="B78" s="417">
        <v>14</v>
      </c>
      <c r="C78" s="197">
        <f>'Margins summary'!$G$12</f>
        <v>6429.5</v>
      </c>
      <c r="D78" s="197">
        <f>'Margins summary'!$G$13</f>
        <v>471.64</v>
      </c>
      <c r="E78" s="197">
        <f>'Margins summary'!$G$18</f>
        <v>6901.14</v>
      </c>
      <c r="F78" s="197">
        <f>'Margins summary'!$G$24</f>
        <v>3562.03775</v>
      </c>
      <c r="G78" s="197">
        <f>'Margins summary'!$G$29</f>
        <v>2542.6675999999998</v>
      </c>
      <c r="H78" s="197">
        <f t="shared" si="24"/>
        <v>6104.7053500000002</v>
      </c>
      <c r="I78" s="197">
        <f t="shared" si="25"/>
        <v>324.79464999999982</v>
      </c>
      <c r="J78" s="197">
        <f t="shared" si="23"/>
        <v>796.43465000000015</v>
      </c>
      <c r="K78" s="968">
        <f t="shared" si="26"/>
        <v>3861.391086802912</v>
      </c>
      <c r="L78" s="969">
        <f t="shared" si="27"/>
        <v>283.25476198455954</v>
      </c>
      <c r="M78" s="969">
        <f t="shared" si="28"/>
        <v>3666.3278366977297</v>
      </c>
      <c r="N78" s="969">
        <f t="shared" si="29"/>
        <v>195.06325010518231</v>
      </c>
      <c r="O78" s="970">
        <f t="shared" si="30"/>
        <v>478.31801208974184</v>
      </c>
      <c r="P78" s="968">
        <f t="shared" si="35"/>
        <v>70632.222829927108</v>
      </c>
      <c r="Q78" s="969">
        <f t="shared" si="31"/>
        <v>5181.270950386006</v>
      </c>
      <c r="R78" s="969">
        <f t="shared" si="32"/>
        <v>67064.143182556683</v>
      </c>
      <c r="S78" s="969">
        <f t="shared" si="33"/>
        <v>3568.0796473704295</v>
      </c>
      <c r="T78" s="970">
        <f t="shared" si="34"/>
        <v>8749.3505977564346</v>
      </c>
    </row>
    <row r="79" spans="2:20" x14ac:dyDescent="0.3">
      <c r="B79" s="417">
        <v>15</v>
      </c>
      <c r="C79" s="197">
        <f>'Margins summary'!$G$12</f>
        <v>6429.5</v>
      </c>
      <c r="D79" s="197">
        <f>'Margins summary'!$G$13</f>
        <v>471.64</v>
      </c>
      <c r="E79" s="197">
        <f>'Margins summary'!$G$18</f>
        <v>6901.14</v>
      </c>
      <c r="F79" s="197">
        <f>'Margins summary'!$G$24</f>
        <v>3562.03775</v>
      </c>
      <c r="G79" s="197">
        <f>'Margins summary'!$G$29</f>
        <v>2542.6675999999998</v>
      </c>
      <c r="H79" s="197">
        <f t="shared" si="24"/>
        <v>6104.7053500000002</v>
      </c>
      <c r="I79" s="197">
        <f t="shared" si="25"/>
        <v>324.79464999999982</v>
      </c>
      <c r="J79" s="197">
        <f t="shared" si="23"/>
        <v>796.43465000000015</v>
      </c>
      <c r="K79" s="968">
        <f t="shared" si="26"/>
        <v>3712.8760450028003</v>
      </c>
      <c r="L79" s="969">
        <f t="shared" si="27"/>
        <v>272.36034806207647</v>
      </c>
      <c r="M79" s="969">
        <f t="shared" si="28"/>
        <v>3525.315227593971</v>
      </c>
      <c r="N79" s="969">
        <f t="shared" si="29"/>
        <v>187.56081740882928</v>
      </c>
      <c r="O79" s="970">
        <f t="shared" si="30"/>
        <v>459.92116547090575</v>
      </c>
      <c r="P79" s="968">
        <f t="shared" si="35"/>
        <v>74345.098874929914</v>
      </c>
      <c r="Q79" s="969">
        <f t="shared" si="31"/>
        <v>5453.6312984480828</v>
      </c>
      <c r="R79" s="969">
        <f t="shared" si="32"/>
        <v>70589.458410150648</v>
      </c>
      <c r="S79" s="969">
        <f t="shared" si="33"/>
        <v>3755.6404647792588</v>
      </c>
      <c r="T79" s="970">
        <f t="shared" si="34"/>
        <v>9209.2717632273398</v>
      </c>
    </row>
    <row r="80" spans="2:20" x14ac:dyDescent="0.3">
      <c r="B80" s="558">
        <v>16</v>
      </c>
      <c r="C80" s="207">
        <f>'Margins summary'!$G$12</f>
        <v>6429.5</v>
      </c>
      <c r="D80" s="207">
        <f>'Margins summary'!$G$13</f>
        <v>471.64</v>
      </c>
      <c r="E80" s="207">
        <f>'Margins summary'!$G$18</f>
        <v>6901.14</v>
      </c>
      <c r="F80" s="207">
        <f>'Margins summary'!$G$24</f>
        <v>3562.03775</v>
      </c>
      <c r="G80" s="207">
        <f>'Margins summary'!$G$29</f>
        <v>2542.6675999999998</v>
      </c>
      <c r="H80" s="207">
        <f t="shared" si="24"/>
        <v>6104.7053500000002</v>
      </c>
      <c r="I80" s="207">
        <f t="shared" si="25"/>
        <v>324.79464999999982</v>
      </c>
      <c r="J80" s="207">
        <f t="shared" si="23"/>
        <v>796.43465000000015</v>
      </c>
      <c r="K80" s="971">
        <f t="shared" si="26"/>
        <v>3570.0731201950002</v>
      </c>
      <c r="L80" s="972">
        <f t="shared" si="27"/>
        <v>261.88495005968895</v>
      </c>
      <c r="M80" s="972">
        <f t="shared" si="28"/>
        <v>3389.7261803788183</v>
      </c>
      <c r="N80" s="972">
        <f t="shared" si="29"/>
        <v>180.34693981618193</v>
      </c>
      <c r="O80" s="973">
        <f t="shared" si="30"/>
        <v>442.23188987587088</v>
      </c>
      <c r="P80" s="971">
        <f t="shared" si="35"/>
        <v>77915.171995124911</v>
      </c>
      <c r="Q80" s="972">
        <f t="shared" si="31"/>
        <v>5715.5162485077717</v>
      </c>
      <c r="R80" s="972">
        <f t="shared" si="32"/>
        <v>73979.184590529461</v>
      </c>
      <c r="S80" s="972">
        <f t="shared" si="33"/>
        <v>3935.9874045954407</v>
      </c>
      <c r="T80" s="973">
        <f t="shared" si="34"/>
        <v>9651.503653103211</v>
      </c>
    </row>
    <row r="87" spans="2:20" x14ac:dyDescent="0.3">
      <c r="B87" s="212" t="s">
        <v>6</v>
      </c>
      <c r="C87" s="194"/>
      <c r="D87" s="193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</row>
    <row r="88" spans="2:20" x14ac:dyDescent="0.3">
      <c r="B88" s="203"/>
      <c r="C88" s="1082"/>
      <c r="D88" s="1082"/>
      <c r="E88" s="1082"/>
      <c r="F88" s="148"/>
      <c r="G88" s="1082"/>
      <c r="H88" s="1082"/>
      <c r="I88" s="148"/>
      <c r="J88" s="148"/>
      <c r="K88" s="1083" t="s">
        <v>273</v>
      </c>
      <c r="L88" s="1084"/>
      <c r="M88" s="1084"/>
      <c r="N88" s="1084"/>
      <c r="O88" s="1085"/>
      <c r="P88" s="1083" t="s">
        <v>274</v>
      </c>
      <c r="Q88" s="1084"/>
      <c r="R88" s="1084"/>
      <c r="S88" s="1084"/>
      <c r="T88" s="1085"/>
    </row>
    <row r="89" spans="2:20" ht="51" x14ac:dyDescent="0.3">
      <c r="B89" s="204" t="s">
        <v>275</v>
      </c>
      <c r="C89" s="171" t="s">
        <v>622</v>
      </c>
      <c r="D89" s="171" t="s">
        <v>591</v>
      </c>
      <c r="E89" s="171" t="s">
        <v>623</v>
      </c>
      <c r="F89" s="205" t="s">
        <v>286</v>
      </c>
      <c r="G89" s="171" t="s">
        <v>278</v>
      </c>
      <c r="H89" s="171" t="s">
        <v>279</v>
      </c>
      <c r="I89" s="171" t="s">
        <v>624</v>
      </c>
      <c r="J89" s="171" t="s">
        <v>625</v>
      </c>
      <c r="K89" s="195" t="s">
        <v>280</v>
      </c>
      <c r="L89" s="171" t="s">
        <v>626</v>
      </c>
      <c r="M89" s="171" t="s">
        <v>281</v>
      </c>
      <c r="N89" s="171" t="s">
        <v>627</v>
      </c>
      <c r="O89" s="198" t="s">
        <v>282</v>
      </c>
      <c r="P89" s="195" t="s">
        <v>283</v>
      </c>
      <c r="Q89" s="171" t="s">
        <v>628</v>
      </c>
      <c r="R89" s="171" t="s">
        <v>284</v>
      </c>
      <c r="S89" s="171" t="s">
        <v>629</v>
      </c>
      <c r="T89" s="198" t="s">
        <v>285</v>
      </c>
    </row>
    <row r="90" spans="2:20" x14ac:dyDescent="0.3">
      <c r="B90" s="173"/>
      <c r="C90" s="201" t="s">
        <v>571</v>
      </c>
      <c r="D90" s="201" t="s">
        <v>571</v>
      </c>
      <c r="E90" s="201" t="s">
        <v>571</v>
      </c>
      <c r="F90" s="201" t="s">
        <v>571</v>
      </c>
      <c r="G90" s="201" t="s">
        <v>571</v>
      </c>
      <c r="H90" s="201" t="s">
        <v>571</v>
      </c>
      <c r="I90" s="201" t="s">
        <v>571</v>
      </c>
      <c r="J90" s="202" t="s">
        <v>571</v>
      </c>
      <c r="K90" s="201" t="s">
        <v>571</v>
      </c>
      <c r="L90" s="201" t="s">
        <v>571</v>
      </c>
      <c r="M90" s="201" t="s">
        <v>571</v>
      </c>
      <c r="N90" s="201" t="s">
        <v>571</v>
      </c>
      <c r="O90" s="202" t="s">
        <v>571</v>
      </c>
      <c r="P90" s="201" t="s">
        <v>571</v>
      </c>
      <c r="Q90" s="201" t="s">
        <v>571</v>
      </c>
      <c r="R90" s="201" t="s">
        <v>571</v>
      </c>
      <c r="S90" s="201" t="s">
        <v>571</v>
      </c>
      <c r="T90" s="202" t="s">
        <v>571</v>
      </c>
    </row>
    <row r="91" spans="2:20" x14ac:dyDescent="0.3">
      <c r="B91" s="725">
        <v>1</v>
      </c>
      <c r="C91" s="197">
        <f>'Margins summary'!$H$12</f>
        <v>6816</v>
      </c>
      <c r="D91" s="197">
        <f>'Margins summary'!$H$13</f>
        <v>471.64</v>
      </c>
      <c r="E91" s="197">
        <f>'Margins summary'!$H$18</f>
        <v>7287.64</v>
      </c>
      <c r="F91" s="197">
        <f>'Margins summary'!$H$24</f>
        <v>3648.3062999999997</v>
      </c>
      <c r="G91" s="197">
        <f>'Margins summary'!$H$29</f>
        <v>3375.8132000000005</v>
      </c>
      <c r="H91" s="197">
        <f>F91+G91</f>
        <v>7024.1195000000007</v>
      </c>
      <c r="I91" s="197">
        <f>C91-H91</f>
        <v>-208.1195000000007</v>
      </c>
      <c r="J91" s="197">
        <f t="shared" ref="J91:J106" si="36">E91-H91</f>
        <v>263.52049999999963</v>
      </c>
      <c r="K91" s="968">
        <f>C91/(1+$C$6)^($B91-1)</f>
        <v>6816</v>
      </c>
      <c r="L91" s="969">
        <f>D91/(1+$C$6)^($B91-1)</f>
        <v>471.64</v>
      </c>
      <c r="M91" s="969">
        <f>H91/(1+$C$6)^($B91-1)</f>
        <v>7024.1195000000007</v>
      </c>
      <c r="N91" s="969">
        <f>K91-M91</f>
        <v>-208.1195000000007</v>
      </c>
      <c r="O91" s="970">
        <f>N91+L91</f>
        <v>263.52049999999929</v>
      </c>
      <c r="P91" s="968">
        <f>K91</f>
        <v>6816</v>
      </c>
      <c r="Q91" s="969">
        <f>L91</f>
        <v>471.64</v>
      </c>
      <c r="R91" s="969">
        <f>M91</f>
        <v>7024.1195000000007</v>
      </c>
      <c r="S91" s="969">
        <f>N91</f>
        <v>-208.1195000000007</v>
      </c>
      <c r="T91" s="970">
        <f>O91</f>
        <v>263.52049999999929</v>
      </c>
    </row>
    <row r="92" spans="2:20" x14ac:dyDescent="0.3">
      <c r="B92" s="417">
        <v>2</v>
      </c>
      <c r="C92" s="197">
        <f>'Margins summary'!$H$12</f>
        <v>6816</v>
      </c>
      <c r="D92" s="197">
        <f>'Margins summary'!$H$13</f>
        <v>471.64</v>
      </c>
      <c r="E92" s="197">
        <f>'Margins summary'!$H$18</f>
        <v>7287.64</v>
      </c>
      <c r="F92" s="197">
        <f>'Margins summary'!$H$24</f>
        <v>3648.3062999999997</v>
      </c>
      <c r="G92" s="197">
        <f>'Margins summary'!$H$29</f>
        <v>3375.8132000000005</v>
      </c>
      <c r="H92" s="197">
        <f t="shared" ref="H92:H106" si="37">F92+G92</f>
        <v>7024.1195000000007</v>
      </c>
      <c r="I92" s="197">
        <f t="shared" ref="I92:I106" si="38">C92-H92</f>
        <v>-208.1195000000007</v>
      </c>
      <c r="J92" s="197">
        <f t="shared" si="36"/>
        <v>263.52049999999963</v>
      </c>
      <c r="K92" s="968">
        <f t="shared" ref="K92:K106" si="39">C92/(1+$C$6)^($B92-1)</f>
        <v>6553.8461538461534</v>
      </c>
      <c r="L92" s="969">
        <f t="shared" ref="L92:L106" si="40">D92/(1+$C$6)^($B92-1)</f>
        <v>453.49999999999994</v>
      </c>
      <c r="M92" s="969">
        <f t="shared" ref="M92:M106" si="41">H92/(1+$C$6)^($B92-1)</f>
        <v>6753.9610576923078</v>
      </c>
      <c r="N92" s="969">
        <f t="shared" ref="N92:N106" si="42">K92-M92</f>
        <v>-200.11490384615445</v>
      </c>
      <c r="O92" s="970">
        <f t="shared" ref="O92:O106" si="43">N92+L92</f>
        <v>253.3850961538455</v>
      </c>
      <c r="P92" s="968">
        <f>P91+K92</f>
        <v>13369.846153846152</v>
      </c>
      <c r="Q92" s="969">
        <f t="shared" ref="Q92:Q106" si="44">Q91+L92</f>
        <v>925.13999999999987</v>
      </c>
      <c r="R92" s="969">
        <f t="shared" ref="R92:R105" si="45">R91+M92</f>
        <v>13778.080557692309</v>
      </c>
      <c r="S92" s="969">
        <f t="shared" ref="S92:S106" si="46">S91+N92</f>
        <v>-408.23440384615515</v>
      </c>
      <c r="T92" s="970">
        <f t="shared" ref="T92:T106" si="47">T91+O92</f>
        <v>516.90559615384473</v>
      </c>
    </row>
    <row r="93" spans="2:20" x14ac:dyDescent="0.3">
      <c r="B93" s="417">
        <v>3</v>
      </c>
      <c r="C93" s="197">
        <f>'Margins summary'!$H$12</f>
        <v>6816</v>
      </c>
      <c r="D93" s="197">
        <f>'Margins summary'!$H$13</f>
        <v>471.64</v>
      </c>
      <c r="E93" s="197">
        <f>'Margins summary'!$H$18</f>
        <v>7287.64</v>
      </c>
      <c r="F93" s="197">
        <f>'Margins summary'!$H$24</f>
        <v>3648.3062999999997</v>
      </c>
      <c r="G93" s="197">
        <f>'Margins summary'!$H$29</f>
        <v>3375.8132000000005</v>
      </c>
      <c r="H93" s="197">
        <f t="shared" si="37"/>
        <v>7024.1195000000007</v>
      </c>
      <c r="I93" s="197">
        <f t="shared" si="38"/>
        <v>-208.1195000000007</v>
      </c>
      <c r="J93" s="197">
        <f t="shared" si="36"/>
        <v>263.52049999999963</v>
      </c>
      <c r="K93" s="968">
        <f t="shared" si="39"/>
        <v>6301.7751479289936</v>
      </c>
      <c r="L93" s="969">
        <f t="shared" si="40"/>
        <v>436.05769230769226</v>
      </c>
      <c r="M93" s="969">
        <f t="shared" si="41"/>
        <v>6494.1933247041416</v>
      </c>
      <c r="N93" s="969">
        <f t="shared" si="42"/>
        <v>-192.41817677514791</v>
      </c>
      <c r="O93" s="970">
        <f t="shared" si="43"/>
        <v>243.63951553254435</v>
      </c>
      <c r="P93" s="968">
        <f t="shared" ref="P93:P106" si="48">P92+K93</f>
        <v>19671.621301775147</v>
      </c>
      <c r="Q93" s="969">
        <f t="shared" si="44"/>
        <v>1361.1976923076923</v>
      </c>
      <c r="R93" s="969">
        <f t="shared" si="45"/>
        <v>20272.27388239645</v>
      </c>
      <c r="S93" s="969">
        <f t="shared" si="46"/>
        <v>-600.65258062130306</v>
      </c>
      <c r="T93" s="970">
        <f t="shared" si="47"/>
        <v>760.54511168638908</v>
      </c>
    </row>
    <row r="94" spans="2:20" x14ac:dyDescent="0.3">
      <c r="B94" s="417">
        <v>4</v>
      </c>
      <c r="C94" s="197">
        <f>'Margins summary'!$H$12</f>
        <v>6816</v>
      </c>
      <c r="D94" s="197">
        <f>'Margins summary'!$H$13</f>
        <v>471.64</v>
      </c>
      <c r="E94" s="197">
        <f>'Margins summary'!$H$18</f>
        <v>7287.64</v>
      </c>
      <c r="F94" s="197">
        <f>'Margins summary'!$H$24</f>
        <v>3648.3062999999997</v>
      </c>
      <c r="G94" s="197">
        <f>'Margins summary'!$H$29</f>
        <v>3375.8132000000005</v>
      </c>
      <c r="H94" s="197">
        <f t="shared" si="37"/>
        <v>7024.1195000000007</v>
      </c>
      <c r="I94" s="197">
        <f t="shared" si="38"/>
        <v>-208.1195000000007</v>
      </c>
      <c r="J94" s="197">
        <f t="shared" si="36"/>
        <v>263.52049999999963</v>
      </c>
      <c r="K94" s="968">
        <f t="shared" si="39"/>
        <v>6059.3991807009552</v>
      </c>
      <c r="L94" s="969">
        <f t="shared" si="40"/>
        <v>419.28624260355025</v>
      </c>
      <c r="M94" s="969">
        <f t="shared" si="41"/>
        <v>6244.4166583693677</v>
      </c>
      <c r="N94" s="969">
        <f t="shared" si="42"/>
        <v>-185.01747766841254</v>
      </c>
      <c r="O94" s="970">
        <f t="shared" si="43"/>
        <v>234.26876493513771</v>
      </c>
      <c r="P94" s="968">
        <f t="shared" si="48"/>
        <v>25731.020482476102</v>
      </c>
      <c r="Q94" s="969">
        <f t="shared" si="44"/>
        <v>1780.4839349112426</v>
      </c>
      <c r="R94" s="969">
        <f t="shared" si="45"/>
        <v>26516.69054076582</v>
      </c>
      <c r="S94" s="969">
        <f t="shared" si="46"/>
        <v>-785.6700582897156</v>
      </c>
      <c r="T94" s="970">
        <f t="shared" si="47"/>
        <v>994.81387662152679</v>
      </c>
    </row>
    <row r="95" spans="2:20" x14ac:dyDescent="0.3">
      <c r="B95" s="417">
        <v>5</v>
      </c>
      <c r="C95" s="197">
        <f>'Margins summary'!$H$12</f>
        <v>6816</v>
      </c>
      <c r="D95" s="197">
        <f>'Margins summary'!$H$13</f>
        <v>471.64</v>
      </c>
      <c r="E95" s="197">
        <f>'Margins summary'!$H$18</f>
        <v>7287.64</v>
      </c>
      <c r="F95" s="197">
        <f>'Margins summary'!$H$24</f>
        <v>3648.3062999999997</v>
      </c>
      <c r="G95" s="197">
        <f>'Margins summary'!$H$29</f>
        <v>3375.8132000000005</v>
      </c>
      <c r="H95" s="197">
        <f t="shared" si="37"/>
        <v>7024.1195000000007</v>
      </c>
      <c r="I95" s="197">
        <f t="shared" si="38"/>
        <v>-208.1195000000007</v>
      </c>
      <c r="J95" s="197">
        <f t="shared" si="36"/>
        <v>263.52049999999963</v>
      </c>
      <c r="K95" s="968">
        <f t="shared" si="39"/>
        <v>5826.3453660586101</v>
      </c>
      <c r="L95" s="969">
        <f t="shared" si="40"/>
        <v>403.15984865725983</v>
      </c>
      <c r="M95" s="969">
        <f t="shared" si="41"/>
        <v>6004.2467868936219</v>
      </c>
      <c r="N95" s="969">
        <f t="shared" si="42"/>
        <v>-177.90142083501178</v>
      </c>
      <c r="O95" s="970">
        <f t="shared" si="43"/>
        <v>225.25842782224805</v>
      </c>
      <c r="P95" s="968">
        <f t="shared" si="48"/>
        <v>31557.365848534711</v>
      </c>
      <c r="Q95" s="969">
        <f t="shared" si="44"/>
        <v>2183.6437835685024</v>
      </c>
      <c r="R95" s="969">
        <f t="shared" si="45"/>
        <v>32520.937327659442</v>
      </c>
      <c r="S95" s="969">
        <f t="shared" si="46"/>
        <v>-963.57147912472738</v>
      </c>
      <c r="T95" s="970">
        <f t="shared" si="47"/>
        <v>1220.0723044437748</v>
      </c>
    </row>
    <row r="96" spans="2:20" x14ac:dyDescent="0.3">
      <c r="B96" s="417">
        <v>6</v>
      </c>
      <c r="C96" s="197">
        <f>'Margins summary'!$H$12</f>
        <v>6816</v>
      </c>
      <c r="D96" s="197">
        <f>'Margins summary'!$H$13</f>
        <v>471.64</v>
      </c>
      <c r="E96" s="197">
        <f>'Margins summary'!$H$18</f>
        <v>7287.64</v>
      </c>
      <c r="F96" s="197">
        <f>'Margins summary'!$H$24</f>
        <v>3648.3062999999997</v>
      </c>
      <c r="G96" s="197">
        <f>'Margins summary'!$H$29</f>
        <v>3375.8132000000005</v>
      </c>
      <c r="H96" s="197">
        <f t="shared" si="37"/>
        <v>7024.1195000000007</v>
      </c>
      <c r="I96" s="197">
        <f t="shared" si="38"/>
        <v>-208.1195000000007</v>
      </c>
      <c r="J96" s="197">
        <f t="shared" si="36"/>
        <v>263.52049999999963</v>
      </c>
      <c r="K96" s="968">
        <f t="shared" si="39"/>
        <v>5602.2551596717403</v>
      </c>
      <c r="L96" s="969">
        <f t="shared" si="40"/>
        <v>387.65370063198054</v>
      </c>
      <c r="M96" s="969">
        <f t="shared" si="41"/>
        <v>5773.3142181669436</v>
      </c>
      <c r="N96" s="969">
        <f t="shared" si="42"/>
        <v>-171.05905849520332</v>
      </c>
      <c r="O96" s="970">
        <f t="shared" si="43"/>
        <v>216.59464213677722</v>
      </c>
      <c r="P96" s="968">
        <f t="shared" si="48"/>
        <v>37159.62100820645</v>
      </c>
      <c r="Q96" s="969">
        <f t="shared" si="44"/>
        <v>2571.2974842004828</v>
      </c>
      <c r="R96" s="969">
        <f t="shared" si="45"/>
        <v>38294.251545826388</v>
      </c>
      <c r="S96" s="969">
        <f t="shared" si="46"/>
        <v>-1134.6305376199307</v>
      </c>
      <c r="T96" s="970">
        <f t="shared" si="47"/>
        <v>1436.6669465805521</v>
      </c>
    </row>
    <row r="97" spans="2:20" x14ac:dyDescent="0.3">
      <c r="B97" s="417">
        <v>7</v>
      </c>
      <c r="C97" s="197">
        <f>'Margins summary'!$H$12</f>
        <v>6816</v>
      </c>
      <c r="D97" s="197">
        <f>'Margins summary'!$H$13</f>
        <v>471.64</v>
      </c>
      <c r="E97" s="197">
        <f>'Margins summary'!$H$18</f>
        <v>7287.64</v>
      </c>
      <c r="F97" s="197">
        <f>'Margins summary'!$H$24</f>
        <v>3648.3062999999997</v>
      </c>
      <c r="G97" s="197">
        <f>'Margins summary'!$H$29</f>
        <v>3375.8132000000005</v>
      </c>
      <c r="H97" s="197">
        <f t="shared" si="37"/>
        <v>7024.1195000000007</v>
      </c>
      <c r="I97" s="197">
        <f t="shared" si="38"/>
        <v>-208.1195000000007</v>
      </c>
      <c r="J97" s="197">
        <f t="shared" si="36"/>
        <v>263.52049999999963</v>
      </c>
      <c r="K97" s="968">
        <f t="shared" si="39"/>
        <v>5386.7838073766734</v>
      </c>
      <c r="L97" s="969">
        <f t="shared" si="40"/>
        <v>372.74394291536589</v>
      </c>
      <c r="M97" s="969">
        <f t="shared" si="41"/>
        <v>5551.2636713143684</v>
      </c>
      <c r="N97" s="969">
        <f t="shared" si="42"/>
        <v>-164.47986393769497</v>
      </c>
      <c r="O97" s="970">
        <f t="shared" si="43"/>
        <v>208.26407897767092</v>
      </c>
      <c r="P97" s="968">
        <f t="shared" si="48"/>
        <v>42546.404815583126</v>
      </c>
      <c r="Q97" s="969">
        <f t="shared" si="44"/>
        <v>2944.0414271158488</v>
      </c>
      <c r="R97" s="969">
        <f t="shared" si="45"/>
        <v>43845.515217140754</v>
      </c>
      <c r="S97" s="969">
        <f t="shared" si="46"/>
        <v>-1299.1104015576257</v>
      </c>
      <c r="T97" s="970">
        <f t="shared" si="47"/>
        <v>1644.9310255582232</v>
      </c>
    </row>
    <row r="98" spans="2:20" x14ac:dyDescent="0.3">
      <c r="B98" s="417">
        <v>8</v>
      </c>
      <c r="C98" s="197">
        <f>'Margins summary'!$H$12</f>
        <v>6816</v>
      </c>
      <c r="D98" s="197">
        <f>'Margins summary'!$H$13</f>
        <v>471.64</v>
      </c>
      <c r="E98" s="197">
        <f>'Margins summary'!$H$18</f>
        <v>7287.64</v>
      </c>
      <c r="F98" s="197">
        <f>'Margins summary'!$H$24</f>
        <v>3648.3062999999997</v>
      </c>
      <c r="G98" s="197">
        <f>'Margins summary'!$H$29</f>
        <v>3375.8132000000005</v>
      </c>
      <c r="H98" s="197">
        <f t="shared" si="37"/>
        <v>7024.1195000000007</v>
      </c>
      <c r="I98" s="197">
        <f t="shared" si="38"/>
        <v>-208.1195000000007</v>
      </c>
      <c r="J98" s="197">
        <f t="shared" si="36"/>
        <v>263.52049999999963</v>
      </c>
      <c r="K98" s="968">
        <f t="shared" si="39"/>
        <v>5179.5998147852633</v>
      </c>
      <c r="L98" s="969">
        <f t="shared" si="40"/>
        <v>358.40763741862111</v>
      </c>
      <c r="M98" s="969">
        <f t="shared" si="41"/>
        <v>5337.7535301099706</v>
      </c>
      <c r="N98" s="969">
        <f t="shared" si="42"/>
        <v>-158.15371532470726</v>
      </c>
      <c r="O98" s="970">
        <f t="shared" si="43"/>
        <v>200.25392209391384</v>
      </c>
      <c r="P98" s="968">
        <f t="shared" si="48"/>
        <v>47726.004630368392</v>
      </c>
      <c r="Q98" s="969">
        <f t="shared" si="44"/>
        <v>3302.4490645344699</v>
      </c>
      <c r="R98" s="969">
        <f t="shared" si="45"/>
        <v>49183.268747250724</v>
      </c>
      <c r="S98" s="969">
        <f t="shared" si="46"/>
        <v>-1457.2641168823329</v>
      </c>
      <c r="T98" s="970">
        <f t="shared" si="47"/>
        <v>1845.184947652137</v>
      </c>
    </row>
    <row r="99" spans="2:20" x14ac:dyDescent="0.3">
      <c r="B99" s="417">
        <v>9</v>
      </c>
      <c r="C99" s="197">
        <f>'Margins summary'!$H$12</f>
        <v>6816</v>
      </c>
      <c r="D99" s="197">
        <f>'Margins summary'!$H$13</f>
        <v>471.64</v>
      </c>
      <c r="E99" s="197">
        <f>'Margins summary'!$H$18</f>
        <v>7287.64</v>
      </c>
      <c r="F99" s="197">
        <f>'Margins summary'!$H$24</f>
        <v>3648.3062999999997</v>
      </c>
      <c r="G99" s="197">
        <f>'Margins summary'!$H$29</f>
        <v>3375.8132000000005</v>
      </c>
      <c r="H99" s="197">
        <f t="shared" si="37"/>
        <v>7024.1195000000007</v>
      </c>
      <c r="I99" s="197">
        <f t="shared" si="38"/>
        <v>-208.1195000000007</v>
      </c>
      <c r="J99" s="197">
        <f t="shared" si="36"/>
        <v>263.52049999999963</v>
      </c>
      <c r="K99" s="968">
        <f t="shared" si="39"/>
        <v>4980.3844372935218</v>
      </c>
      <c r="L99" s="969">
        <f t="shared" si="40"/>
        <v>344.6227282871356</v>
      </c>
      <c r="M99" s="969">
        <f t="shared" si="41"/>
        <v>5132.4553174134326</v>
      </c>
      <c r="N99" s="969">
        <f t="shared" si="42"/>
        <v>-152.07088011991073</v>
      </c>
      <c r="O99" s="970">
        <f t="shared" si="43"/>
        <v>192.55184816722488</v>
      </c>
      <c r="P99" s="968">
        <f t="shared" si="48"/>
        <v>52706.389067661912</v>
      </c>
      <c r="Q99" s="969">
        <f t="shared" si="44"/>
        <v>3647.0717928216054</v>
      </c>
      <c r="R99" s="969">
        <f t="shared" si="45"/>
        <v>54315.724064664159</v>
      </c>
      <c r="S99" s="969">
        <f t="shared" si="46"/>
        <v>-1609.3349970022437</v>
      </c>
      <c r="T99" s="970">
        <f t="shared" si="47"/>
        <v>2037.7367958193618</v>
      </c>
    </row>
    <row r="100" spans="2:20" x14ac:dyDescent="0.3">
      <c r="B100" s="417">
        <v>10</v>
      </c>
      <c r="C100" s="197">
        <f>'Margins summary'!$H$12</f>
        <v>6816</v>
      </c>
      <c r="D100" s="197">
        <f>'Margins summary'!$H$13</f>
        <v>471.64</v>
      </c>
      <c r="E100" s="197">
        <f>'Margins summary'!$H$18</f>
        <v>7287.64</v>
      </c>
      <c r="F100" s="197">
        <f>'Margins summary'!$H$24</f>
        <v>3648.3062999999997</v>
      </c>
      <c r="G100" s="197">
        <f>'Margins summary'!$H$29</f>
        <v>3375.8132000000005</v>
      </c>
      <c r="H100" s="197">
        <f t="shared" si="37"/>
        <v>7024.1195000000007</v>
      </c>
      <c r="I100" s="197">
        <f t="shared" si="38"/>
        <v>-208.1195000000007</v>
      </c>
      <c r="J100" s="197">
        <f t="shared" si="36"/>
        <v>263.52049999999963</v>
      </c>
      <c r="K100" s="968">
        <f t="shared" si="39"/>
        <v>4788.831189705309</v>
      </c>
      <c r="L100" s="969">
        <f t="shared" si="40"/>
        <v>331.36800796839958</v>
      </c>
      <c r="M100" s="969">
        <f t="shared" si="41"/>
        <v>4935.0531898206073</v>
      </c>
      <c r="N100" s="969">
        <f t="shared" si="42"/>
        <v>-146.22200011529821</v>
      </c>
      <c r="O100" s="970">
        <f t="shared" si="43"/>
        <v>185.14600785310137</v>
      </c>
      <c r="P100" s="968">
        <f t="shared" si="48"/>
        <v>57495.220257367218</v>
      </c>
      <c r="Q100" s="969">
        <f t="shared" si="44"/>
        <v>3978.4398007900049</v>
      </c>
      <c r="R100" s="969">
        <f t="shared" si="45"/>
        <v>59250.777254484768</v>
      </c>
      <c r="S100" s="969">
        <f t="shared" si="46"/>
        <v>-1755.5569971175419</v>
      </c>
      <c r="T100" s="970">
        <f t="shared" si="47"/>
        <v>2222.8828036724631</v>
      </c>
    </row>
    <row r="101" spans="2:20" x14ac:dyDescent="0.3">
      <c r="B101" s="417">
        <v>11</v>
      </c>
      <c r="C101" s="197">
        <f>'Margins summary'!$H$12</f>
        <v>6816</v>
      </c>
      <c r="D101" s="197">
        <f>'Margins summary'!$H$13</f>
        <v>471.64</v>
      </c>
      <c r="E101" s="197">
        <f>'Margins summary'!$H$18</f>
        <v>7287.64</v>
      </c>
      <c r="F101" s="197">
        <f>'Margins summary'!$H$24</f>
        <v>3648.3062999999997</v>
      </c>
      <c r="G101" s="197">
        <f>'Margins summary'!$H$29</f>
        <v>3375.8132000000005</v>
      </c>
      <c r="H101" s="197">
        <f t="shared" si="37"/>
        <v>7024.1195000000007</v>
      </c>
      <c r="I101" s="197">
        <f t="shared" si="38"/>
        <v>-208.1195000000007</v>
      </c>
      <c r="J101" s="197">
        <f t="shared" si="36"/>
        <v>263.52049999999963</v>
      </c>
      <c r="K101" s="968">
        <f t="shared" si="39"/>
        <v>4604.6453747166433</v>
      </c>
      <c r="L101" s="969">
        <f t="shared" si="40"/>
        <v>318.62308458499962</v>
      </c>
      <c r="M101" s="969">
        <f t="shared" si="41"/>
        <v>4745.2434517505844</v>
      </c>
      <c r="N101" s="969">
        <f t="shared" si="42"/>
        <v>-140.59807703394108</v>
      </c>
      <c r="O101" s="970">
        <f t="shared" si="43"/>
        <v>178.02500755105854</v>
      </c>
      <c r="P101" s="968">
        <f t="shared" si="48"/>
        <v>62099.865632083864</v>
      </c>
      <c r="Q101" s="969">
        <f t="shared" si="44"/>
        <v>4297.062885375005</v>
      </c>
      <c r="R101" s="969">
        <f t="shared" si="45"/>
        <v>63996.020706235351</v>
      </c>
      <c r="S101" s="969">
        <f t="shared" si="46"/>
        <v>-1896.1550741514829</v>
      </c>
      <c r="T101" s="970">
        <f t="shared" si="47"/>
        <v>2400.9078112235215</v>
      </c>
    </row>
    <row r="102" spans="2:20" x14ac:dyDescent="0.3">
      <c r="B102" s="417">
        <v>12</v>
      </c>
      <c r="C102" s="197">
        <f>'Margins summary'!$H$12</f>
        <v>6816</v>
      </c>
      <c r="D102" s="197">
        <f>'Margins summary'!$H$13</f>
        <v>471.64</v>
      </c>
      <c r="E102" s="197">
        <f>'Margins summary'!$H$18</f>
        <v>7287.64</v>
      </c>
      <c r="F102" s="197">
        <f>'Margins summary'!$H$24</f>
        <v>3648.3062999999997</v>
      </c>
      <c r="G102" s="197">
        <f>'Margins summary'!$H$29</f>
        <v>3375.8132000000005</v>
      </c>
      <c r="H102" s="197">
        <f t="shared" si="37"/>
        <v>7024.1195000000007</v>
      </c>
      <c r="I102" s="197">
        <f t="shared" si="38"/>
        <v>-208.1195000000007</v>
      </c>
      <c r="J102" s="197">
        <f t="shared" si="36"/>
        <v>263.52049999999963</v>
      </c>
      <c r="K102" s="968">
        <f t="shared" si="39"/>
        <v>4427.5436295352338</v>
      </c>
      <c r="L102" s="969">
        <f t="shared" si="40"/>
        <v>306.36835056249964</v>
      </c>
      <c r="M102" s="969">
        <f t="shared" si="41"/>
        <v>4562.7340882217159</v>
      </c>
      <c r="N102" s="969">
        <f t="shared" si="42"/>
        <v>-135.19045868648209</v>
      </c>
      <c r="O102" s="970">
        <f t="shared" si="43"/>
        <v>171.17789187601755</v>
      </c>
      <c r="P102" s="968">
        <f t="shared" si="48"/>
        <v>66527.40926161909</v>
      </c>
      <c r="Q102" s="969">
        <f t="shared" si="44"/>
        <v>4603.4312359375044</v>
      </c>
      <c r="R102" s="969">
        <f t="shared" si="45"/>
        <v>68558.754794457069</v>
      </c>
      <c r="S102" s="969">
        <f t="shared" si="46"/>
        <v>-2031.345532837965</v>
      </c>
      <c r="T102" s="970">
        <f t="shared" si="47"/>
        <v>2572.0857030995389</v>
      </c>
    </row>
    <row r="103" spans="2:20" x14ac:dyDescent="0.3">
      <c r="B103" s="417">
        <v>13</v>
      </c>
      <c r="C103" s="197">
        <f>'Margins summary'!$H$12</f>
        <v>6816</v>
      </c>
      <c r="D103" s="197">
        <f>'Margins summary'!$H$13</f>
        <v>471.64</v>
      </c>
      <c r="E103" s="197">
        <f>'Margins summary'!$H$18</f>
        <v>7287.64</v>
      </c>
      <c r="F103" s="197">
        <f>'Margins summary'!$H$24</f>
        <v>3648.3062999999997</v>
      </c>
      <c r="G103" s="197">
        <f>'Margins summary'!$H$29</f>
        <v>3375.8132000000005</v>
      </c>
      <c r="H103" s="197">
        <f t="shared" si="37"/>
        <v>7024.1195000000007</v>
      </c>
      <c r="I103" s="197">
        <f t="shared" si="38"/>
        <v>-208.1195000000007</v>
      </c>
      <c r="J103" s="197">
        <f t="shared" si="36"/>
        <v>263.52049999999963</v>
      </c>
      <c r="K103" s="968">
        <f t="shared" si="39"/>
        <v>4257.2534899377242</v>
      </c>
      <c r="L103" s="969">
        <f t="shared" si="40"/>
        <v>294.58495246394193</v>
      </c>
      <c r="M103" s="969">
        <f t="shared" si="41"/>
        <v>4387.2443155978026</v>
      </c>
      <c r="N103" s="969">
        <f t="shared" si="42"/>
        <v>-129.99082566007837</v>
      </c>
      <c r="O103" s="970">
        <f t="shared" si="43"/>
        <v>164.59412680386356</v>
      </c>
      <c r="P103" s="968">
        <f t="shared" si="48"/>
        <v>70784.662751556811</v>
      </c>
      <c r="Q103" s="969">
        <f t="shared" si="44"/>
        <v>4898.016188401446</v>
      </c>
      <c r="R103" s="969">
        <f t="shared" si="45"/>
        <v>72945.999110054865</v>
      </c>
      <c r="S103" s="969">
        <f t="shared" si="46"/>
        <v>-2161.3363584980434</v>
      </c>
      <c r="T103" s="970">
        <f t="shared" si="47"/>
        <v>2736.6798299034026</v>
      </c>
    </row>
    <row r="104" spans="2:20" x14ac:dyDescent="0.3">
      <c r="B104" s="417">
        <v>14</v>
      </c>
      <c r="C104" s="197">
        <f>'Margins summary'!$H$12</f>
        <v>6816</v>
      </c>
      <c r="D104" s="197">
        <f>'Margins summary'!$H$13</f>
        <v>471.64</v>
      </c>
      <c r="E104" s="197">
        <f>'Margins summary'!$H$18</f>
        <v>7287.64</v>
      </c>
      <c r="F104" s="197">
        <f>'Margins summary'!$H$24</f>
        <v>3648.3062999999997</v>
      </c>
      <c r="G104" s="197">
        <f>'Margins summary'!$H$29</f>
        <v>3375.8132000000005</v>
      </c>
      <c r="H104" s="197">
        <f t="shared" si="37"/>
        <v>7024.1195000000007</v>
      </c>
      <c r="I104" s="197">
        <f t="shared" si="38"/>
        <v>-208.1195000000007</v>
      </c>
      <c r="J104" s="197">
        <f t="shared" si="36"/>
        <v>263.52049999999963</v>
      </c>
      <c r="K104" s="968">
        <f t="shared" si="39"/>
        <v>4093.5129710939655</v>
      </c>
      <c r="L104" s="969">
        <f t="shared" si="40"/>
        <v>283.25476198455954</v>
      </c>
      <c r="M104" s="969">
        <f t="shared" si="41"/>
        <v>4218.5041496132717</v>
      </c>
      <c r="N104" s="969">
        <f t="shared" si="42"/>
        <v>-124.99117851930623</v>
      </c>
      <c r="O104" s="970">
        <f t="shared" si="43"/>
        <v>158.2635834652533</v>
      </c>
      <c r="P104" s="968">
        <f t="shared" si="48"/>
        <v>74878.175722650776</v>
      </c>
      <c r="Q104" s="969">
        <f t="shared" si="44"/>
        <v>5181.270950386006</v>
      </c>
      <c r="R104" s="969">
        <f t="shared" si="45"/>
        <v>77164.503259668141</v>
      </c>
      <c r="S104" s="969">
        <f t="shared" si="46"/>
        <v>-2286.3275370173496</v>
      </c>
      <c r="T104" s="970">
        <f t="shared" si="47"/>
        <v>2894.9434133686559</v>
      </c>
    </row>
    <row r="105" spans="2:20" x14ac:dyDescent="0.3">
      <c r="B105" s="417">
        <v>15</v>
      </c>
      <c r="C105" s="197">
        <f>'Margins summary'!$H$12</f>
        <v>6816</v>
      </c>
      <c r="D105" s="197">
        <f>'Margins summary'!$H$13</f>
        <v>471.64</v>
      </c>
      <c r="E105" s="197">
        <f>'Margins summary'!$H$18</f>
        <v>7287.64</v>
      </c>
      <c r="F105" s="197">
        <f>'Margins summary'!$H$24</f>
        <v>3648.3062999999997</v>
      </c>
      <c r="G105" s="197">
        <f>'Margins summary'!$H$29</f>
        <v>3375.8132000000005</v>
      </c>
      <c r="H105" s="197">
        <f t="shared" si="37"/>
        <v>7024.1195000000007</v>
      </c>
      <c r="I105" s="197">
        <f t="shared" si="38"/>
        <v>-208.1195000000007</v>
      </c>
      <c r="J105" s="197">
        <f t="shared" si="36"/>
        <v>263.52049999999963</v>
      </c>
      <c r="K105" s="968">
        <f t="shared" si="39"/>
        <v>3936.0701645134282</v>
      </c>
      <c r="L105" s="969">
        <f t="shared" si="40"/>
        <v>272.36034806207647</v>
      </c>
      <c r="M105" s="969">
        <f t="shared" si="41"/>
        <v>4056.2539900127613</v>
      </c>
      <c r="N105" s="969">
        <f t="shared" si="42"/>
        <v>-120.18382549933312</v>
      </c>
      <c r="O105" s="970">
        <f t="shared" si="43"/>
        <v>152.17652256274334</v>
      </c>
      <c r="P105" s="968">
        <f t="shared" si="48"/>
        <v>78814.245887164201</v>
      </c>
      <c r="Q105" s="969">
        <f t="shared" si="44"/>
        <v>5453.6312984480828</v>
      </c>
      <c r="R105" s="969">
        <f t="shared" si="45"/>
        <v>81220.757249680901</v>
      </c>
      <c r="S105" s="969">
        <f t="shared" si="46"/>
        <v>-2406.5113625166828</v>
      </c>
      <c r="T105" s="970">
        <f t="shared" si="47"/>
        <v>3047.1199359313991</v>
      </c>
    </row>
    <row r="106" spans="2:20" x14ac:dyDescent="0.3">
      <c r="B106" s="558">
        <v>16</v>
      </c>
      <c r="C106" s="207">
        <f>'Margins summary'!$H$12</f>
        <v>6816</v>
      </c>
      <c r="D106" s="207">
        <f>'Margins summary'!$H$13</f>
        <v>471.64</v>
      </c>
      <c r="E106" s="207">
        <f>'Margins summary'!$H$18</f>
        <v>7287.64</v>
      </c>
      <c r="F106" s="207">
        <f>'Margins summary'!$H$24</f>
        <v>3648.3062999999997</v>
      </c>
      <c r="G106" s="207">
        <f>'Margins summary'!$H$29</f>
        <v>3375.8132000000005</v>
      </c>
      <c r="H106" s="207">
        <f t="shared" si="37"/>
        <v>7024.1195000000007</v>
      </c>
      <c r="I106" s="207">
        <f t="shared" si="38"/>
        <v>-208.1195000000007</v>
      </c>
      <c r="J106" s="207">
        <f t="shared" si="36"/>
        <v>263.52049999999963</v>
      </c>
      <c r="K106" s="971">
        <f t="shared" si="39"/>
        <v>3784.6828504936811</v>
      </c>
      <c r="L106" s="972">
        <f t="shared" si="40"/>
        <v>261.88495005968895</v>
      </c>
      <c r="M106" s="972">
        <f t="shared" si="41"/>
        <v>3900.2442211661169</v>
      </c>
      <c r="N106" s="972">
        <f t="shared" si="42"/>
        <v>-115.56137067243571</v>
      </c>
      <c r="O106" s="973">
        <f t="shared" si="43"/>
        <v>146.32357938725323</v>
      </c>
      <c r="P106" s="971">
        <f t="shared" si="48"/>
        <v>82598.928737657887</v>
      </c>
      <c r="Q106" s="972">
        <f t="shared" si="44"/>
        <v>5715.5162485077717</v>
      </c>
      <c r="R106" s="972">
        <f>R105+M106</f>
        <v>85121.001470847012</v>
      </c>
      <c r="S106" s="972">
        <f t="shared" si="46"/>
        <v>-2522.0727331891185</v>
      </c>
      <c r="T106" s="973">
        <f t="shared" si="47"/>
        <v>3193.4435153186523</v>
      </c>
    </row>
    <row r="113" spans="2:20" x14ac:dyDescent="0.3">
      <c r="B113" s="211" t="s">
        <v>258</v>
      </c>
      <c r="C113" s="194"/>
      <c r="D113" s="193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</row>
    <row r="114" spans="2:20" x14ac:dyDescent="0.3">
      <c r="B114" s="210"/>
      <c r="C114" s="1082"/>
      <c r="D114" s="1082"/>
      <c r="E114" s="1082"/>
      <c r="F114" s="148"/>
      <c r="G114" s="1082"/>
      <c r="H114" s="1082"/>
      <c r="I114" s="148"/>
      <c r="J114" s="148"/>
      <c r="K114" s="1083" t="s">
        <v>273</v>
      </c>
      <c r="L114" s="1084"/>
      <c r="M114" s="1084"/>
      <c r="N114" s="1084"/>
      <c r="O114" s="1085"/>
      <c r="P114" s="1083" t="s">
        <v>274</v>
      </c>
      <c r="Q114" s="1084"/>
      <c r="R114" s="1084"/>
      <c r="S114" s="1084"/>
      <c r="T114" s="1085"/>
    </row>
    <row r="115" spans="2:20" ht="51" x14ac:dyDescent="0.3">
      <c r="B115" s="204" t="s">
        <v>275</v>
      </c>
      <c r="C115" s="171" t="s">
        <v>622</v>
      </c>
      <c r="D115" s="171" t="s">
        <v>591</v>
      </c>
      <c r="E115" s="171" t="s">
        <v>623</v>
      </c>
      <c r="F115" s="205" t="s">
        <v>277</v>
      </c>
      <c r="G115" s="171" t="s">
        <v>278</v>
      </c>
      <c r="H115" s="171" t="s">
        <v>279</v>
      </c>
      <c r="I115" s="171" t="s">
        <v>624</v>
      </c>
      <c r="J115" s="171" t="s">
        <v>625</v>
      </c>
      <c r="K115" s="195" t="s">
        <v>280</v>
      </c>
      <c r="L115" s="171" t="s">
        <v>626</v>
      </c>
      <c r="M115" s="171" t="s">
        <v>281</v>
      </c>
      <c r="N115" s="171" t="s">
        <v>627</v>
      </c>
      <c r="O115" s="198" t="s">
        <v>282</v>
      </c>
      <c r="P115" s="195" t="s">
        <v>283</v>
      </c>
      <c r="Q115" s="171" t="s">
        <v>628</v>
      </c>
      <c r="R115" s="171" t="s">
        <v>284</v>
      </c>
      <c r="S115" s="171" t="s">
        <v>629</v>
      </c>
      <c r="T115" s="198" t="s">
        <v>285</v>
      </c>
    </row>
    <row r="116" spans="2:20" x14ac:dyDescent="0.3">
      <c r="B116" s="173"/>
      <c r="C116" s="201" t="s">
        <v>571</v>
      </c>
      <c r="D116" s="201" t="s">
        <v>571</v>
      </c>
      <c r="E116" s="201" t="s">
        <v>571</v>
      </c>
      <c r="F116" s="201" t="s">
        <v>571</v>
      </c>
      <c r="G116" s="201" t="s">
        <v>571</v>
      </c>
      <c r="H116" s="201" t="s">
        <v>571</v>
      </c>
      <c r="I116" s="201" t="s">
        <v>571</v>
      </c>
      <c r="J116" s="202" t="s">
        <v>571</v>
      </c>
      <c r="K116" s="201" t="s">
        <v>571</v>
      </c>
      <c r="L116" s="201" t="s">
        <v>571</v>
      </c>
      <c r="M116" s="201" t="s">
        <v>571</v>
      </c>
      <c r="N116" s="201" t="s">
        <v>571</v>
      </c>
      <c r="O116" s="202" t="s">
        <v>571</v>
      </c>
      <c r="P116" s="201" t="s">
        <v>571</v>
      </c>
      <c r="Q116" s="201" t="s">
        <v>571</v>
      </c>
      <c r="R116" s="201" t="s">
        <v>571</v>
      </c>
      <c r="S116" s="201" t="s">
        <v>571</v>
      </c>
      <c r="T116" s="202" t="s">
        <v>571</v>
      </c>
    </row>
    <row r="117" spans="2:20" x14ac:dyDescent="0.3">
      <c r="B117" s="725">
        <v>1</v>
      </c>
      <c r="C117" s="197">
        <f>'Margins summary'!$I$12</f>
        <v>8688</v>
      </c>
      <c r="D117" s="197">
        <f>'Margins summary'!$I$13</f>
        <v>471.64</v>
      </c>
      <c r="E117" s="197">
        <f>'Margins summary'!$I$18</f>
        <v>9159.64</v>
      </c>
      <c r="F117" s="197">
        <f>'Margins summary'!$I$24</f>
        <v>2474.37212</v>
      </c>
      <c r="G117" s="197">
        <f>'Margins summary'!$I$29</f>
        <v>3226.3624</v>
      </c>
      <c r="H117" s="197">
        <f>F117+G117</f>
        <v>5700.73452</v>
      </c>
      <c r="I117" s="197">
        <f>C117-H117</f>
        <v>2987.26548</v>
      </c>
      <c r="J117" s="197">
        <f t="shared" ref="J117:J132" si="49">E117-H117</f>
        <v>3458.9054799999994</v>
      </c>
      <c r="K117" s="968">
        <f>C117/(1+$C$6)^($B117-1)</f>
        <v>8688</v>
      </c>
      <c r="L117" s="969">
        <f>D117/(1+$C$6)^($B117-1)</f>
        <v>471.64</v>
      </c>
      <c r="M117" s="969">
        <f>H117/(1+$C$6)^($B117-1)</f>
        <v>5700.73452</v>
      </c>
      <c r="N117" s="969">
        <f t="shared" ref="N117:O117" si="50">I117/(1+$C$6)^($B117-1)</f>
        <v>2987.26548</v>
      </c>
      <c r="O117" s="969">
        <f t="shared" si="50"/>
        <v>3458.9054799999994</v>
      </c>
      <c r="P117" s="968">
        <f>K117</f>
        <v>8688</v>
      </c>
      <c r="Q117" s="969">
        <f>L117</f>
        <v>471.64</v>
      </c>
      <c r="R117" s="969">
        <f>M117</f>
        <v>5700.73452</v>
      </c>
      <c r="S117" s="969">
        <f>N117</f>
        <v>2987.26548</v>
      </c>
      <c r="T117" s="970">
        <f>O117</f>
        <v>3458.9054799999994</v>
      </c>
    </row>
    <row r="118" spans="2:20" x14ac:dyDescent="0.3">
      <c r="B118" s="417">
        <v>2</v>
      </c>
      <c r="C118" s="197">
        <f>'Margins summary'!$I$12</f>
        <v>8688</v>
      </c>
      <c r="D118" s="197">
        <f>'Margins summary'!$I$13</f>
        <v>471.64</v>
      </c>
      <c r="E118" s="197">
        <f>'Margins summary'!$I$18</f>
        <v>9159.64</v>
      </c>
      <c r="F118" s="197">
        <f>'Margins summary'!$I$24</f>
        <v>2474.37212</v>
      </c>
      <c r="G118" s="197">
        <f>'Margins summary'!$I$29</f>
        <v>3226.3624</v>
      </c>
      <c r="H118" s="197">
        <f t="shared" ref="H118:H132" si="51">F118+G118</f>
        <v>5700.73452</v>
      </c>
      <c r="I118" s="197">
        <f t="shared" ref="I118:I132" si="52">C118-H118</f>
        <v>2987.26548</v>
      </c>
      <c r="J118" s="197">
        <f t="shared" si="49"/>
        <v>3458.9054799999994</v>
      </c>
      <c r="K118" s="968">
        <f t="shared" ref="K118:K132" si="53">C118/(1+$C$6)^($B118-1)</f>
        <v>8353.8461538461543</v>
      </c>
      <c r="L118" s="969">
        <f t="shared" ref="L118:L132" si="54">D118/(1+$C$6)^($B118-1)</f>
        <v>453.49999999999994</v>
      </c>
      <c r="M118" s="969">
        <f t="shared" ref="M118:M132" si="55">H118/(1+$C$6)^($B118-1)</f>
        <v>5481.4754999999996</v>
      </c>
      <c r="N118" s="969">
        <f t="shared" ref="N118:N132" si="56">I118/(1+$C$6)^($B118-1)</f>
        <v>2872.3706538461538</v>
      </c>
      <c r="O118" s="969">
        <f t="shared" ref="O118:O132" si="57">J118/(1+$C$6)^($B118-1)</f>
        <v>3325.8706538461533</v>
      </c>
      <c r="P118" s="968">
        <f>P117+K118</f>
        <v>17041.846153846156</v>
      </c>
      <c r="Q118" s="969">
        <f t="shared" ref="Q118:Q132" si="58">Q117+L118</f>
        <v>925.13999999999987</v>
      </c>
      <c r="R118" s="969">
        <f>R117+M118</f>
        <v>11182.210019999999</v>
      </c>
      <c r="S118" s="969">
        <f t="shared" ref="S118:S132" si="59">S117+N118</f>
        <v>5859.6361338461538</v>
      </c>
      <c r="T118" s="970">
        <f t="shared" ref="T118:T132" si="60">T117+O118</f>
        <v>6784.7761338461532</v>
      </c>
    </row>
    <row r="119" spans="2:20" x14ac:dyDescent="0.3">
      <c r="B119" s="417">
        <v>3</v>
      </c>
      <c r="C119" s="197">
        <f>'Margins summary'!$I$12</f>
        <v>8688</v>
      </c>
      <c r="D119" s="197">
        <f>'Margins summary'!$I$13</f>
        <v>471.64</v>
      </c>
      <c r="E119" s="197">
        <f>'Margins summary'!$I$18</f>
        <v>9159.64</v>
      </c>
      <c r="F119" s="197">
        <f>'Margins summary'!$I$24</f>
        <v>2474.37212</v>
      </c>
      <c r="G119" s="197">
        <f>'Margins summary'!$I$29</f>
        <v>3226.3624</v>
      </c>
      <c r="H119" s="197">
        <f t="shared" si="51"/>
        <v>5700.73452</v>
      </c>
      <c r="I119" s="197">
        <f t="shared" si="52"/>
        <v>2987.26548</v>
      </c>
      <c r="J119" s="197">
        <f t="shared" si="49"/>
        <v>3458.9054799999994</v>
      </c>
      <c r="K119" s="968">
        <f t="shared" si="53"/>
        <v>8032.5443786982241</v>
      </c>
      <c r="L119" s="969">
        <f t="shared" si="54"/>
        <v>436.05769230769226</v>
      </c>
      <c r="M119" s="969">
        <f t="shared" si="55"/>
        <v>5270.6495192307684</v>
      </c>
      <c r="N119" s="969">
        <f t="shared" si="56"/>
        <v>2761.8948594674553</v>
      </c>
      <c r="O119" s="969">
        <f t="shared" si="57"/>
        <v>3197.9525517751472</v>
      </c>
      <c r="P119" s="968">
        <f t="shared" ref="P119:P132" si="61">P118+K119</f>
        <v>25074.390532544381</v>
      </c>
      <c r="Q119" s="969">
        <f t="shared" si="58"/>
        <v>1361.1976923076923</v>
      </c>
      <c r="R119" s="969">
        <f t="shared" ref="R119:R132" si="62">R118+M119</f>
        <v>16452.859539230769</v>
      </c>
      <c r="S119" s="969">
        <f t="shared" si="59"/>
        <v>8621.5309933136086</v>
      </c>
      <c r="T119" s="970">
        <f t="shared" si="60"/>
        <v>9982.7286856212995</v>
      </c>
    </row>
    <row r="120" spans="2:20" x14ac:dyDescent="0.3">
      <c r="B120" s="417">
        <v>4</v>
      </c>
      <c r="C120" s="197">
        <f>'Margins summary'!$I$12</f>
        <v>8688</v>
      </c>
      <c r="D120" s="197">
        <f>'Margins summary'!$I$13</f>
        <v>471.64</v>
      </c>
      <c r="E120" s="197">
        <f>'Margins summary'!$I$18</f>
        <v>9159.64</v>
      </c>
      <c r="F120" s="197">
        <f>'Margins summary'!$I$24</f>
        <v>2474.37212</v>
      </c>
      <c r="G120" s="197">
        <f>'Margins summary'!$I$29</f>
        <v>3226.3624</v>
      </c>
      <c r="H120" s="197">
        <f t="shared" si="51"/>
        <v>5700.73452</v>
      </c>
      <c r="I120" s="197">
        <f t="shared" si="52"/>
        <v>2987.26548</v>
      </c>
      <c r="J120" s="197">
        <f t="shared" si="49"/>
        <v>3458.9054799999994</v>
      </c>
      <c r="K120" s="968">
        <f t="shared" si="53"/>
        <v>7723.600364132908</v>
      </c>
      <c r="L120" s="969">
        <f t="shared" si="54"/>
        <v>419.28624260355025</v>
      </c>
      <c r="M120" s="969">
        <f t="shared" si="55"/>
        <v>5067.9322300295853</v>
      </c>
      <c r="N120" s="969">
        <f t="shared" si="56"/>
        <v>2655.6681341033227</v>
      </c>
      <c r="O120" s="969">
        <f t="shared" si="57"/>
        <v>3074.9543767068722</v>
      </c>
      <c r="P120" s="968">
        <f t="shared" si="61"/>
        <v>32797.990896677293</v>
      </c>
      <c r="Q120" s="969">
        <f t="shared" si="58"/>
        <v>1780.4839349112426</v>
      </c>
      <c r="R120" s="969">
        <f t="shared" si="62"/>
        <v>21520.791769260355</v>
      </c>
      <c r="S120" s="969">
        <f t="shared" si="59"/>
        <v>11277.19912741693</v>
      </c>
      <c r="T120" s="970">
        <f t="shared" si="60"/>
        <v>13057.683062328171</v>
      </c>
    </row>
    <row r="121" spans="2:20" x14ac:dyDescent="0.3">
      <c r="B121" s="417">
        <v>5</v>
      </c>
      <c r="C121" s="197">
        <f>'Margins summary'!$I$12</f>
        <v>8688</v>
      </c>
      <c r="D121" s="197">
        <f>'Margins summary'!$I$13</f>
        <v>471.64</v>
      </c>
      <c r="E121" s="197">
        <f>'Margins summary'!$I$18</f>
        <v>9159.64</v>
      </c>
      <c r="F121" s="197">
        <f>'Margins summary'!$I$24</f>
        <v>2474.37212</v>
      </c>
      <c r="G121" s="197">
        <f>'Margins summary'!$I$29</f>
        <v>3226.3624</v>
      </c>
      <c r="H121" s="197">
        <f t="shared" si="51"/>
        <v>5700.73452</v>
      </c>
      <c r="I121" s="197">
        <f t="shared" si="52"/>
        <v>2987.26548</v>
      </c>
      <c r="J121" s="197">
        <f t="shared" si="49"/>
        <v>3458.9054799999994</v>
      </c>
      <c r="K121" s="968">
        <f t="shared" si="53"/>
        <v>7426.5388116662571</v>
      </c>
      <c r="L121" s="969">
        <f t="shared" si="54"/>
        <v>403.15984865725983</v>
      </c>
      <c r="M121" s="969">
        <f t="shared" si="55"/>
        <v>4873.0117596438313</v>
      </c>
      <c r="N121" s="969">
        <f t="shared" si="56"/>
        <v>2553.5270520224253</v>
      </c>
      <c r="O121" s="969">
        <f t="shared" si="57"/>
        <v>2956.6869006796846</v>
      </c>
      <c r="P121" s="968">
        <f t="shared" si="61"/>
        <v>40224.529708343551</v>
      </c>
      <c r="Q121" s="969">
        <f t="shared" si="58"/>
        <v>2183.6437835685024</v>
      </c>
      <c r="R121" s="969">
        <f t="shared" si="62"/>
        <v>26393.803528904187</v>
      </c>
      <c r="S121" s="969">
        <f t="shared" si="59"/>
        <v>13830.726179439356</v>
      </c>
      <c r="T121" s="970">
        <f t="shared" si="60"/>
        <v>16014.369963007855</v>
      </c>
    </row>
    <row r="122" spans="2:20" x14ac:dyDescent="0.3">
      <c r="B122" s="417">
        <v>6</v>
      </c>
      <c r="C122" s="197">
        <f>'Margins summary'!$I$12</f>
        <v>8688</v>
      </c>
      <c r="D122" s="197">
        <f>'Margins summary'!$I$13</f>
        <v>471.64</v>
      </c>
      <c r="E122" s="197">
        <f>'Margins summary'!$I$18</f>
        <v>9159.64</v>
      </c>
      <c r="F122" s="197">
        <f>'Margins summary'!$I$24</f>
        <v>2474.37212</v>
      </c>
      <c r="G122" s="197">
        <f>'Margins summary'!$I$29</f>
        <v>3226.3624</v>
      </c>
      <c r="H122" s="197">
        <f t="shared" si="51"/>
        <v>5700.73452</v>
      </c>
      <c r="I122" s="197">
        <f t="shared" si="52"/>
        <v>2987.26548</v>
      </c>
      <c r="J122" s="197">
        <f t="shared" si="49"/>
        <v>3458.9054799999994</v>
      </c>
      <c r="K122" s="968">
        <f t="shared" si="53"/>
        <v>7140.9027035252466</v>
      </c>
      <c r="L122" s="969">
        <f t="shared" si="54"/>
        <v>387.65370063198054</v>
      </c>
      <c r="M122" s="969">
        <f t="shared" si="55"/>
        <v>4685.5882304267607</v>
      </c>
      <c r="N122" s="969">
        <f t="shared" si="56"/>
        <v>2455.3144730984855</v>
      </c>
      <c r="O122" s="969">
        <f>J122/(1+$C$6)^($B122-1)</f>
        <v>2842.9681737304654</v>
      </c>
      <c r="P122" s="968">
        <f t="shared" si="61"/>
        <v>47365.432411868795</v>
      </c>
      <c r="Q122" s="969">
        <f t="shared" si="58"/>
        <v>2571.2974842004828</v>
      </c>
      <c r="R122" s="969">
        <f t="shared" si="62"/>
        <v>31079.391759330949</v>
      </c>
      <c r="S122" s="969">
        <f t="shared" si="59"/>
        <v>16286.040652537842</v>
      </c>
      <c r="T122" s="970">
        <f t="shared" si="60"/>
        <v>18857.338136738319</v>
      </c>
    </row>
    <row r="123" spans="2:20" x14ac:dyDescent="0.3">
      <c r="B123" s="417">
        <v>7</v>
      </c>
      <c r="C123" s="197">
        <f>'Margins summary'!$I$12</f>
        <v>8688</v>
      </c>
      <c r="D123" s="197">
        <f>'Margins summary'!$I$13</f>
        <v>471.64</v>
      </c>
      <c r="E123" s="197">
        <f>'Margins summary'!$I$18</f>
        <v>9159.64</v>
      </c>
      <c r="F123" s="197">
        <f>'Margins summary'!$I$24</f>
        <v>2474.37212</v>
      </c>
      <c r="G123" s="197">
        <f>'Margins summary'!$I$29</f>
        <v>3226.3624</v>
      </c>
      <c r="H123" s="197">
        <f t="shared" si="51"/>
        <v>5700.73452</v>
      </c>
      <c r="I123" s="197">
        <f t="shared" si="52"/>
        <v>2987.26548</v>
      </c>
      <c r="J123" s="197">
        <f t="shared" si="49"/>
        <v>3458.9054799999994</v>
      </c>
      <c r="K123" s="968">
        <f t="shared" si="53"/>
        <v>6866.2525995435062</v>
      </c>
      <c r="L123" s="969">
        <f t="shared" si="54"/>
        <v>372.74394291536589</v>
      </c>
      <c r="M123" s="969">
        <f t="shared" si="55"/>
        <v>4505.3732984872695</v>
      </c>
      <c r="N123" s="969">
        <f t="shared" si="56"/>
        <v>2360.8793010562363</v>
      </c>
      <c r="O123" s="969">
        <f t="shared" si="57"/>
        <v>2733.6232439716014</v>
      </c>
      <c r="P123" s="968">
        <f t="shared" si="61"/>
        <v>54231.685011412301</v>
      </c>
      <c r="Q123" s="969">
        <f t="shared" si="58"/>
        <v>2944.0414271158488</v>
      </c>
      <c r="R123" s="969">
        <f t="shared" si="62"/>
        <v>35584.765057818222</v>
      </c>
      <c r="S123" s="969">
        <f t="shared" si="59"/>
        <v>18646.919953594079</v>
      </c>
      <c r="T123" s="970">
        <f t="shared" si="60"/>
        <v>21590.961380709919</v>
      </c>
    </row>
    <row r="124" spans="2:20" x14ac:dyDescent="0.3">
      <c r="B124" s="417">
        <v>8</v>
      </c>
      <c r="C124" s="197">
        <f>'Margins summary'!$I$12</f>
        <v>8688</v>
      </c>
      <c r="D124" s="197">
        <f>'Margins summary'!$I$13</f>
        <v>471.64</v>
      </c>
      <c r="E124" s="197">
        <f>'Margins summary'!$I$18</f>
        <v>9159.64</v>
      </c>
      <c r="F124" s="197">
        <f>'Margins summary'!$I$24</f>
        <v>2474.37212</v>
      </c>
      <c r="G124" s="197">
        <f>'Margins summary'!$I$29</f>
        <v>3226.3624</v>
      </c>
      <c r="H124" s="197">
        <f t="shared" si="51"/>
        <v>5700.73452</v>
      </c>
      <c r="I124" s="197">
        <f t="shared" si="52"/>
        <v>2987.26548</v>
      </c>
      <c r="J124" s="197">
        <f t="shared" si="49"/>
        <v>3458.9054799999994</v>
      </c>
      <c r="K124" s="968">
        <f t="shared" si="53"/>
        <v>6602.1659610995257</v>
      </c>
      <c r="L124" s="969">
        <f t="shared" si="54"/>
        <v>358.40763741862111</v>
      </c>
      <c r="M124" s="969">
        <f t="shared" si="55"/>
        <v>4332.0897100839138</v>
      </c>
      <c r="N124" s="969">
        <f t="shared" si="56"/>
        <v>2270.0762510156119</v>
      </c>
      <c r="O124" s="969">
        <f t="shared" si="57"/>
        <v>2628.4838884342325</v>
      </c>
      <c r="P124" s="968">
        <f t="shared" si="61"/>
        <v>60833.850972511827</v>
      </c>
      <c r="Q124" s="969">
        <f t="shared" si="58"/>
        <v>3302.4490645344699</v>
      </c>
      <c r="R124" s="969">
        <f t="shared" si="62"/>
        <v>39916.854767902136</v>
      </c>
      <c r="S124" s="969">
        <f t="shared" si="59"/>
        <v>20916.996204609692</v>
      </c>
      <c r="T124" s="970">
        <f t="shared" si="60"/>
        <v>24219.445269144151</v>
      </c>
    </row>
    <row r="125" spans="2:20" x14ac:dyDescent="0.3">
      <c r="B125" s="417">
        <v>9</v>
      </c>
      <c r="C125" s="197">
        <f>'Margins summary'!$I$12</f>
        <v>8688</v>
      </c>
      <c r="D125" s="197">
        <f>'Margins summary'!$I$13</f>
        <v>471.64</v>
      </c>
      <c r="E125" s="197">
        <f>'Margins summary'!$I$18</f>
        <v>9159.64</v>
      </c>
      <c r="F125" s="197">
        <f>'Margins summary'!$I$24</f>
        <v>2474.37212</v>
      </c>
      <c r="G125" s="197">
        <f>'Margins summary'!$I$29</f>
        <v>3226.3624</v>
      </c>
      <c r="H125" s="197">
        <f t="shared" si="51"/>
        <v>5700.73452</v>
      </c>
      <c r="I125" s="197">
        <f t="shared" si="52"/>
        <v>2987.26548</v>
      </c>
      <c r="J125" s="197">
        <f t="shared" si="49"/>
        <v>3458.9054799999994</v>
      </c>
      <c r="K125" s="968">
        <f t="shared" si="53"/>
        <v>6348.2365010572348</v>
      </c>
      <c r="L125" s="969">
        <f t="shared" si="54"/>
        <v>344.6227282871356</v>
      </c>
      <c r="M125" s="969">
        <f t="shared" si="55"/>
        <v>4165.4708750806858</v>
      </c>
      <c r="N125" s="969">
        <f t="shared" si="56"/>
        <v>2182.7656259765495</v>
      </c>
      <c r="O125" s="969">
        <f t="shared" si="57"/>
        <v>2527.3883542636845</v>
      </c>
      <c r="P125" s="968">
        <f t="shared" si="61"/>
        <v>67182.08747356906</v>
      </c>
      <c r="Q125" s="969">
        <f t="shared" si="58"/>
        <v>3647.0717928216054</v>
      </c>
      <c r="R125" s="969">
        <f t="shared" si="62"/>
        <v>44082.325642982818</v>
      </c>
      <c r="S125" s="969">
        <f t="shared" si="59"/>
        <v>23099.761830586242</v>
      </c>
      <c r="T125" s="970">
        <f t="shared" si="60"/>
        <v>26746.833623407834</v>
      </c>
    </row>
    <row r="126" spans="2:20" x14ac:dyDescent="0.3">
      <c r="B126" s="417">
        <v>10</v>
      </c>
      <c r="C126" s="197">
        <f>'Margins summary'!$I$12</f>
        <v>8688</v>
      </c>
      <c r="D126" s="197">
        <f>'Margins summary'!$I$13</f>
        <v>471.64</v>
      </c>
      <c r="E126" s="197">
        <f>'Margins summary'!$I$18</f>
        <v>9159.64</v>
      </c>
      <c r="F126" s="197">
        <f>'Margins summary'!$I$24</f>
        <v>2474.37212</v>
      </c>
      <c r="G126" s="197">
        <f>'Margins summary'!$I$29</f>
        <v>3226.3624</v>
      </c>
      <c r="H126" s="197">
        <f t="shared" si="51"/>
        <v>5700.73452</v>
      </c>
      <c r="I126" s="197">
        <f t="shared" si="52"/>
        <v>2987.26548</v>
      </c>
      <c r="J126" s="197">
        <f t="shared" si="49"/>
        <v>3458.9054799999994</v>
      </c>
      <c r="K126" s="968">
        <f t="shared" si="53"/>
        <v>6104.0735587088793</v>
      </c>
      <c r="L126" s="969">
        <f t="shared" si="54"/>
        <v>331.36800796839958</v>
      </c>
      <c r="M126" s="969">
        <f t="shared" si="55"/>
        <v>4005.2604568083511</v>
      </c>
      <c r="N126" s="969">
        <f t="shared" si="56"/>
        <v>2098.8131019005282</v>
      </c>
      <c r="O126" s="969">
        <f t="shared" si="57"/>
        <v>2430.1811098689273</v>
      </c>
      <c r="P126" s="968">
        <f t="shared" si="61"/>
        <v>73286.161032277945</v>
      </c>
      <c r="Q126" s="969">
        <f t="shared" si="58"/>
        <v>3978.4398007900049</v>
      </c>
      <c r="R126" s="969">
        <f t="shared" si="62"/>
        <v>48087.586099791166</v>
      </c>
      <c r="S126" s="969">
        <f t="shared" si="59"/>
        <v>25198.574932486768</v>
      </c>
      <c r="T126" s="970">
        <f t="shared" si="60"/>
        <v>29177.014733276763</v>
      </c>
    </row>
    <row r="127" spans="2:20" x14ac:dyDescent="0.3">
      <c r="B127" s="417">
        <v>11</v>
      </c>
      <c r="C127" s="197">
        <f>'Margins summary'!$I$12</f>
        <v>8688</v>
      </c>
      <c r="D127" s="197">
        <f>'Margins summary'!$I$13</f>
        <v>471.64</v>
      </c>
      <c r="E127" s="197">
        <f>'Margins summary'!$I$18</f>
        <v>9159.64</v>
      </c>
      <c r="F127" s="197">
        <f>'Margins summary'!$I$24</f>
        <v>2474.37212</v>
      </c>
      <c r="G127" s="197">
        <f>'Margins summary'!$I$29</f>
        <v>3226.3624</v>
      </c>
      <c r="H127" s="197">
        <f t="shared" si="51"/>
        <v>5700.73452</v>
      </c>
      <c r="I127" s="197">
        <f t="shared" si="52"/>
        <v>2987.26548</v>
      </c>
      <c r="J127" s="197">
        <f t="shared" si="49"/>
        <v>3458.9054799999994</v>
      </c>
      <c r="K127" s="968">
        <f t="shared" si="53"/>
        <v>5869.3014987585375</v>
      </c>
      <c r="L127" s="969">
        <f t="shared" si="54"/>
        <v>318.62308458499962</v>
      </c>
      <c r="M127" s="969">
        <f t="shared" si="55"/>
        <v>3851.2119777003377</v>
      </c>
      <c r="N127" s="969">
        <f t="shared" si="56"/>
        <v>2018.0895210582003</v>
      </c>
      <c r="O127" s="969">
        <f t="shared" si="57"/>
        <v>2336.7126056431994</v>
      </c>
      <c r="P127" s="968">
        <f t="shared" si="61"/>
        <v>79155.462531036479</v>
      </c>
      <c r="Q127" s="969">
        <f t="shared" si="58"/>
        <v>4297.062885375005</v>
      </c>
      <c r="R127" s="969">
        <f t="shared" si="62"/>
        <v>51938.798077491505</v>
      </c>
      <c r="S127" s="969">
        <f t="shared" si="59"/>
        <v>27216.664453544967</v>
      </c>
      <c r="T127" s="970">
        <f t="shared" si="60"/>
        <v>31513.727338919962</v>
      </c>
    </row>
    <row r="128" spans="2:20" x14ac:dyDescent="0.3">
      <c r="B128" s="417">
        <v>12</v>
      </c>
      <c r="C128" s="197">
        <f>'Margins summary'!$I$12</f>
        <v>8688</v>
      </c>
      <c r="D128" s="197">
        <f>'Margins summary'!$I$13</f>
        <v>471.64</v>
      </c>
      <c r="E128" s="197">
        <f>'Margins summary'!$I$18</f>
        <v>9159.64</v>
      </c>
      <c r="F128" s="197">
        <f>'Margins summary'!$I$24</f>
        <v>2474.37212</v>
      </c>
      <c r="G128" s="197">
        <f>'Margins summary'!$I$29</f>
        <v>3226.3624</v>
      </c>
      <c r="H128" s="197">
        <f t="shared" si="51"/>
        <v>5700.73452</v>
      </c>
      <c r="I128" s="197">
        <f t="shared" si="52"/>
        <v>2987.26548</v>
      </c>
      <c r="J128" s="197">
        <f t="shared" si="49"/>
        <v>3458.9054799999994</v>
      </c>
      <c r="K128" s="968">
        <f t="shared" si="53"/>
        <v>5643.5591334216715</v>
      </c>
      <c r="L128" s="969">
        <f t="shared" si="54"/>
        <v>306.36835056249964</v>
      </c>
      <c r="M128" s="969">
        <f t="shared" si="55"/>
        <v>3703.0884400964787</v>
      </c>
      <c r="N128" s="969">
        <f t="shared" si="56"/>
        <v>1940.4706933251925</v>
      </c>
      <c r="O128" s="969">
        <f t="shared" si="57"/>
        <v>2246.8390438876918</v>
      </c>
      <c r="P128" s="968">
        <f t="shared" si="61"/>
        <v>84799.021664458152</v>
      </c>
      <c r="Q128" s="969">
        <f t="shared" si="58"/>
        <v>4603.4312359375044</v>
      </c>
      <c r="R128" s="969">
        <f t="shared" si="62"/>
        <v>55641.886517587984</v>
      </c>
      <c r="S128" s="969">
        <f t="shared" si="59"/>
        <v>29157.135146870158</v>
      </c>
      <c r="T128" s="970">
        <f t="shared" si="60"/>
        <v>33760.56638280765</v>
      </c>
    </row>
    <row r="129" spans="2:21" x14ac:dyDescent="0.3">
      <c r="B129" s="417">
        <v>13</v>
      </c>
      <c r="C129" s="197">
        <f>'Margins summary'!$I$12</f>
        <v>8688</v>
      </c>
      <c r="D129" s="197">
        <f>'Margins summary'!$I$13</f>
        <v>471.64</v>
      </c>
      <c r="E129" s="197">
        <f>'Margins summary'!$I$18</f>
        <v>9159.64</v>
      </c>
      <c r="F129" s="197">
        <f>'Margins summary'!$I$24</f>
        <v>2474.37212</v>
      </c>
      <c r="G129" s="197">
        <f>'Margins summary'!$I$29</f>
        <v>3226.3624</v>
      </c>
      <c r="H129" s="197">
        <f t="shared" si="51"/>
        <v>5700.73452</v>
      </c>
      <c r="I129" s="197">
        <f t="shared" si="52"/>
        <v>2987.26548</v>
      </c>
      <c r="J129" s="197">
        <f t="shared" si="49"/>
        <v>3458.9054799999994</v>
      </c>
      <c r="K129" s="968">
        <f t="shared" si="53"/>
        <v>5426.499166751606</v>
      </c>
      <c r="L129" s="969">
        <f t="shared" si="54"/>
        <v>294.58495246394193</v>
      </c>
      <c r="M129" s="969">
        <f t="shared" si="55"/>
        <v>3560.6619616312287</v>
      </c>
      <c r="N129" s="969">
        <f t="shared" si="56"/>
        <v>1865.8372051203771</v>
      </c>
      <c r="O129" s="969">
        <f t="shared" si="57"/>
        <v>2160.4221575843185</v>
      </c>
      <c r="P129" s="968">
        <f t="shared" si="61"/>
        <v>90225.520831209753</v>
      </c>
      <c r="Q129" s="969">
        <f t="shared" si="58"/>
        <v>4898.016188401446</v>
      </c>
      <c r="R129" s="969">
        <f t="shared" si="62"/>
        <v>59202.548479219215</v>
      </c>
      <c r="S129" s="969">
        <f t="shared" si="59"/>
        <v>31022.972351990535</v>
      </c>
      <c r="T129" s="970">
        <f t="shared" si="60"/>
        <v>35920.988540391969</v>
      </c>
    </row>
    <row r="130" spans="2:21" x14ac:dyDescent="0.3">
      <c r="B130" s="417">
        <v>14</v>
      </c>
      <c r="C130" s="197">
        <f>'Margins summary'!$I$12</f>
        <v>8688</v>
      </c>
      <c r="D130" s="197">
        <f>'Margins summary'!$I$13</f>
        <v>471.64</v>
      </c>
      <c r="E130" s="197">
        <f>'Margins summary'!$I$18</f>
        <v>9159.64</v>
      </c>
      <c r="F130" s="197">
        <f>'Margins summary'!$I$24</f>
        <v>2474.37212</v>
      </c>
      <c r="G130" s="197">
        <f>'Margins summary'!$I$29</f>
        <v>3226.3624</v>
      </c>
      <c r="H130" s="197">
        <f t="shared" si="51"/>
        <v>5700.73452</v>
      </c>
      <c r="I130" s="197">
        <f t="shared" si="52"/>
        <v>2987.26548</v>
      </c>
      <c r="J130" s="197">
        <f t="shared" si="49"/>
        <v>3458.9054799999994</v>
      </c>
      <c r="K130" s="968">
        <f t="shared" si="53"/>
        <v>5217.7876603380828</v>
      </c>
      <c r="L130" s="969">
        <f t="shared" si="54"/>
        <v>283.25476198455954</v>
      </c>
      <c r="M130" s="969">
        <f t="shared" si="55"/>
        <v>3423.713424645412</v>
      </c>
      <c r="N130" s="969">
        <f t="shared" si="56"/>
        <v>1794.0742356926703</v>
      </c>
      <c r="O130" s="969">
        <f t="shared" si="57"/>
        <v>2077.3289976772294</v>
      </c>
      <c r="P130" s="968">
        <f t="shared" si="61"/>
        <v>95443.308491547839</v>
      </c>
      <c r="Q130" s="969">
        <f t="shared" si="58"/>
        <v>5181.270950386006</v>
      </c>
      <c r="R130" s="969">
        <f t="shared" si="62"/>
        <v>62626.26190386463</v>
      </c>
      <c r="S130" s="969">
        <f t="shared" si="59"/>
        <v>32817.046587683202</v>
      </c>
      <c r="T130" s="970">
        <f t="shared" si="60"/>
        <v>37998.317538069197</v>
      </c>
    </row>
    <row r="131" spans="2:21" x14ac:dyDescent="0.3">
      <c r="B131" s="417">
        <v>15</v>
      </c>
      <c r="C131" s="197">
        <f>'Margins summary'!$I$12</f>
        <v>8688</v>
      </c>
      <c r="D131" s="197">
        <f>'Margins summary'!$I$13</f>
        <v>471.64</v>
      </c>
      <c r="E131" s="197">
        <f>'Margins summary'!$I$18</f>
        <v>9159.64</v>
      </c>
      <c r="F131" s="197">
        <f>'Margins summary'!$I$24</f>
        <v>2474.37212</v>
      </c>
      <c r="G131" s="197">
        <f>'Margins summary'!$I$29</f>
        <v>3226.3624</v>
      </c>
      <c r="H131" s="197">
        <f t="shared" si="51"/>
        <v>5700.73452</v>
      </c>
      <c r="I131" s="197">
        <f t="shared" si="52"/>
        <v>2987.26548</v>
      </c>
      <c r="J131" s="197">
        <f t="shared" si="49"/>
        <v>3458.9054799999994</v>
      </c>
      <c r="K131" s="968">
        <f t="shared" si="53"/>
        <v>5017.1035195558488</v>
      </c>
      <c r="L131" s="969">
        <f t="shared" si="54"/>
        <v>272.36034806207647</v>
      </c>
      <c r="M131" s="969">
        <f t="shared" si="55"/>
        <v>3292.0321390821273</v>
      </c>
      <c r="N131" s="969">
        <f t="shared" si="56"/>
        <v>1725.0713804737213</v>
      </c>
      <c r="O131" s="969">
        <f t="shared" si="57"/>
        <v>1997.4317285357974</v>
      </c>
      <c r="P131" s="968">
        <f t="shared" si="61"/>
        <v>100460.41201110369</v>
      </c>
      <c r="Q131" s="969">
        <f t="shared" si="58"/>
        <v>5453.6312984480828</v>
      </c>
      <c r="R131" s="969">
        <f t="shared" si="62"/>
        <v>65918.294042946756</v>
      </c>
      <c r="S131" s="969">
        <f t="shared" si="59"/>
        <v>34542.117968156927</v>
      </c>
      <c r="T131" s="970">
        <f t="shared" si="60"/>
        <v>39995.749266604995</v>
      </c>
    </row>
    <row r="132" spans="2:21" x14ac:dyDescent="0.3">
      <c r="B132" s="558">
        <v>16</v>
      </c>
      <c r="C132" s="207">
        <f>'Margins summary'!$I$12</f>
        <v>8688</v>
      </c>
      <c r="D132" s="207">
        <f>'Margins summary'!$I$13</f>
        <v>471.64</v>
      </c>
      <c r="E132" s="207">
        <f>'Margins summary'!$I$18</f>
        <v>9159.64</v>
      </c>
      <c r="F132" s="207">
        <f>'Margins summary'!$I$24</f>
        <v>2474.37212</v>
      </c>
      <c r="G132" s="207">
        <f>'Margins summary'!$I$29</f>
        <v>3226.3624</v>
      </c>
      <c r="H132" s="207">
        <f t="shared" si="51"/>
        <v>5700.73452</v>
      </c>
      <c r="I132" s="207">
        <f t="shared" si="52"/>
        <v>2987.26548</v>
      </c>
      <c r="J132" s="207">
        <f t="shared" si="49"/>
        <v>3458.9054799999994</v>
      </c>
      <c r="K132" s="971">
        <f t="shared" si="53"/>
        <v>4824.1379995729312</v>
      </c>
      <c r="L132" s="972">
        <f t="shared" si="54"/>
        <v>261.88495005968895</v>
      </c>
      <c r="M132" s="972">
        <f t="shared" si="55"/>
        <v>3165.4155183481994</v>
      </c>
      <c r="N132" s="972">
        <f t="shared" si="56"/>
        <v>1658.7224812247321</v>
      </c>
      <c r="O132" s="973">
        <f t="shared" si="57"/>
        <v>1920.6074312844207</v>
      </c>
      <c r="P132" s="971">
        <f t="shared" si="61"/>
        <v>105284.55001067663</v>
      </c>
      <c r="Q132" s="972">
        <f t="shared" si="58"/>
        <v>5715.5162485077717</v>
      </c>
      <c r="R132" s="972">
        <f t="shared" si="62"/>
        <v>69083.709561294949</v>
      </c>
      <c r="S132" s="972">
        <f t="shared" si="59"/>
        <v>36200.840449381656</v>
      </c>
      <c r="T132" s="973">
        <f t="shared" si="60"/>
        <v>41916.356697889416</v>
      </c>
    </row>
    <row r="139" spans="2:21" x14ac:dyDescent="0.3">
      <c r="B139" s="224" t="s">
        <v>289</v>
      </c>
    </row>
    <row r="140" spans="2:21" x14ac:dyDescent="0.3">
      <c r="B140" s="216"/>
      <c r="C140" s="1086"/>
      <c r="D140" s="1086"/>
      <c r="E140" s="1086"/>
      <c r="F140" s="148"/>
      <c r="G140" s="1082"/>
      <c r="H140" s="1082"/>
      <c r="I140" s="148"/>
      <c r="J140" s="148"/>
      <c r="K140" s="158"/>
      <c r="L140" s="222" t="s">
        <v>273</v>
      </c>
      <c r="M140" s="221"/>
      <c r="N140" s="221"/>
      <c r="O140" s="221"/>
      <c r="P140" s="223"/>
      <c r="Q140" s="221" t="s">
        <v>274</v>
      </c>
      <c r="R140" s="221"/>
      <c r="S140" s="221"/>
      <c r="T140" s="221"/>
      <c r="U140" s="217"/>
    </row>
    <row r="141" spans="2:21" ht="51" x14ac:dyDescent="0.3">
      <c r="B141" s="218" t="s">
        <v>276</v>
      </c>
      <c r="C141" s="214" t="s">
        <v>290</v>
      </c>
      <c r="D141" s="171" t="s">
        <v>622</v>
      </c>
      <c r="E141" s="171" t="s">
        <v>591</v>
      </c>
      <c r="F141" s="171" t="s">
        <v>623</v>
      </c>
      <c r="G141" s="205" t="s">
        <v>286</v>
      </c>
      <c r="H141" s="171" t="s">
        <v>278</v>
      </c>
      <c r="I141" s="171" t="s">
        <v>279</v>
      </c>
      <c r="J141" s="171" t="s">
        <v>624</v>
      </c>
      <c r="K141" s="171" t="s">
        <v>625</v>
      </c>
      <c r="L141" s="195" t="s">
        <v>280</v>
      </c>
      <c r="M141" s="171" t="s">
        <v>626</v>
      </c>
      <c r="N141" s="171" t="s">
        <v>281</v>
      </c>
      <c r="O141" s="171" t="s">
        <v>627</v>
      </c>
      <c r="P141" s="198" t="s">
        <v>282</v>
      </c>
      <c r="Q141" s="171" t="s">
        <v>283</v>
      </c>
      <c r="R141" s="171" t="s">
        <v>628</v>
      </c>
      <c r="S141" s="171" t="s">
        <v>284</v>
      </c>
      <c r="T141" s="171" t="s">
        <v>629</v>
      </c>
      <c r="U141" s="198" t="s">
        <v>285</v>
      </c>
    </row>
    <row r="142" spans="2:21" x14ac:dyDescent="0.3">
      <c r="B142" s="173"/>
      <c r="C142" s="215"/>
      <c r="D142" s="201" t="s">
        <v>571</v>
      </c>
      <c r="E142" s="201" t="s">
        <v>571</v>
      </c>
      <c r="F142" s="201" t="s">
        <v>571</v>
      </c>
      <c r="G142" s="201" t="s">
        <v>571</v>
      </c>
      <c r="H142" s="201" t="s">
        <v>571</v>
      </c>
      <c r="I142" s="201" t="s">
        <v>571</v>
      </c>
      <c r="J142" s="201" t="s">
        <v>571</v>
      </c>
      <c r="K142" s="202" t="s">
        <v>571</v>
      </c>
      <c r="L142" s="201" t="s">
        <v>571</v>
      </c>
      <c r="M142" s="201" t="s">
        <v>571</v>
      </c>
      <c r="N142" s="201" t="s">
        <v>571</v>
      </c>
      <c r="O142" s="201" t="s">
        <v>571</v>
      </c>
      <c r="P142" s="202" t="s">
        <v>571</v>
      </c>
      <c r="Q142" s="201" t="s">
        <v>571</v>
      </c>
      <c r="R142" s="201" t="s">
        <v>571</v>
      </c>
      <c r="S142" s="201" t="s">
        <v>571</v>
      </c>
      <c r="T142" s="201" t="s">
        <v>571</v>
      </c>
      <c r="U142" s="202" t="s">
        <v>571</v>
      </c>
    </row>
    <row r="143" spans="2:21" x14ac:dyDescent="0.3">
      <c r="B143" s="219" t="s">
        <v>4</v>
      </c>
      <c r="C143" s="637">
        <v>1</v>
      </c>
      <c r="D143" s="197">
        <f>C13</f>
        <v>4674.2</v>
      </c>
      <c r="E143" s="213">
        <f>'Margins summary'!$I$13</f>
        <v>471.64</v>
      </c>
      <c r="F143" s="197">
        <f>E13</f>
        <v>5145.84</v>
      </c>
      <c r="G143" s="197">
        <f>F13</f>
        <v>2731.3292000000006</v>
      </c>
      <c r="H143" s="197">
        <f>G13</f>
        <v>4055.6064000000006</v>
      </c>
      <c r="I143" s="197">
        <f>G143+H143</f>
        <v>6786.9356000000007</v>
      </c>
      <c r="J143" s="197">
        <f>D143-I143</f>
        <v>-2112.7356000000009</v>
      </c>
      <c r="K143" s="197">
        <f t="shared" ref="K143:K158" si="63">F143-I143</f>
        <v>-1641.0956000000006</v>
      </c>
      <c r="L143" s="968">
        <f>D143/(1+$C$6)^($C143-1)</f>
        <v>4674.2</v>
      </c>
      <c r="M143" s="969">
        <f>E143/(1+$C$6)^($C143-1)</f>
        <v>471.64</v>
      </c>
      <c r="N143" s="969">
        <f>I143/(1+$C$6)^($C143-1)</f>
        <v>6786.9356000000007</v>
      </c>
      <c r="O143" s="969">
        <f>L143-N143</f>
        <v>-2112.7356000000009</v>
      </c>
      <c r="P143" s="970">
        <f>O143+M143</f>
        <v>-1641.095600000001</v>
      </c>
      <c r="Q143" s="969">
        <f>L143</f>
        <v>4674.2</v>
      </c>
      <c r="R143" s="969">
        <f>M143</f>
        <v>471.64</v>
      </c>
      <c r="S143" s="969">
        <f>N143</f>
        <v>6786.9356000000007</v>
      </c>
      <c r="T143" s="969">
        <f>O143</f>
        <v>-2112.7356000000009</v>
      </c>
      <c r="U143" s="970">
        <f>P143</f>
        <v>-1641.095600000001</v>
      </c>
    </row>
    <row r="144" spans="2:21" x14ac:dyDescent="0.3">
      <c r="B144" s="219" t="s">
        <v>6</v>
      </c>
      <c r="C144" s="563">
        <v>2</v>
      </c>
      <c r="D144" s="197">
        <f>C92</f>
        <v>6816</v>
      </c>
      <c r="E144" s="197">
        <f>'Margins summary'!$I$13</f>
        <v>471.64</v>
      </c>
      <c r="F144" s="197">
        <f>E92</f>
        <v>7287.64</v>
      </c>
      <c r="G144" s="197">
        <f>F92</f>
        <v>3648.3062999999997</v>
      </c>
      <c r="H144" s="197">
        <f>G92</f>
        <v>3375.8132000000005</v>
      </c>
      <c r="I144" s="197">
        <f t="shared" ref="I144:I158" si="64">G144+H144</f>
        <v>7024.1195000000007</v>
      </c>
      <c r="J144" s="197">
        <f t="shared" ref="J144:J158" si="65">D144-I144</f>
        <v>-208.1195000000007</v>
      </c>
      <c r="K144" s="197">
        <f t="shared" si="63"/>
        <v>263.52049999999963</v>
      </c>
      <c r="L144" s="968">
        <f t="shared" ref="L144:L158" si="66">D144/(1+$C$6)^($C144-1)</f>
        <v>6553.8461538461534</v>
      </c>
      <c r="M144" s="969">
        <f t="shared" ref="M144:M158" si="67">E144/(1+$C$6)^($C144-1)</f>
        <v>453.49999999999994</v>
      </c>
      <c r="N144" s="969">
        <f t="shared" ref="N144:N158" si="68">I144/(1+$C$6)^($C144-1)</f>
        <v>6753.9610576923078</v>
      </c>
      <c r="O144" s="969">
        <f t="shared" ref="O144:O158" si="69">L144-N144</f>
        <v>-200.11490384615445</v>
      </c>
      <c r="P144" s="970">
        <f t="shared" ref="P144:P158" si="70">O144+M144</f>
        <v>253.3850961538455</v>
      </c>
      <c r="Q144" s="969">
        <f>Q143+L144</f>
        <v>11228.046153846153</v>
      </c>
      <c r="R144" s="969">
        <f t="shared" ref="R144:U158" si="71">R143+M144</f>
        <v>925.13999999999987</v>
      </c>
      <c r="S144" s="969">
        <f t="shared" si="71"/>
        <v>13540.896657692309</v>
      </c>
      <c r="T144" s="969">
        <f t="shared" si="71"/>
        <v>-2312.8505038461553</v>
      </c>
      <c r="U144" s="970">
        <f t="shared" si="71"/>
        <v>-1387.7105038461555</v>
      </c>
    </row>
    <row r="145" spans="2:21" x14ac:dyDescent="0.3">
      <c r="B145" s="219" t="s">
        <v>258</v>
      </c>
      <c r="C145" s="563">
        <v>3</v>
      </c>
      <c r="D145" s="197">
        <f>C119</f>
        <v>8688</v>
      </c>
      <c r="E145" s="197">
        <f>'Margins summary'!$I$13</f>
        <v>471.64</v>
      </c>
      <c r="F145" s="197">
        <f>E119</f>
        <v>9159.64</v>
      </c>
      <c r="G145" s="197">
        <f>F119</f>
        <v>2474.37212</v>
      </c>
      <c r="H145" s="197">
        <f>G119</f>
        <v>3226.3624</v>
      </c>
      <c r="I145" s="197">
        <f t="shared" si="64"/>
        <v>5700.73452</v>
      </c>
      <c r="J145" s="197">
        <f t="shared" si="65"/>
        <v>2987.26548</v>
      </c>
      <c r="K145" s="197">
        <f t="shared" si="63"/>
        <v>3458.9054799999994</v>
      </c>
      <c r="L145" s="968">
        <f t="shared" si="66"/>
        <v>8032.5443786982241</v>
      </c>
      <c r="M145" s="969">
        <f t="shared" si="67"/>
        <v>436.05769230769226</v>
      </c>
      <c r="N145" s="969">
        <f t="shared" si="68"/>
        <v>5270.6495192307684</v>
      </c>
      <c r="O145" s="969">
        <f t="shared" si="69"/>
        <v>2761.8948594674557</v>
      </c>
      <c r="P145" s="970">
        <f t="shared" si="70"/>
        <v>3197.9525517751481</v>
      </c>
      <c r="Q145" s="969">
        <f t="shared" ref="Q145:Q158" si="72">Q144+L145</f>
        <v>19260.590532544378</v>
      </c>
      <c r="R145" s="969">
        <f t="shared" si="71"/>
        <v>1361.1976923076923</v>
      </c>
      <c r="S145" s="969">
        <f t="shared" si="71"/>
        <v>18811.546176923075</v>
      </c>
      <c r="T145" s="969">
        <f t="shared" si="71"/>
        <v>449.04435562130038</v>
      </c>
      <c r="U145" s="970">
        <f t="shared" si="71"/>
        <v>1810.2420479289926</v>
      </c>
    </row>
    <row r="146" spans="2:21" x14ac:dyDescent="0.3">
      <c r="B146" s="219" t="s">
        <v>5</v>
      </c>
      <c r="C146" s="563">
        <v>4</v>
      </c>
      <c r="D146" s="197">
        <f>C68</f>
        <v>6429.5</v>
      </c>
      <c r="E146" s="197">
        <f>'Margins summary'!$I$13</f>
        <v>471.64</v>
      </c>
      <c r="F146" s="197">
        <f>E68</f>
        <v>6901.14</v>
      </c>
      <c r="G146" s="197">
        <f>F68</f>
        <v>3562.03775</v>
      </c>
      <c r="H146" s="197">
        <f>G68</f>
        <v>2542.6675999999998</v>
      </c>
      <c r="I146" s="197">
        <f t="shared" si="64"/>
        <v>6104.7053500000002</v>
      </c>
      <c r="J146" s="197">
        <f t="shared" si="65"/>
        <v>324.79464999999982</v>
      </c>
      <c r="K146" s="197">
        <f t="shared" si="63"/>
        <v>796.43465000000015</v>
      </c>
      <c r="L146" s="968">
        <f t="shared" si="66"/>
        <v>5715.8020880746471</v>
      </c>
      <c r="M146" s="969">
        <f t="shared" si="67"/>
        <v>419.28624260355025</v>
      </c>
      <c r="N146" s="969">
        <f t="shared" si="68"/>
        <v>5427.0608269088525</v>
      </c>
      <c r="O146" s="969">
        <f t="shared" si="69"/>
        <v>288.74126116579464</v>
      </c>
      <c r="P146" s="970">
        <f t="shared" si="70"/>
        <v>708.02750376934489</v>
      </c>
      <c r="Q146" s="969">
        <f t="shared" si="72"/>
        <v>24976.392620619026</v>
      </c>
      <c r="R146" s="969">
        <f t="shared" si="71"/>
        <v>1780.4839349112426</v>
      </c>
      <c r="S146" s="969">
        <f t="shared" si="71"/>
        <v>24238.607003831927</v>
      </c>
      <c r="T146" s="969">
        <f t="shared" si="71"/>
        <v>737.78561678709502</v>
      </c>
      <c r="U146" s="970">
        <f t="shared" si="71"/>
        <v>2518.2695516983376</v>
      </c>
    </row>
    <row r="147" spans="2:21" x14ac:dyDescent="0.3">
      <c r="B147" s="219" t="s">
        <v>647</v>
      </c>
      <c r="C147" s="563">
        <v>5</v>
      </c>
      <c r="D147" s="197">
        <f>C43</f>
        <v>2162.5</v>
      </c>
      <c r="E147" s="197">
        <f>'Margins summary'!$I$13</f>
        <v>471.64</v>
      </c>
      <c r="F147" s="197">
        <f>E43</f>
        <v>2634.14</v>
      </c>
      <c r="G147" s="197">
        <f>F43</f>
        <v>1959.4805899999999</v>
      </c>
      <c r="H147" s="197">
        <f>G43</f>
        <v>3608.9468000000006</v>
      </c>
      <c r="I147" s="197">
        <f t="shared" si="64"/>
        <v>5568.4273900000007</v>
      </c>
      <c r="J147" s="197">
        <f t="shared" si="65"/>
        <v>-3405.9273900000007</v>
      </c>
      <c r="K147" s="197">
        <f t="shared" si="63"/>
        <v>-2934.2873900000009</v>
      </c>
      <c r="L147" s="968">
        <f t="shared" si="66"/>
        <v>1848.5140631017819</v>
      </c>
      <c r="M147" s="969">
        <f t="shared" si="67"/>
        <v>403.15984865725983</v>
      </c>
      <c r="N147" s="969">
        <f t="shared" si="68"/>
        <v>4759.9150704167178</v>
      </c>
      <c r="O147" s="969">
        <f t="shared" si="69"/>
        <v>-2911.4010073149357</v>
      </c>
      <c r="P147" s="970">
        <f t="shared" si="70"/>
        <v>-2508.2411586576759</v>
      </c>
      <c r="Q147" s="969">
        <f t="shared" si="72"/>
        <v>26824.906683720808</v>
      </c>
      <c r="R147" s="969">
        <f t="shared" si="71"/>
        <v>2183.6437835685024</v>
      </c>
      <c r="S147" s="969">
        <f t="shared" si="71"/>
        <v>28998.522074248645</v>
      </c>
      <c r="T147" s="969">
        <f t="shared" si="71"/>
        <v>-2173.6153905278406</v>
      </c>
      <c r="U147" s="970">
        <f t="shared" si="71"/>
        <v>10.02839304066174</v>
      </c>
    </row>
    <row r="148" spans="2:21" x14ac:dyDescent="0.3">
      <c r="B148" s="219" t="s">
        <v>4</v>
      </c>
      <c r="C148" s="563">
        <v>6</v>
      </c>
      <c r="D148" s="197">
        <f>C18</f>
        <v>4674.2</v>
      </c>
      <c r="E148" s="197">
        <f>'Margins summary'!$I$13</f>
        <v>471.64</v>
      </c>
      <c r="F148" s="197">
        <f>E18</f>
        <v>5145.84</v>
      </c>
      <c r="G148" s="197">
        <f>F18</f>
        <v>2731.3292000000006</v>
      </c>
      <c r="H148" s="197">
        <f>G18</f>
        <v>4055.6064000000006</v>
      </c>
      <c r="I148" s="197">
        <f t="shared" si="64"/>
        <v>6786.9356000000007</v>
      </c>
      <c r="J148" s="197">
        <f t="shared" si="65"/>
        <v>-2112.7356000000009</v>
      </c>
      <c r="K148" s="197">
        <f t="shared" si="63"/>
        <v>-1641.0956000000006</v>
      </c>
      <c r="L148" s="968">
        <f t="shared" si="66"/>
        <v>3841.8516824145609</v>
      </c>
      <c r="M148" s="969">
        <f t="shared" si="67"/>
        <v>387.65370063198054</v>
      </c>
      <c r="N148" s="969">
        <f t="shared" si="68"/>
        <v>5578.3663414700441</v>
      </c>
      <c r="O148" s="969">
        <f t="shared" si="69"/>
        <v>-1736.5146590554832</v>
      </c>
      <c r="P148" s="970">
        <f t="shared" si="70"/>
        <v>-1348.8609584235028</v>
      </c>
      <c r="Q148" s="969">
        <f t="shared" si="72"/>
        <v>30666.758366135371</v>
      </c>
      <c r="R148" s="969">
        <f t="shared" si="71"/>
        <v>2571.2974842004828</v>
      </c>
      <c r="S148" s="969">
        <f t="shared" si="71"/>
        <v>34576.888415718691</v>
      </c>
      <c r="T148" s="969">
        <f t="shared" si="71"/>
        <v>-3910.1300495833239</v>
      </c>
      <c r="U148" s="970">
        <f t="shared" si="71"/>
        <v>-1338.832565382841</v>
      </c>
    </row>
    <row r="149" spans="2:21" x14ac:dyDescent="0.3">
      <c r="B149" s="219" t="s">
        <v>6</v>
      </c>
      <c r="C149" s="563">
        <v>7</v>
      </c>
      <c r="D149" s="197">
        <f>C97</f>
        <v>6816</v>
      </c>
      <c r="E149" s="197">
        <f>'Margins summary'!$I$13</f>
        <v>471.64</v>
      </c>
      <c r="F149" s="197">
        <f>E97</f>
        <v>7287.64</v>
      </c>
      <c r="G149" s="197">
        <f>F97</f>
        <v>3648.3062999999997</v>
      </c>
      <c r="H149" s="197">
        <f>G97</f>
        <v>3375.8132000000005</v>
      </c>
      <c r="I149" s="197">
        <f t="shared" si="64"/>
        <v>7024.1195000000007</v>
      </c>
      <c r="J149" s="197">
        <f t="shared" si="65"/>
        <v>-208.1195000000007</v>
      </c>
      <c r="K149" s="197">
        <f t="shared" si="63"/>
        <v>263.52049999999963</v>
      </c>
      <c r="L149" s="968">
        <f t="shared" si="66"/>
        <v>5386.7838073766734</v>
      </c>
      <c r="M149" s="969">
        <f t="shared" si="67"/>
        <v>372.74394291536589</v>
      </c>
      <c r="N149" s="969">
        <f t="shared" si="68"/>
        <v>5551.2636713143684</v>
      </c>
      <c r="O149" s="969">
        <f t="shared" si="69"/>
        <v>-164.47986393769497</v>
      </c>
      <c r="P149" s="970">
        <f t="shared" si="70"/>
        <v>208.26407897767092</v>
      </c>
      <c r="Q149" s="969">
        <f t="shared" si="72"/>
        <v>36053.542173512047</v>
      </c>
      <c r="R149" s="969">
        <f t="shared" si="71"/>
        <v>2944.0414271158488</v>
      </c>
      <c r="S149" s="969">
        <f t="shared" si="71"/>
        <v>40128.152087033057</v>
      </c>
      <c r="T149" s="969">
        <f t="shared" si="71"/>
        <v>-4074.6099135210188</v>
      </c>
      <c r="U149" s="970">
        <f t="shared" si="71"/>
        <v>-1130.56848640517</v>
      </c>
    </row>
    <row r="150" spans="2:21" x14ac:dyDescent="0.3">
      <c r="B150" s="219" t="s">
        <v>258</v>
      </c>
      <c r="C150" s="563">
        <v>8</v>
      </c>
      <c r="D150" s="197">
        <f>C124</f>
        <v>8688</v>
      </c>
      <c r="E150" s="197">
        <f>'Margins summary'!$I$13</f>
        <v>471.64</v>
      </c>
      <c r="F150" s="197">
        <f>E124</f>
        <v>9159.64</v>
      </c>
      <c r="G150" s="197">
        <f>F124</f>
        <v>2474.37212</v>
      </c>
      <c r="H150" s="197">
        <f>G124</f>
        <v>3226.3624</v>
      </c>
      <c r="I150" s="197">
        <f t="shared" si="64"/>
        <v>5700.73452</v>
      </c>
      <c r="J150" s="197">
        <f t="shared" si="65"/>
        <v>2987.26548</v>
      </c>
      <c r="K150" s="197">
        <f t="shared" si="63"/>
        <v>3458.9054799999994</v>
      </c>
      <c r="L150" s="968">
        <f t="shared" si="66"/>
        <v>6602.1659610995257</v>
      </c>
      <c r="M150" s="969">
        <f t="shared" si="67"/>
        <v>358.40763741862111</v>
      </c>
      <c r="N150" s="969">
        <f t="shared" si="68"/>
        <v>4332.0897100839138</v>
      </c>
      <c r="O150" s="969">
        <f t="shared" si="69"/>
        <v>2270.0762510156119</v>
      </c>
      <c r="P150" s="970">
        <f t="shared" si="70"/>
        <v>2628.483888434233</v>
      </c>
      <c r="Q150" s="969">
        <f t="shared" si="72"/>
        <v>42655.708134611574</v>
      </c>
      <c r="R150" s="969">
        <f t="shared" si="71"/>
        <v>3302.4490645344699</v>
      </c>
      <c r="S150" s="969">
        <f t="shared" si="71"/>
        <v>44460.241797116971</v>
      </c>
      <c r="T150" s="969">
        <f t="shared" si="71"/>
        <v>-1804.5336625054069</v>
      </c>
      <c r="U150" s="970">
        <f t="shared" si="71"/>
        <v>1497.915402029063</v>
      </c>
    </row>
    <row r="151" spans="2:21" x14ac:dyDescent="0.3">
      <c r="B151" s="219" t="s">
        <v>5</v>
      </c>
      <c r="C151" s="563">
        <v>9</v>
      </c>
      <c r="D151" s="197">
        <f>C73</f>
        <v>6429.5</v>
      </c>
      <c r="E151" s="197">
        <f>'Margins summary'!$I$13</f>
        <v>471.64</v>
      </c>
      <c r="F151" s="197">
        <f>E73</f>
        <v>6901.14</v>
      </c>
      <c r="G151" s="197">
        <f>F73</f>
        <v>3562.03775</v>
      </c>
      <c r="H151" s="197">
        <f>G73</f>
        <v>2542.6675999999998</v>
      </c>
      <c r="I151" s="197">
        <f t="shared" si="64"/>
        <v>6104.7053500000002</v>
      </c>
      <c r="J151" s="197">
        <f t="shared" si="65"/>
        <v>324.79464999999982</v>
      </c>
      <c r="K151" s="197">
        <f t="shared" si="63"/>
        <v>796.43465000000015</v>
      </c>
      <c r="L151" s="968">
        <f t="shared" si="66"/>
        <v>4697.9726730602542</v>
      </c>
      <c r="M151" s="969">
        <f t="shared" si="67"/>
        <v>344.6227282871356</v>
      </c>
      <c r="N151" s="969">
        <f t="shared" si="68"/>
        <v>4460.6484036682068</v>
      </c>
      <c r="O151" s="969">
        <f t="shared" si="69"/>
        <v>237.32426939204743</v>
      </c>
      <c r="P151" s="970">
        <f t="shared" si="70"/>
        <v>581.94699767918303</v>
      </c>
      <c r="Q151" s="969">
        <f t="shared" si="72"/>
        <v>47353.68080767183</v>
      </c>
      <c r="R151" s="969">
        <f t="shared" si="71"/>
        <v>3647.0717928216054</v>
      </c>
      <c r="S151" s="969">
        <f t="shared" si="71"/>
        <v>48920.890200785179</v>
      </c>
      <c r="T151" s="969">
        <f t="shared" si="71"/>
        <v>-1567.2093931133595</v>
      </c>
      <c r="U151" s="970">
        <f t="shared" si="71"/>
        <v>2079.8623997082459</v>
      </c>
    </row>
    <row r="152" spans="2:21" x14ac:dyDescent="0.3">
      <c r="B152" s="219" t="s">
        <v>647</v>
      </c>
      <c r="C152" s="563">
        <v>10</v>
      </c>
      <c r="D152" s="197">
        <f>C48</f>
        <v>2162.5</v>
      </c>
      <c r="E152" s="197">
        <f>'Margins summary'!$I$13</f>
        <v>471.64</v>
      </c>
      <c r="F152" s="197">
        <f>E48</f>
        <v>2634.14</v>
      </c>
      <c r="G152" s="197">
        <f>F48</f>
        <v>1959.4805899999999</v>
      </c>
      <c r="H152" s="197">
        <f>G48</f>
        <v>3608.9468000000006</v>
      </c>
      <c r="I152" s="197">
        <f t="shared" si="64"/>
        <v>5568.4273900000007</v>
      </c>
      <c r="J152" s="197">
        <f t="shared" si="65"/>
        <v>-3405.9273900000007</v>
      </c>
      <c r="K152" s="197">
        <f t="shared" si="63"/>
        <v>-2934.2873900000009</v>
      </c>
      <c r="L152" s="968">
        <f t="shared" si="66"/>
        <v>1519.3438156892209</v>
      </c>
      <c r="M152" s="969">
        <f t="shared" si="67"/>
        <v>331.36800796839958</v>
      </c>
      <c r="N152" s="969">
        <f t="shared" si="68"/>
        <v>3912.3032222478478</v>
      </c>
      <c r="O152" s="969">
        <f t="shared" si="69"/>
        <v>-2392.9594065586271</v>
      </c>
      <c r="P152" s="970">
        <f t="shared" si="70"/>
        <v>-2061.5913985902275</v>
      </c>
      <c r="Q152" s="969">
        <f t="shared" si="72"/>
        <v>48873.024623361052</v>
      </c>
      <c r="R152" s="969">
        <f t="shared" si="71"/>
        <v>3978.4398007900049</v>
      </c>
      <c r="S152" s="969">
        <f t="shared" si="71"/>
        <v>52833.19342303303</v>
      </c>
      <c r="T152" s="969">
        <f t="shared" si="71"/>
        <v>-3960.1687996719866</v>
      </c>
      <c r="U152" s="970">
        <f t="shared" si="71"/>
        <v>18.271001118018376</v>
      </c>
    </row>
    <row r="153" spans="2:21" x14ac:dyDescent="0.3">
      <c r="B153" s="219" t="s">
        <v>4</v>
      </c>
      <c r="C153" s="563">
        <v>11</v>
      </c>
      <c r="D153" s="197">
        <f>C23</f>
        <v>4674.2</v>
      </c>
      <c r="E153" s="197">
        <f>'Margins summary'!$I$13</f>
        <v>471.64</v>
      </c>
      <c r="F153" s="197">
        <f>E23</f>
        <v>5145.84</v>
      </c>
      <c r="G153" s="197">
        <f>F23</f>
        <v>2731.3292000000006</v>
      </c>
      <c r="H153" s="197">
        <f>G23</f>
        <v>4055.6064000000006</v>
      </c>
      <c r="I153" s="197">
        <f t="shared" si="64"/>
        <v>6786.9356000000007</v>
      </c>
      <c r="J153" s="197">
        <f t="shared" si="65"/>
        <v>-2112.7356000000009</v>
      </c>
      <c r="K153" s="197">
        <f t="shared" si="63"/>
        <v>-1641.0956000000006</v>
      </c>
      <c r="L153" s="968">
        <f t="shared" si="66"/>
        <v>3157.7220379255473</v>
      </c>
      <c r="M153" s="969">
        <f t="shared" si="67"/>
        <v>318.62308458499962</v>
      </c>
      <c r="N153" s="969">
        <f t="shared" si="68"/>
        <v>4585.0105074882231</v>
      </c>
      <c r="O153" s="969">
        <f t="shared" si="69"/>
        <v>-1427.2884695626758</v>
      </c>
      <c r="P153" s="970">
        <f t="shared" si="70"/>
        <v>-1108.6653849776762</v>
      </c>
      <c r="Q153" s="969">
        <f t="shared" si="72"/>
        <v>52030.746661286597</v>
      </c>
      <c r="R153" s="969">
        <f t="shared" si="71"/>
        <v>4297.062885375005</v>
      </c>
      <c r="S153" s="969">
        <f t="shared" si="71"/>
        <v>57418.203930521253</v>
      </c>
      <c r="T153" s="969">
        <f t="shared" si="71"/>
        <v>-5387.4572692346628</v>
      </c>
      <c r="U153" s="970">
        <f t="shared" si="71"/>
        <v>-1090.3943838596579</v>
      </c>
    </row>
    <row r="154" spans="2:21" x14ac:dyDescent="0.3">
      <c r="B154" s="219" t="s">
        <v>6</v>
      </c>
      <c r="C154" s="563">
        <v>12</v>
      </c>
      <c r="D154" s="197">
        <f>C102</f>
        <v>6816</v>
      </c>
      <c r="E154" s="197">
        <f>'Margins summary'!$I$13</f>
        <v>471.64</v>
      </c>
      <c r="F154" s="197">
        <f>E102</f>
        <v>7287.64</v>
      </c>
      <c r="G154" s="197">
        <f>F102</f>
        <v>3648.3062999999997</v>
      </c>
      <c r="H154" s="197">
        <f>G102</f>
        <v>3375.8132000000005</v>
      </c>
      <c r="I154" s="197">
        <f t="shared" si="64"/>
        <v>7024.1195000000007</v>
      </c>
      <c r="J154" s="197">
        <f t="shared" si="65"/>
        <v>-208.1195000000007</v>
      </c>
      <c r="K154" s="197">
        <f t="shared" si="63"/>
        <v>263.52049999999963</v>
      </c>
      <c r="L154" s="968">
        <f t="shared" si="66"/>
        <v>4427.5436295352338</v>
      </c>
      <c r="M154" s="969">
        <f t="shared" si="67"/>
        <v>306.36835056249964</v>
      </c>
      <c r="N154" s="969">
        <f t="shared" si="68"/>
        <v>4562.7340882217159</v>
      </c>
      <c r="O154" s="969">
        <f t="shared" si="69"/>
        <v>-135.19045868648209</v>
      </c>
      <c r="P154" s="970">
        <f t="shared" si="70"/>
        <v>171.17789187601755</v>
      </c>
      <c r="Q154" s="969">
        <f t="shared" si="72"/>
        <v>56458.290290821831</v>
      </c>
      <c r="R154" s="969">
        <f t="shared" si="71"/>
        <v>4603.4312359375044</v>
      </c>
      <c r="S154" s="969">
        <f t="shared" si="71"/>
        <v>61980.938018742971</v>
      </c>
      <c r="T154" s="969">
        <f t="shared" si="71"/>
        <v>-5522.6477279211449</v>
      </c>
      <c r="U154" s="970">
        <f t="shared" si="71"/>
        <v>-919.21649198364025</v>
      </c>
    </row>
    <row r="155" spans="2:21" x14ac:dyDescent="0.3">
      <c r="B155" s="219" t="s">
        <v>258</v>
      </c>
      <c r="C155" s="563">
        <v>13</v>
      </c>
      <c r="D155" s="197">
        <f>C129</f>
        <v>8688</v>
      </c>
      <c r="E155" s="197">
        <f>'Margins summary'!$I$13</f>
        <v>471.64</v>
      </c>
      <c r="F155" s="197">
        <f>E129</f>
        <v>9159.64</v>
      </c>
      <c r="G155" s="197">
        <f>F129</f>
        <v>2474.37212</v>
      </c>
      <c r="H155" s="197">
        <f>G129</f>
        <v>3226.3624</v>
      </c>
      <c r="I155" s="197">
        <f t="shared" si="64"/>
        <v>5700.73452</v>
      </c>
      <c r="J155" s="197">
        <f t="shared" si="65"/>
        <v>2987.26548</v>
      </c>
      <c r="K155" s="197">
        <f t="shared" si="63"/>
        <v>3458.9054799999994</v>
      </c>
      <c r="L155" s="968">
        <f t="shared" si="66"/>
        <v>5426.499166751606</v>
      </c>
      <c r="M155" s="969">
        <f t="shared" si="67"/>
        <v>294.58495246394193</v>
      </c>
      <c r="N155" s="969">
        <f t="shared" si="68"/>
        <v>3560.6619616312287</v>
      </c>
      <c r="O155" s="969">
        <f t="shared" si="69"/>
        <v>1865.8372051203773</v>
      </c>
      <c r="P155" s="970">
        <f t="shared" si="70"/>
        <v>2160.4221575843194</v>
      </c>
      <c r="Q155" s="969">
        <f t="shared" si="72"/>
        <v>61884.789457573439</v>
      </c>
      <c r="R155" s="969">
        <f t="shared" si="71"/>
        <v>4898.016188401446</v>
      </c>
      <c r="S155" s="969">
        <f t="shared" si="71"/>
        <v>65541.599980374202</v>
      </c>
      <c r="T155" s="969">
        <f t="shared" si="71"/>
        <v>-3656.8105228007676</v>
      </c>
      <c r="U155" s="970">
        <f t="shared" si="71"/>
        <v>1241.2056656006791</v>
      </c>
    </row>
    <row r="156" spans="2:21" x14ac:dyDescent="0.3">
      <c r="B156" s="219" t="s">
        <v>5</v>
      </c>
      <c r="C156" s="563">
        <v>14</v>
      </c>
      <c r="D156" s="197">
        <f>C78</f>
        <v>6429.5</v>
      </c>
      <c r="E156" s="197">
        <f>'Margins summary'!$I$13</f>
        <v>471.64</v>
      </c>
      <c r="F156" s="197">
        <f>E78</f>
        <v>6901.14</v>
      </c>
      <c r="G156" s="197">
        <f>F78</f>
        <v>3562.03775</v>
      </c>
      <c r="H156" s="197">
        <f>G78</f>
        <v>2542.6675999999998</v>
      </c>
      <c r="I156" s="197">
        <f t="shared" si="64"/>
        <v>6104.7053500000002</v>
      </c>
      <c r="J156" s="197">
        <f t="shared" si="65"/>
        <v>324.79464999999982</v>
      </c>
      <c r="K156" s="197">
        <f t="shared" si="63"/>
        <v>796.43465000000015</v>
      </c>
      <c r="L156" s="968">
        <f t="shared" si="66"/>
        <v>3861.391086802912</v>
      </c>
      <c r="M156" s="969">
        <f t="shared" si="67"/>
        <v>283.25476198455954</v>
      </c>
      <c r="N156" s="969">
        <f t="shared" si="68"/>
        <v>3666.3278366977297</v>
      </c>
      <c r="O156" s="969">
        <f t="shared" si="69"/>
        <v>195.06325010518231</v>
      </c>
      <c r="P156" s="970">
        <f t="shared" si="70"/>
        <v>478.31801208974184</v>
      </c>
      <c r="Q156" s="969">
        <f t="shared" si="72"/>
        <v>65746.180544376344</v>
      </c>
      <c r="R156" s="969">
        <f t="shared" si="71"/>
        <v>5181.270950386006</v>
      </c>
      <c r="S156" s="969">
        <f t="shared" si="71"/>
        <v>69207.927817071934</v>
      </c>
      <c r="T156" s="969">
        <f t="shared" si="71"/>
        <v>-3461.7472726955853</v>
      </c>
      <c r="U156" s="970">
        <f t="shared" si="71"/>
        <v>1719.523677690421</v>
      </c>
    </row>
    <row r="157" spans="2:21" x14ac:dyDescent="0.3">
      <c r="B157" s="219" t="s">
        <v>647</v>
      </c>
      <c r="C157" s="563">
        <v>15</v>
      </c>
      <c r="D157" s="197">
        <f>C53</f>
        <v>2162.5</v>
      </c>
      <c r="E157" s="197">
        <f>'Margins summary'!$I$13</f>
        <v>471.64</v>
      </c>
      <c r="F157" s="197">
        <f>E53</f>
        <v>2634.14</v>
      </c>
      <c r="G157" s="197">
        <f>F53</f>
        <v>1959.4805899999999</v>
      </c>
      <c r="H157" s="197">
        <f>G53</f>
        <v>3608.9468000000006</v>
      </c>
      <c r="I157" s="197">
        <f t="shared" si="64"/>
        <v>5568.4273900000007</v>
      </c>
      <c r="J157" s="197">
        <f t="shared" si="65"/>
        <v>-3405.9273900000007</v>
      </c>
      <c r="K157" s="197">
        <f t="shared" si="63"/>
        <v>-2934.2873900000009</v>
      </c>
      <c r="L157" s="968">
        <f t="shared" si="66"/>
        <v>1248.7898666021549</v>
      </c>
      <c r="M157" s="969">
        <f t="shared" si="67"/>
        <v>272.36034806207647</v>
      </c>
      <c r="N157" s="969">
        <f t="shared" si="68"/>
        <v>3215.6280682274623</v>
      </c>
      <c r="O157" s="969">
        <f t="shared" si="69"/>
        <v>-1966.8382016253074</v>
      </c>
      <c r="P157" s="970">
        <f t="shared" si="70"/>
        <v>-1694.4778535632308</v>
      </c>
      <c r="Q157" s="969">
        <f t="shared" si="72"/>
        <v>66994.970410978494</v>
      </c>
      <c r="R157" s="969">
        <f t="shared" si="71"/>
        <v>5453.6312984480828</v>
      </c>
      <c r="S157" s="969">
        <f t="shared" si="71"/>
        <v>72423.5558852994</v>
      </c>
      <c r="T157" s="969">
        <f t="shared" si="71"/>
        <v>-5428.5854743208929</v>
      </c>
      <c r="U157" s="970">
        <f t="shared" si="71"/>
        <v>25.045824127190144</v>
      </c>
    </row>
    <row r="158" spans="2:21" x14ac:dyDescent="0.3">
      <c r="B158" s="220" t="s">
        <v>4</v>
      </c>
      <c r="C158" s="640">
        <v>16</v>
      </c>
      <c r="D158" s="207">
        <f>C28</f>
        <v>4674.2</v>
      </c>
      <c r="E158" s="207">
        <f>'Margins summary'!$I$13</f>
        <v>471.64</v>
      </c>
      <c r="F158" s="207">
        <f>E28</f>
        <v>5145.84</v>
      </c>
      <c r="G158" s="207">
        <f>F28</f>
        <v>2731.3292000000006</v>
      </c>
      <c r="H158" s="207">
        <f>G28</f>
        <v>4055.6064000000006</v>
      </c>
      <c r="I158" s="207">
        <f t="shared" si="64"/>
        <v>6786.9356000000007</v>
      </c>
      <c r="J158" s="207">
        <f t="shared" si="65"/>
        <v>-2112.7356000000009</v>
      </c>
      <c r="K158" s="207">
        <f t="shared" si="63"/>
        <v>-1641.0956000000006</v>
      </c>
      <c r="L158" s="971">
        <f t="shared" si="66"/>
        <v>2595.4173385823888</v>
      </c>
      <c r="M158" s="972">
        <f t="shared" si="67"/>
        <v>261.88495005968895</v>
      </c>
      <c r="N158" s="972">
        <f t="shared" si="68"/>
        <v>3768.5444208810218</v>
      </c>
      <c r="O158" s="972">
        <f t="shared" si="69"/>
        <v>-1173.127082298633</v>
      </c>
      <c r="P158" s="973">
        <f t="shared" si="70"/>
        <v>-911.24213223894412</v>
      </c>
      <c r="Q158" s="972">
        <f t="shared" si="72"/>
        <v>69590.387749560876</v>
      </c>
      <c r="R158" s="972">
        <f t="shared" si="71"/>
        <v>5715.5162485077717</v>
      </c>
      <c r="S158" s="972">
        <f t="shared" si="71"/>
        <v>76192.100306180422</v>
      </c>
      <c r="T158" s="972">
        <f t="shared" si="71"/>
        <v>-6601.7125566195264</v>
      </c>
      <c r="U158" s="973">
        <f t="shared" si="71"/>
        <v>-886.19630811175398</v>
      </c>
    </row>
  </sheetData>
  <mergeCells count="22">
    <mergeCell ref="C114:E114"/>
    <mergeCell ref="G114:H114"/>
    <mergeCell ref="K114:O114"/>
    <mergeCell ref="P114:T114"/>
    <mergeCell ref="C140:E140"/>
    <mergeCell ref="G140:H140"/>
    <mergeCell ref="C62:E62"/>
    <mergeCell ref="G62:H62"/>
    <mergeCell ref="K62:O62"/>
    <mergeCell ref="P62:T62"/>
    <mergeCell ref="C88:E88"/>
    <mergeCell ref="G88:H88"/>
    <mergeCell ref="K88:O88"/>
    <mergeCell ref="P88:T88"/>
    <mergeCell ref="C10:E10"/>
    <mergeCell ref="G10:H10"/>
    <mergeCell ref="K10:O10"/>
    <mergeCell ref="P10:T10"/>
    <mergeCell ref="C36:E36"/>
    <mergeCell ref="G36:H36"/>
    <mergeCell ref="K36:O36"/>
    <mergeCell ref="P36:T36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9F5DDB62B41D24CB974735F2B5F80B6" ma:contentTypeVersion="12" ma:contentTypeDescription="Create a new document." ma:contentTypeScope="" ma:versionID="8bb3696943aa399bf7c014a28e148342">
  <xsd:schema xmlns:xsd="http://www.w3.org/2001/XMLSchema" xmlns:xs="http://www.w3.org/2001/XMLSchema" xmlns:p="http://schemas.microsoft.com/office/2006/metadata/properties" xmlns:ns3="5b9dbb6f-f28e-4a32-a7d6-aa04ef18b565" xmlns:ns4="62dac45c-a09b-4542-889f-7647871c89a7" targetNamespace="http://schemas.microsoft.com/office/2006/metadata/properties" ma:root="true" ma:fieldsID="19c407efd3b5f119a351b661e40ee8fd" ns3:_="" ns4:_="">
    <xsd:import namespace="5b9dbb6f-f28e-4a32-a7d6-aa04ef18b565"/>
    <xsd:import namespace="62dac45c-a09b-4542-889f-7647871c89a7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9dbb6f-f28e-4a32-a7d6-aa04ef18b56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dac45c-a09b-4542-889f-7647871c89a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9A8496B-EB0F-4B4B-AB7C-FC38A159498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9dbb6f-f28e-4a32-a7d6-aa04ef18b565"/>
    <ds:schemaRef ds:uri="62dac45c-a09b-4542-889f-7647871c89a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BC3E2D8-F68B-4A8F-8E98-40BF9012FA1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E2A3495-2C16-4059-87A8-7F241E039BE3}">
  <ds:schemaRefs>
    <ds:schemaRef ds:uri="62dac45c-a09b-4542-889f-7647871c89a7"/>
    <ds:schemaRef ds:uri="http://schemas.openxmlformats.org/package/2006/metadata/core-properties"/>
    <ds:schemaRef ds:uri="http://purl.org/dc/terms/"/>
    <ds:schemaRef ds:uri="http://www.w3.org/XML/1998/namespace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purl.org/dc/elements/1.1/"/>
    <ds:schemaRef ds:uri="5b9dbb6f-f28e-4a32-a7d6-aa04ef18b565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</vt:i4>
      </vt:variant>
    </vt:vector>
  </HeadingPairs>
  <TitlesOfParts>
    <vt:vector size="21" baseType="lpstr">
      <vt:lpstr>Introduction</vt:lpstr>
      <vt:lpstr>Arable Inputs</vt:lpstr>
      <vt:lpstr>Arable fixed costs</vt:lpstr>
      <vt:lpstr>Arable margins</vt:lpstr>
      <vt:lpstr>Energy Inputs</vt:lpstr>
      <vt:lpstr>Energy fixed costs</vt:lpstr>
      <vt:lpstr>Energy margins</vt:lpstr>
      <vt:lpstr>Margins summary</vt:lpstr>
      <vt:lpstr>Arable NPV</vt:lpstr>
      <vt:lpstr>Arable Model tables</vt:lpstr>
      <vt:lpstr>Arable Model</vt:lpstr>
      <vt:lpstr>Energy Model tables</vt:lpstr>
      <vt:lpstr>Energy Model</vt:lpstr>
      <vt:lpstr>Energy NPV</vt:lpstr>
      <vt:lpstr>Sensitivity Analysis Price</vt:lpstr>
      <vt:lpstr>Sensitivity Analysis Yield</vt:lpstr>
      <vt:lpstr>Sensitivity Analysis Costs</vt:lpstr>
      <vt:lpstr>Sensitivity Analysis Discount R</vt:lpstr>
      <vt:lpstr>Summary NPV</vt:lpstr>
      <vt:lpstr>Summary SA</vt:lpstr>
      <vt:lpstr>'Energy margins'!Rate_PLN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Cumplido-marín, Laura</dc:creator>
  <cp:lastModifiedBy>Cumplido-Marín, Laura</cp:lastModifiedBy>
  <dcterms:created xsi:type="dcterms:W3CDTF">2019-10-07T08:07:47Z</dcterms:created>
  <dcterms:modified xsi:type="dcterms:W3CDTF">2020-12-21T18:13:07Z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0x01010049F5DDB62B41D24CB974735F2B5F80B6</vt:lpwstr>
  </property>
</Properties>
</file>