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fs-webdav.cranfield.ac.uk/users/SWEE/s132854/Algae Reactors_EngD/Papers/IBR Light/"/>
    </mc:Choice>
  </mc:AlternateContent>
  <bookViews>
    <workbookView xWindow="0" yWindow="0" windowWidth="19200" windowHeight="7360"/>
  </bookViews>
  <sheets>
    <sheet name="Wlength, intensity, duty cycle " sheetId="1" r:id="rId1"/>
    <sheet name="Transmittance and attenutation " sheetId="2" r:id="rId2"/>
    <sheet name="Photoperiods" sheetId="3" r:id="rId3"/>
  </sheets>
  <externalReferences>
    <externalReference r:id="rId4"/>
    <externalReference r:id="rId5"/>
    <externalReference r:id="rId6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Y53" i="3" l="1"/>
  <c r="AA53" i="3"/>
  <c r="C53" i="3"/>
  <c r="AY52" i="3"/>
  <c r="AA52" i="3"/>
  <c r="C52" i="3"/>
  <c r="O46" i="3"/>
  <c r="C46" i="3"/>
  <c r="O45" i="3"/>
  <c r="C45" i="3"/>
  <c r="AY40" i="3"/>
  <c r="AA40" i="3"/>
  <c r="C40" i="3"/>
  <c r="AY39" i="3"/>
  <c r="AA39" i="3"/>
  <c r="C39" i="3"/>
  <c r="O33" i="3"/>
  <c r="C33" i="3"/>
  <c r="O32" i="3"/>
  <c r="C32" i="3"/>
  <c r="AY27" i="3"/>
  <c r="AA27" i="3"/>
  <c r="C27" i="3"/>
  <c r="AY26" i="3"/>
  <c r="AA26" i="3"/>
  <c r="C26" i="3"/>
  <c r="AY14" i="3"/>
  <c r="AA14" i="3"/>
  <c r="C14" i="3"/>
  <c r="AY13" i="3"/>
  <c r="AA13" i="3"/>
  <c r="C13" i="3"/>
  <c r="F7" i="3"/>
  <c r="F6" i="3"/>
  <c r="C72" i="2" l="1"/>
  <c r="S71" i="2"/>
  <c r="S72" i="2" s="1"/>
  <c r="O71" i="2"/>
  <c r="O72" i="2" s="1"/>
  <c r="N71" i="2"/>
  <c r="N72" i="2" s="1"/>
  <c r="M71" i="2"/>
  <c r="M72" i="2" s="1"/>
  <c r="L71" i="2"/>
  <c r="L72" i="2" s="1"/>
  <c r="H71" i="2"/>
  <c r="H72" i="2" s="1"/>
  <c r="G71" i="2"/>
  <c r="G72" i="2" s="1"/>
  <c r="F71" i="2"/>
  <c r="F72" i="2" s="1"/>
  <c r="E71" i="2"/>
  <c r="E72" i="2" s="1"/>
  <c r="C71" i="2"/>
  <c r="D70" i="2"/>
  <c r="D71" i="2" s="1"/>
  <c r="D72" i="2" s="1"/>
  <c r="C70" i="2"/>
  <c r="C69" i="2"/>
  <c r="S68" i="2"/>
  <c r="S69" i="2" s="1"/>
  <c r="O68" i="2"/>
  <c r="O69" i="2" s="1"/>
  <c r="N68" i="2"/>
  <c r="N69" i="2" s="1"/>
  <c r="M68" i="2"/>
  <c r="M69" i="2" s="1"/>
  <c r="L68" i="2"/>
  <c r="L69" i="2" s="1"/>
  <c r="H68" i="2"/>
  <c r="H69" i="2" s="1"/>
  <c r="G68" i="2"/>
  <c r="G69" i="2" s="1"/>
  <c r="F68" i="2"/>
  <c r="F69" i="2" s="1"/>
  <c r="E68" i="2"/>
  <c r="E69" i="2" s="1"/>
  <c r="C68" i="2"/>
  <c r="D67" i="2"/>
  <c r="D68" i="2" s="1"/>
  <c r="D69" i="2" s="1"/>
  <c r="C67" i="2"/>
  <c r="C66" i="2"/>
  <c r="S65" i="2"/>
  <c r="S66" i="2" s="1"/>
  <c r="O65" i="2"/>
  <c r="O66" i="2" s="1"/>
  <c r="N65" i="2"/>
  <c r="N66" i="2" s="1"/>
  <c r="M65" i="2"/>
  <c r="M66" i="2" s="1"/>
  <c r="L65" i="2"/>
  <c r="L66" i="2" s="1"/>
  <c r="H65" i="2"/>
  <c r="H66" i="2" s="1"/>
  <c r="G65" i="2"/>
  <c r="G66" i="2" s="1"/>
  <c r="F65" i="2"/>
  <c r="F66" i="2" s="1"/>
  <c r="E65" i="2"/>
  <c r="E66" i="2" s="1"/>
  <c r="C65" i="2"/>
  <c r="D64" i="2"/>
  <c r="D65" i="2" s="1"/>
  <c r="D66" i="2" s="1"/>
  <c r="C64" i="2"/>
  <c r="C63" i="2"/>
  <c r="S62" i="2"/>
  <c r="S63" i="2" s="1"/>
  <c r="O62" i="2"/>
  <c r="O63" i="2" s="1"/>
  <c r="N62" i="2"/>
  <c r="N63" i="2" s="1"/>
  <c r="M62" i="2"/>
  <c r="M63" i="2" s="1"/>
  <c r="L62" i="2"/>
  <c r="L63" i="2" s="1"/>
  <c r="H62" i="2"/>
  <c r="H63" i="2" s="1"/>
  <c r="G62" i="2"/>
  <c r="G63" i="2" s="1"/>
  <c r="F62" i="2"/>
  <c r="F63" i="2" s="1"/>
  <c r="E62" i="2"/>
  <c r="E63" i="2" s="1"/>
  <c r="C62" i="2"/>
  <c r="D61" i="2"/>
  <c r="D62" i="2" s="1"/>
  <c r="D63" i="2" s="1"/>
  <c r="C61" i="2"/>
  <c r="C60" i="2"/>
  <c r="S59" i="2"/>
  <c r="S60" i="2" s="1"/>
  <c r="O59" i="2"/>
  <c r="O60" i="2" s="1"/>
  <c r="N59" i="2"/>
  <c r="N60" i="2" s="1"/>
  <c r="M59" i="2"/>
  <c r="M60" i="2" s="1"/>
  <c r="L59" i="2"/>
  <c r="L60" i="2" s="1"/>
  <c r="H59" i="2"/>
  <c r="H60" i="2" s="1"/>
  <c r="G59" i="2"/>
  <c r="G60" i="2" s="1"/>
  <c r="F59" i="2"/>
  <c r="F60" i="2" s="1"/>
  <c r="E59" i="2"/>
  <c r="E60" i="2" s="1"/>
  <c r="C59" i="2"/>
  <c r="D58" i="2"/>
  <c r="D59" i="2" s="1"/>
  <c r="D60" i="2" s="1"/>
  <c r="C58" i="2"/>
  <c r="C57" i="2"/>
  <c r="S56" i="2"/>
  <c r="S57" i="2" s="1"/>
  <c r="O56" i="2"/>
  <c r="O57" i="2" s="1"/>
  <c r="K141" i="2" s="1"/>
  <c r="N56" i="2"/>
  <c r="N57" i="2" s="1"/>
  <c r="M56" i="2"/>
  <c r="M57" i="2" s="1"/>
  <c r="L56" i="2"/>
  <c r="L57" i="2" s="1"/>
  <c r="H56" i="2"/>
  <c r="H57" i="2" s="1"/>
  <c r="G56" i="2"/>
  <c r="G57" i="2" s="1"/>
  <c r="F56" i="2"/>
  <c r="F57" i="2" s="1"/>
  <c r="C56" i="2"/>
  <c r="E55" i="2"/>
  <c r="E56" i="2" s="1"/>
  <c r="E57" i="2" s="1"/>
  <c r="D55" i="2"/>
  <c r="D56" i="2" s="1"/>
  <c r="D57" i="2" s="1"/>
  <c r="C55" i="2"/>
  <c r="C49" i="2"/>
  <c r="O48" i="2"/>
  <c r="O49" i="2" s="1"/>
  <c r="N48" i="2"/>
  <c r="N49" i="2" s="1"/>
  <c r="M48" i="2"/>
  <c r="M49" i="2" s="1"/>
  <c r="L48" i="2"/>
  <c r="L49" i="2" s="1"/>
  <c r="H48" i="2"/>
  <c r="H49" i="2" s="1"/>
  <c r="G48" i="2"/>
  <c r="G49" i="2" s="1"/>
  <c r="F48" i="2"/>
  <c r="F49" i="2" s="1"/>
  <c r="E48" i="2"/>
  <c r="E49" i="2" s="1"/>
  <c r="C48" i="2"/>
  <c r="D47" i="2"/>
  <c r="D48" i="2" s="1"/>
  <c r="D49" i="2" s="1"/>
  <c r="C47" i="2"/>
  <c r="C46" i="2"/>
  <c r="O45" i="2"/>
  <c r="O46" i="2" s="1"/>
  <c r="N45" i="2"/>
  <c r="N46" i="2" s="1"/>
  <c r="M45" i="2"/>
  <c r="M46" i="2" s="1"/>
  <c r="L45" i="2"/>
  <c r="L46" i="2" s="1"/>
  <c r="H45" i="2"/>
  <c r="H46" i="2" s="1"/>
  <c r="G45" i="2"/>
  <c r="G46" i="2" s="1"/>
  <c r="F45" i="2"/>
  <c r="F46" i="2" s="1"/>
  <c r="E45" i="2"/>
  <c r="E46" i="2" s="1"/>
  <c r="C45" i="2"/>
  <c r="D44" i="2"/>
  <c r="D45" i="2" s="1"/>
  <c r="D46" i="2" s="1"/>
  <c r="C44" i="2"/>
  <c r="C43" i="2"/>
  <c r="O42" i="2"/>
  <c r="O43" i="2" s="1"/>
  <c r="N42" i="2"/>
  <c r="N43" i="2" s="1"/>
  <c r="M42" i="2"/>
  <c r="M43" i="2" s="1"/>
  <c r="L42" i="2"/>
  <c r="L43" i="2" s="1"/>
  <c r="H42" i="2"/>
  <c r="H43" i="2" s="1"/>
  <c r="G42" i="2"/>
  <c r="G43" i="2" s="1"/>
  <c r="F42" i="2"/>
  <c r="F43" i="2" s="1"/>
  <c r="E42" i="2"/>
  <c r="E43" i="2" s="1"/>
  <c r="C42" i="2"/>
  <c r="D41" i="2"/>
  <c r="D42" i="2" s="1"/>
  <c r="D43" i="2" s="1"/>
  <c r="C41" i="2"/>
  <c r="C40" i="2"/>
  <c r="O39" i="2"/>
  <c r="O40" i="2" s="1"/>
  <c r="N39" i="2"/>
  <c r="N40" i="2" s="1"/>
  <c r="M39" i="2"/>
  <c r="M40" i="2" s="1"/>
  <c r="L39" i="2"/>
  <c r="L40" i="2" s="1"/>
  <c r="H39" i="2"/>
  <c r="H40" i="2" s="1"/>
  <c r="G39" i="2"/>
  <c r="G40" i="2" s="1"/>
  <c r="F39" i="2"/>
  <c r="F40" i="2" s="1"/>
  <c r="E39" i="2"/>
  <c r="E40" i="2" s="1"/>
  <c r="C39" i="2"/>
  <c r="D38" i="2"/>
  <c r="D39" i="2" s="1"/>
  <c r="D40" i="2" s="1"/>
  <c r="C38" i="2"/>
  <c r="C37" i="2"/>
  <c r="O36" i="2"/>
  <c r="O37" i="2" s="1"/>
  <c r="N36" i="2"/>
  <c r="N37" i="2" s="1"/>
  <c r="M36" i="2"/>
  <c r="M37" i="2" s="1"/>
  <c r="L36" i="2"/>
  <c r="L37" i="2" s="1"/>
  <c r="H36" i="2"/>
  <c r="H37" i="2" s="1"/>
  <c r="G36" i="2"/>
  <c r="G37" i="2" s="1"/>
  <c r="F36" i="2"/>
  <c r="F37" i="2" s="1"/>
  <c r="E36" i="2"/>
  <c r="E37" i="2" s="1"/>
  <c r="C36" i="2"/>
  <c r="D35" i="2"/>
  <c r="D36" i="2" s="1"/>
  <c r="D37" i="2" s="1"/>
  <c r="C35" i="2"/>
  <c r="C34" i="2"/>
  <c r="C33" i="2"/>
  <c r="V32" i="2"/>
  <c r="S42" i="2" s="1"/>
  <c r="D32" i="2"/>
  <c r="S25" i="2"/>
  <c r="S26" i="2" s="1"/>
  <c r="O25" i="2"/>
  <c r="O26" i="2" s="1"/>
  <c r="P26" i="2" s="1"/>
  <c r="N25" i="2"/>
  <c r="N26" i="2" s="1"/>
  <c r="M25" i="2"/>
  <c r="M26" i="2" s="1"/>
  <c r="L25" i="2"/>
  <c r="L26" i="2" s="1"/>
  <c r="H25" i="2"/>
  <c r="H26" i="2" s="1"/>
  <c r="G25" i="2"/>
  <c r="G26" i="2" s="1"/>
  <c r="F25" i="2"/>
  <c r="F26" i="2" s="1"/>
  <c r="E25" i="2"/>
  <c r="E26" i="2" s="1"/>
  <c r="D24" i="2"/>
  <c r="D25" i="2" s="1"/>
  <c r="D26" i="2" s="1"/>
  <c r="C24" i="2"/>
  <c r="S22" i="2"/>
  <c r="S23" i="2" s="1"/>
  <c r="O22" i="2"/>
  <c r="O23" i="2" s="1"/>
  <c r="P23" i="2" s="1"/>
  <c r="N22" i="2"/>
  <c r="N23" i="2" s="1"/>
  <c r="M22" i="2"/>
  <c r="M23" i="2" s="1"/>
  <c r="L22" i="2"/>
  <c r="L23" i="2" s="1"/>
  <c r="H22" i="2"/>
  <c r="H23" i="2" s="1"/>
  <c r="G22" i="2"/>
  <c r="G23" i="2" s="1"/>
  <c r="F22" i="2"/>
  <c r="F23" i="2" s="1"/>
  <c r="E22" i="2"/>
  <c r="E23" i="2" s="1"/>
  <c r="D21" i="2"/>
  <c r="C21" i="2"/>
  <c r="S19" i="2"/>
  <c r="S20" i="2" s="1"/>
  <c r="O19" i="2"/>
  <c r="O20" i="2" s="1"/>
  <c r="P20" i="2" s="1"/>
  <c r="N19" i="2"/>
  <c r="N20" i="2" s="1"/>
  <c r="M19" i="2"/>
  <c r="M20" i="2" s="1"/>
  <c r="L19" i="2"/>
  <c r="L20" i="2" s="1"/>
  <c r="H19" i="2"/>
  <c r="H20" i="2" s="1"/>
  <c r="G19" i="2"/>
  <c r="G20" i="2" s="1"/>
  <c r="F19" i="2"/>
  <c r="F20" i="2" s="1"/>
  <c r="E19" i="2"/>
  <c r="E20" i="2" s="1"/>
  <c r="D18" i="2"/>
  <c r="D19" i="2" s="1"/>
  <c r="D20" i="2" s="1"/>
  <c r="C18" i="2"/>
  <c r="S16" i="2"/>
  <c r="S17" i="2" s="1"/>
  <c r="O16" i="2"/>
  <c r="O17" i="2" s="1"/>
  <c r="P17" i="2" s="1"/>
  <c r="N16" i="2"/>
  <c r="N17" i="2" s="1"/>
  <c r="M16" i="2"/>
  <c r="M17" i="2" s="1"/>
  <c r="L16" i="2"/>
  <c r="L17" i="2" s="1"/>
  <c r="H16" i="2"/>
  <c r="H17" i="2" s="1"/>
  <c r="G16" i="2"/>
  <c r="G17" i="2" s="1"/>
  <c r="F16" i="2"/>
  <c r="F17" i="2" s="1"/>
  <c r="E16" i="2"/>
  <c r="E17" i="2" s="1"/>
  <c r="D15" i="2"/>
  <c r="D16" i="2" s="1"/>
  <c r="D17" i="2" s="1"/>
  <c r="C15" i="2"/>
  <c r="S13" i="2"/>
  <c r="S14" i="2" s="1"/>
  <c r="O13" i="2"/>
  <c r="O14" i="2" s="1"/>
  <c r="P14" i="2" s="1"/>
  <c r="N13" i="2"/>
  <c r="N14" i="2" s="1"/>
  <c r="M13" i="2"/>
  <c r="M14" i="2" s="1"/>
  <c r="L13" i="2"/>
  <c r="L14" i="2" s="1"/>
  <c r="H12" i="2"/>
  <c r="H13" i="2" s="1"/>
  <c r="H14" i="2" s="1"/>
  <c r="G12" i="2"/>
  <c r="G13" i="2" s="1"/>
  <c r="G14" i="2" s="1"/>
  <c r="F12" i="2"/>
  <c r="F13" i="2" s="1"/>
  <c r="F14" i="2" s="1"/>
  <c r="E12" i="2"/>
  <c r="E13" i="2" s="1"/>
  <c r="E14" i="2" s="1"/>
  <c r="D12" i="2"/>
  <c r="D13" i="2" s="1"/>
  <c r="D14" i="2" s="1"/>
  <c r="C12" i="2"/>
  <c r="S10" i="2"/>
  <c r="S11" i="2" s="1"/>
  <c r="O10" i="2"/>
  <c r="O11" i="2" s="1"/>
  <c r="N10" i="2"/>
  <c r="N11" i="2" s="1"/>
  <c r="M10" i="2"/>
  <c r="M11" i="2" s="1"/>
  <c r="L10" i="2"/>
  <c r="L11" i="2" s="1"/>
  <c r="H9" i="2"/>
  <c r="H10" i="2" s="1"/>
  <c r="H11" i="2" s="1"/>
  <c r="G9" i="2"/>
  <c r="G10" i="2" s="1"/>
  <c r="G11" i="2" s="1"/>
  <c r="F9" i="2"/>
  <c r="F10" i="2" s="1"/>
  <c r="F11" i="2" s="1"/>
  <c r="E9" i="2"/>
  <c r="E10" i="2" s="1"/>
  <c r="E11" i="2" s="1"/>
  <c r="D9" i="2"/>
  <c r="D10" i="2" s="1"/>
  <c r="D11" i="2" s="1"/>
  <c r="C9" i="2"/>
  <c r="G28" i="1"/>
  <c r="G22" i="1"/>
  <c r="K124" i="2" l="1"/>
  <c r="P66" i="2"/>
  <c r="I37" i="2"/>
  <c r="M78" i="2" s="1"/>
  <c r="I72" i="2"/>
  <c r="W105" i="2" s="1"/>
  <c r="P63" i="2"/>
  <c r="I20" i="2"/>
  <c r="G110" i="2" s="1"/>
  <c r="I26" i="2"/>
  <c r="I110" i="2" s="1"/>
  <c r="P37" i="2"/>
  <c r="I66" i="2"/>
  <c r="U108" i="2" s="1"/>
  <c r="I40" i="2"/>
  <c r="N78" i="2" s="1"/>
  <c r="I43" i="2"/>
  <c r="O78" i="2" s="1"/>
  <c r="P46" i="2"/>
  <c r="I57" i="2"/>
  <c r="S106" i="2" s="1"/>
  <c r="G33" i="2"/>
  <c r="F123" i="2" s="1"/>
  <c r="P43" i="2"/>
  <c r="P49" i="2"/>
  <c r="P60" i="2"/>
  <c r="D22" i="2"/>
  <c r="D23" i="2" s="1"/>
  <c r="I23" i="2" s="1"/>
  <c r="D33" i="2"/>
  <c r="D34" i="2" s="1"/>
  <c r="P69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S108" i="2"/>
  <c r="S102" i="2"/>
  <c r="S110" i="2"/>
  <c r="S103" i="2"/>
  <c r="S94" i="2"/>
  <c r="S88" i="2"/>
  <c r="S84" i="2"/>
  <c r="S78" i="2"/>
  <c r="S91" i="2"/>
  <c r="S83" i="2"/>
  <c r="S85" i="2"/>
  <c r="S89" i="2"/>
  <c r="L148" i="2"/>
  <c r="L146" i="2"/>
  <c r="L144" i="2"/>
  <c r="L142" i="2"/>
  <c r="L140" i="2"/>
  <c r="L138" i="2"/>
  <c r="L136" i="2"/>
  <c r="L134" i="2"/>
  <c r="L130" i="2"/>
  <c r="L126" i="2"/>
  <c r="L129" i="2"/>
  <c r="L125" i="2"/>
  <c r="L147" i="2"/>
  <c r="L143" i="2"/>
  <c r="L139" i="2"/>
  <c r="L135" i="2"/>
  <c r="L128" i="2"/>
  <c r="L127" i="2"/>
  <c r="L122" i="2"/>
  <c r="L120" i="2"/>
  <c r="L118" i="2"/>
  <c r="L116" i="2"/>
  <c r="L145" i="2"/>
  <c r="L137" i="2"/>
  <c r="L132" i="2"/>
  <c r="L123" i="2"/>
  <c r="L119" i="2"/>
  <c r="L115" i="2"/>
  <c r="L149" i="2"/>
  <c r="L133" i="2"/>
  <c r="L141" i="2"/>
  <c r="L124" i="2"/>
  <c r="L117" i="2"/>
  <c r="L121" i="2"/>
  <c r="L131" i="2"/>
  <c r="I46" i="2"/>
  <c r="P78" i="2" s="1"/>
  <c r="G149" i="2"/>
  <c r="G147" i="2"/>
  <c r="G145" i="2"/>
  <c r="G143" i="2"/>
  <c r="G141" i="2"/>
  <c r="G139" i="2"/>
  <c r="G137" i="2"/>
  <c r="G135" i="2"/>
  <c r="G133" i="2"/>
  <c r="G129" i="2"/>
  <c r="G125" i="2"/>
  <c r="G132" i="2"/>
  <c r="G128" i="2"/>
  <c r="G124" i="2"/>
  <c r="G146" i="2"/>
  <c r="G142" i="2"/>
  <c r="G138" i="2"/>
  <c r="G134" i="2"/>
  <c r="G131" i="2"/>
  <c r="G130" i="2"/>
  <c r="G123" i="2"/>
  <c r="G121" i="2"/>
  <c r="G119" i="2"/>
  <c r="G117" i="2"/>
  <c r="G115" i="2"/>
  <c r="G148" i="2"/>
  <c r="G140" i="2"/>
  <c r="G127" i="2"/>
  <c r="G122" i="2"/>
  <c r="G118" i="2"/>
  <c r="G144" i="2"/>
  <c r="G126" i="2"/>
  <c r="G120" i="2"/>
  <c r="G136" i="2"/>
  <c r="G116" i="2"/>
  <c r="I11" i="2"/>
  <c r="G108" i="2"/>
  <c r="G104" i="2"/>
  <c r="G100" i="2"/>
  <c r="G107" i="2"/>
  <c r="G98" i="2"/>
  <c r="G94" i="2"/>
  <c r="G90" i="2"/>
  <c r="G86" i="2"/>
  <c r="G82" i="2"/>
  <c r="G78" i="2"/>
  <c r="G101" i="2"/>
  <c r="G91" i="2"/>
  <c r="G83" i="2"/>
  <c r="I95" i="2"/>
  <c r="I100" i="2"/>
  <c r="U109" i="2"/>
  <c r="W109" i="2"/>
  <c r="W107" i="2"/>
  <c r="W101" i="2"/>
  <c r="W99" i="2"/>
  <c r="W100" i="2"/>
  <c r="W97" i="2"/>
  <c r="W91" i="2"/>
  <c r="W89" i="2"/>
  <c r="W83" i="2"/>
  <c r="W81" i="2"/>
  <c r="W98" i="2"/>
  <c r="W102" i="2"/>
  <c r="W88" i="2"/>
  <c r="W84" i="2"/>
  <c r="G99" i="2"/>
  <c r="M33" i="2"/>
  <c r="M34" i="2" s="1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G85" i="2"/>
  <c r="W106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28" i="2"/>
  <c r="H124" i="2"/>
  <c r="H131" i="2"/>
  <c r="H127" i="2"/>
  <c r="H130" i="2"/>
  <c r="H123" i="2"/>
  <c r="H121" i="2"/>
  <c r="H119" i="2"/>
  <c r="H117" i="2"/>
  <c r="H115" i="2"/>
  <c r="H129" i="2"/>
  <c r="H122" i="2"/>
  <c r="H118" i="2"/>
  <c r="H125" i="2"/>
  <c r="H126" i="2"/>
  <c r="H120" i="2"/>
  <c r="H116" i="2"/>
  <c r="I14" i="2"/>
  <c r="E78" i="2" s="1"/>
  <c r="I17" i="2"/>
  <c r="N33" i="2"/>
  <c r="N34" i="2" s="1"/>
  <c r="S36" i="2"/>
  <c r="K131" i="2"/>
  <c r="K127" i="2"/>
  <c r="K123" i="2"/>
  <c r="K122" i="2"/>
  <c r="K121" i="2"/>
  <c r="K120" i="2"/>
  <c r="K119" i="2"/>
  <c r="K118" i="2"/>
  <c r="K117" i="2"/>
  <c r="K116" i="2"/>
  <c r="K115" i="2"/>
  <c r="K148" i="2"/>
  <c r="K146" i="2"/>
  <c r="K144" i="2"/>
  <c r="K142" i="2"/>
  <c r="K140" i="2"/>
  <c r="K138" i="2"/>
  <c r="K136" i="2"/>
  <c r="K134" i="2"/>
  <c r="K130" i="2"/>
  <c r="K126" i="2"/>
  <c r="K129" i="2"/>
  <c r="K147" i="2"/>
  <c r="K143" i="2"/>
  <c r="K139" i="2"/>
  <c r="K135" i="2"/>
  <c r="K128" i="2"/>
  <c r="K125" i="2"/>
  <c r="K145" i="2"/>
  <c r="K137" i="2"/>
  <c r="K132" i="2"/>
  <c r="K149" i="2"/>
  <c r="K133" i="2"/>
  <c r="I63" i="2"/>
  <c r="I69" i="2"/>
  <c r="G89" i="2"/>
  <c r="W90" i="2"/>
  <c r="I104" i="2"/>
  <c r="F130" i="2"/>
  <c r="F126" i="2"/>
  <c r="F122" i="2"/>
  <c r="F121" i="2"/>
  <c r="F120" i="2"/>
  <c r="F118" i="2"/>
  <c r="F117" i="2"/>
  <c r="F116" i="2"/>
  <c r="F149" i="2"/>
  <c r="F147" i="2"/>
  <c r="F145" i="2"/>
  <c r="F141" i="2"/>
  <c r="F139" i="2"/>
  <c r="F137" i="2"/>
  <c r="F133" i="2"/>
  <c r="F129" i="2"/>
  <c r="F125" i="2"/>
  <c r="F124" i="2"/>
  <c r="F146" i="2"/>
  <c r="F142" i="2"/>
  <c r="F134" i="2"/>
  <c r="F131" i="2"/>
  <c r="F148" i="2"/>
  <c r="F127" i="2"/>
  <c r="F144" i="2"/>
  <c r="F128" i="2"/>
  <c r="W82" i="2"/>
  <c r="S45" i="2"/>
  <c r="S48" i="2"/>
  <c r="S39" i="2"/>
  <c r="S33" i="2"/>
  <c r="S34" i="2" s="1"/>
  <c r="L33" i="2"/>
  <c r="L34" i="2" s="1"/>
  <c r="E33" i="2"/>
  <c r="E34" i="2" s="1"/>
  <c r="O33" i="2"/>
  <c r="O34" i="2" s="1"/>
  <c r="H33" i="2"/>
  <c r="H34" i="2" s="1"/>
  <c r="C32" i="2"/>
  <c r="G34" i="2"/>
  <c r="P40" i="2"/>
  <c r="I49" i="2"/>
  <c r="I60" i="2"/>
  <c r="P72" i="2"/>
  <c r="P11" i="2"/>
  <c r="F33" i="2"/>
  <c r="F34" i="2" s="1"/>
  <c r="G105" i="2"/>
  <c r="P57" i="2"/>
  <c r="Q105" i="1"/>
  <c r="X104" i="1"/>
  <c r="W104" i="1"/>
  <c r="V104" i="1"/>
  <c r="U104" i="1"/>
  <c r="T104" i="1"/>
  <c r="S104" i="1"/>
  <c r="R104" i="1"/>
  <c r="Q104" i="1"/>
  <c r="AB103" i="1"/>
  <c r="AA103" i="1"/>
  <c r="Y103" i="1"/>
  <c r="P103" i="1"/>
  <c r="O103" i="1"/>
  <c r="N103" i="1"/>
  <c r="M103" i="1"/>
  <c r="L103" i="1"/>
  <c r="K103" i="1"/>
  <c r="J103" i="1"/>
  <c r="I103" i="1"/>
  <c r="H103" i="1"/>
  <c r="G103" i="1"/>
  <c r="AB102" i="1"/>
  <c r="AA102" i="1"/>
  <c r="Y102" i="1"/>
  <c r="P102" i="1"/>
  <c r="O102" i="1"/>
  <c r="N102" i="1"/>
  <c r="M102" i="1"/>
  <c r="L102" i="1"/>
  <c r="K102" i="1"/>
  <c r="J102" i="1"/>
  <c r="I102" i="1"/>
  <c r="H102" i="1"/>
  <c r="G102" i="1"/>
  <c r="Q101" i="1"/>
  <c r="X100" i="1"/>
  <c r="W100" i="1"/>
  <c r="V100" i="1"/>
  <c r="U100" i="1"/>
  <c r="T100" i="1"/>
  <c r="S100" i="1"/>
  <c r="R100" i="1"/>
  <c r="Q100" i="1"/>
  <c r="AB99" i="1"/>
  <c r="AA99" i="1"/>
  <c r="Y99" i="1"/>
  <c r="P99" i="1"/>
  <c r="O99" i="1"/>
  <c r="N99" i="1"/>
  <c r="M99" i="1"/>
  <c r="L99" i="1"/>
  <c r="K99" i="1"/>
  <c r="J99" i="1"/>
  <c r="I99" i="1"/>
  <c r="H99" i="1"/>
  <c r="G99" i="1"/>
  <c r="AB98" i="1"/>
  <c r="AA98" i="1"/>
  <c r="Y98" i="1"/>
  <c r="P98" i="1"/>
  <c r="O98" i="1"/>
  <c r="N98" i="1"/>
  <c r="M98" i="1"/>
  <c r="L98" i="1"/>
  <c r="K98" i="1"/>
  <c r="J98" i="1"/>
  <c r="I98" i="1"/>
  <c r="H98" i="1"/>
  <c r="G98" i="1"/>
  <c r="Q97" i="1"/>
  <c r="X96" i="1"/>
  <c r="W96" i="1"/>
  <c r="V96" i="1"/>
  <c r="U96" i="1"/>
  <c r="T96" i="1"/>
  <c r="S96" i="1"/>
  <c r="R96" i="1"/>
  <c r="Q96" i="1"/>
  <c r="AB95" i="1"/>
  <c r="AA95" i="1"/>
  <c r="Y95" i="1"/>
  <c r="P95" i="1"/>
  <c r="O95" i="1"/>
  <c r="N95" i="1"/>
  <c r="M95" i="1"/>
  <c r="L95" i="1"/>
  <c r="K95" i="1"/>
  <c r="J95" i="1"/>
  <c r="I95" i="1"/>
  <c r="H95" i="1"/>
  <c r="G95" i="1"/>
  <c r="AB94" i="1"/>
  <c r="AA94" i="1"/>
  <c r="Y94" i="1"/>
  <c r="P94" i="1"/>
  <c r="O94" i="1"/>
  <c r="N94" i="1"/>
  <c r="M94" i="1"/>
  <c r="L94" i="1"/>
  <c r="K94" i="1"/>
  <c r="J94" i="1"/>
  <c r="I94" i="1"/>
  <c r="H94" i="1"/>
  <c r="G94" i="1"/>
  <c r="Q93" i="1"/>
  <c r="X92" i="1"/>
  <c r="W92" i="1"/>
  <c r="V92" i="1"/>
  <c r="U92" i="1"/>
  <c r="T92" i="1"/>
  <c r="S92" i="1"/>
  <c r="R92" i="1"/>
  <c r="Q92" i="1"/>
  <c r="AB91" i="1"/>
  <c r="AA91" i="1"/>
  <c r="Y91" i="1"/>
  <c r="P91" i="1"/>
  <c r="O91" i="1"/>
  <c r="N91" i="1"/>
  <c r="M91" i="1"/>
  <c r="L91" i="1"/>
  <c r="K91" i="1"/>
  <c r="J91" i="1"/>
  <c r="I91" i="1"/>
  <c r="H91" i="1"/>
  <c r="G91" i="1"/>
  <c r="AB90" i="1"/>
  <c r="AA90" i="1"/>
  <c r="Y90" i="1"/>
  <c r="P90" i="1"/>
  <c r="O90" i="1"/>
  <c r="N90" i="1"/>
  <c r="M90" i="1"/>
  <c r="L90" i="1"/>
  <c r="K90" i="1"/>
  <c r="J90" i="1"/>
  <c r="I90" i="1"/>
  <c r="H90" i="1"/>
  <c r="G90" i="1"/>
  <c r="Q89" i="1"/>
  <c r="O89" i="1"/>
  <c r="N89" i="1"/>
  <c r="M89" i="1"/>
  <c r="L89" i="1"/>
  <c r="J89" i="1"/>
  <c r="I89" i="1"/>
  <c r="H89" i="1"/>
  <c r="G89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AB87" i="1"/>
  <c r="AA87" i="1"/>
  <c r="Y87" i="1"/>
  <c r="AB86" i="1"/>
  <c r="AA86" i="1"/>
  <c r="Y86" i="1"/>
  <c r="Q85" i="1"/>
  <c r="O85" i="1"/>
  <c r="N85" i="1"/>
  <c r="M85" i="1"/>
  <c r="L85" i="1"/>
  <c r="J85" i="1"/>
  <c r="I85" i="1"/>
  <c r="H85" i="1"/>
  <c r="G85" i="1"/>
  <c r="X84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AB83" i="1"/>
  <c r="AA83" i="1"/>
  <c r="Y83" i="1"/>
  <c r="AB82" i="1"/>
  <c r="AA82" i="1"/>
  <c r="Y82" i="1"/>
  <c r="Q81" i="1"/>
  <c r="O81" i="1"/>
  <c r="N81" i="1"/>
  <c r="M81" i="1"/>
  <c r="L81" i="1"/>
  <c r="J81" i="1"/>
  <c r="I81" i="1"/>
  <c r="H81" i="1"/>
  <c r="G81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AB79" i="1"/>
  <c r="AA79" i="1"/>
  <c r="Y79" i="1"/>
  <c r="AB78" i="1"/>
  <c r="AA78" i="1"/>
  <c r="Y78" i="1"/>
  <c r="Q77" i="1"/>
  <c r="O77" i="1"/>
  <c r="N77" i="1"/>
  <c r="M77" i="1"/>
  <c r="L77" i="1"/>
  <c r="J77" i="1"/>
  <c r="I77" i="1"/>
  <c r="H77" i="1"/>
  <c r="G77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AB75" i="1"/>
  <c r="AA75" i="1"/>
  <c r="Y75" i="1"/>
  <c r="AB74" i="1"/>
  <c r="AA74" i="1"/>
  <c r="Y74" i="1"/>
  <c r="Q73" i="1"/>
  <c r="O73" i="1"/>
  <c r="N73" i="1"/>
  <c r="M73" i="1"/>
  <c r="L73" i="1"/>
  <c r="K73" i="1"/>
  <c r="J73" i="1"/>
  <c r="I73" i="1"/>
  <c r="H73" i="1"/>
  <c r="G73" i="1"/>
  <c r="X72" i="1"/>
  <c r="W72" i="1"/>
  <c r="V72" i="1"/>
  <c r="U72" i="1"/>
  <c r="T72" i="1"/>
  <c r="R72" i="1"/>
  <c r="Q72" i="1"/>
  <c r="P72" i="1"/>
  <c r="O72" i="1"/>
  <c r="N72" i="1"/>
  <c r="M72" i="1"/>
  <c r="L72" i="1"/>
  <c r="K72" i="1"/>
  <c r="J72" i="1"/>
  <c r="I72" i="1"/>
  <c r="H72" i="1"/>
  <c r="G72" i="1"/>
  <c r="AB71" i="1"/>
  <c r="AA71" i="1"/>
  <c r="Y71" i="1"/>
  <c r="AB70" i="1"/>
  <c r="AA70" i="1"/>
  <c r="Y70" i="1"/>
  <c r="Q69" i="1"/>
  <c r="O69" i="1"/>
  <c r="N69" i="1"/>
  <c r="M69" i="1"/>
  <c r="L69" i="1"/>
  <c r="K69" i="1"/>
  <c r="J69" i="1"/>
  <c r="I69" i="1"/>
  <c r="H69" i="1"/>
  <c r="G69" i="1"/>
  <c r="X68" i="1"/>
  <c r="W68" i="1"/>
  <c r="V68" i="1"/>
  <c r="U68" i="1"/>
  <c r="T68" i="1"/>
  <c r="R68" i="1"/>
  <c r="Q68" i="1"/>
  <c r="P68" i="1"/>
  <c r="O68" i="1"/>
  <c r="N68" i="1"/>
  <c r="M68" i="1"/>
  <c r="L68" i="1"/>
  <c r="K68" i="1"/>
  <c r="J68" i="1"/>
  <c r="I68" i="1"/>
  <c r="H68" i="1"/>
  <c r="G68" i="1"/>
  <c r="AB67" i="1"/>
  <c r="AA67" i="1"/>
  <c r="Y67" i="1"/>
  <c r="AB66" i="1"/>
  <c r="AA66" i="1"/>
  <c r="Y66" i="1"/>
  <c r="Q65" i="1"/>
  <c r="O65" i="1"/>
  <c r="N65" i="1"/>
  <c r="M65" i="1"/>
  <c r="L65" i="1"/>
  <c r="K65" i="1"/>
  <c r="J65" i="1"/>
  <c r="I65" i="1"/>
  <c r="H65" i="1"/>
  <c r="G65" i="1"/>
  <c r="X64" i="1"/>
  <c r="W64" i="1"/>
  <c r="V64" i="1"/>
  <c r="U64" i="1"/>
  <c r="T64" i="1"/>
  <c r="R64" i="1"/>
  <c r="Q64" i="1"/>
  <c r="P64" i="1"/>
  <c r="O64" i="1"/>
  <c r="N64" i="1"/>
  <c r="M64" i="1"/>
  <c r="L64" i="1"/>
  <c r="K64" i="1"/>
  <c r="J64" i="1"/>
  <c r="I64" i="1"/>
  <c r="H64" i="1"/>
  <c r="G64" i="1"/>
  <c r="AB63" i="1"/>
  <c r="AA63" i="1"/>
  <c r="Y63" i="1"/>
  <c r="AB62" i="1"/>
  <c r="AA62" i="1"/>
  <c r="Y62" i="1"/>
  <c r="Q61" i="1"/>
  <c r="O61" i="1"/>
  <c r="N61" i="1"/>
  <c r="M61" i="1"/>
  <c r="L61" i="1"/>
  <c r="K61" i="1"/>
  <c r="J61" i="1"/>
  <c r="I61" i="1"/>
  <c r="H61" i="1"/>
  <c r="G61" i="1"/>
  <c r="X60" i="1"/>
  <c r="W60" i="1"/>
  <c r="V60" i="1"/>
  <c r="U60" i="1"/>
  <c r="T60" i="1"/>
  <c r="R60" i="1"/>
  <c r="Q60" i="1"/>
  <c r="P60" i="1"/>
  <c r="O60" i="1"/>
  <c r="N60" i="1"/>
  <c r="M60" i="1"/>
  <c r="L60" i="1"/>
  <c r="K60" i="1"/>
  <c r="J60" i="1"/>
  <c r="I60" i="1"/>
  <c r="H60" i="1"/>
  <c r="G60" i="1"/>
  <c r="AB59" i="1"/>
  <c r="AA59" i="1"/>
  <c r="Y59" i="1"/>
  <c r="AB58" i="1"/>
  <c r="AA58" i="1"/>
  <c r="Y58" i="1"/>
  <c r="Q121" i="1"/>
  <c r="P121" i="1"/>
  <c r="O121" i="1"/>
  <c r="N121" i="1"/>
  <c r="M121" i="1"/>
  <c r="L121" i="1"/>
  <c r="K121" i="1"/>
  <c r="J121" i="1"/>
  <c r="I121" i="1"/>
  <c r="H121" i="1"/>
  <c r="G121" i="1"/>
  <c r="X120" i="1"/>
  <c r="W120" i="1"/>
  <c r="V120" i="1"/>
  <c r="U120" i="1"/>
  <c r="T120" i="1"/>
  <c r="S120" i="1"/>
  <c r="R120" i="1"/>
  <c r="Q120" i="1"/>
  <c r="P120" i="1"/>
  <c r="O120" i="1"/>
  <c r="N120" i="1"/>
  <c r="M120" i="1"/>
  <c r="L120" i="1"/>
  <c r="K120" i="1"/>
  <c r="J120" i="1"/>
  <c r="I120" i="1"/>
  <c r="H120" i="1"/>
  <c r="G120" i="1"/>
  <c r="AB119" i="1"/>
  <c r="AA119" i="1"/>
  <c r="Y119" i="1"/>
  <c r="AB118" i="1"/>
  <c r="AA118" i="1"/>
  <c r="Y118" i="1"/>
  <c r="Q117" i="1"/>
  <c r="P117" i="1"/>
  <c r="O117" i="1"/>
  <c r="N117" i="1"/>
  <c r="M117" i="1"/>
  <c r="L117" i="1"/>
  <c r="K117" i="1"/>
  <c r="J117" i="1"/>
  <c r="I117" i="1"/>
  <c r="H117" i="1"/>
  <c r="G117" i="1"/>
  <c r="X116" i="1"/>
  <c r="W116" i="1"/>
  <c r="V116" i="1"/>
  <c r="U116" i="1"/>
  <c r="T116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AB115" i="1"/>
  <c r="AA115" i="1"/>
  <c r="Y115" i="1"/>
  <c r="AB114" i="1"/>
  <c r="AA114" i="1"/>
  <c r="Y114" i="1"/>
  <c r="Q113" i="1"/>
  <c r="P113" i="1"/>
  <c r="O113" i="1"/>
  <c r="N113" i="1"/>
  <c r="M113" i="1"/>
  <c r="L113" i="1"/>
  <c r="K113" i="1"/>
  <c r="J113" i="1"/>
  <c r="I113" i="1"/>
  <c r="H113" i="1"/>
  <c r="G113" i="1"/>
  <c r="X112" i="1"/>
  <c r="W112" i="1"/>
  <c r="V112" i="1"/>
  <c r="U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AB111" i="1"/>
  <c r="AA111" i="1"/>
  <c r="Y111" i="1"/>
  <c r="AB110" i="1"/>
  <c r="AA110" i="1"/>
  <c r="Y110" i="1"/>
  <c r="Q109" i="1"/>
  <c r="P109" i="1"/>
  <c r="O109" i="1"/>
  <c r="N109" i="1"/>
  <c r="M109" i="1"/>
  <c r="L109" i="1"/>
  <c r="K109" i="1"/>
  <c r="J109" i="1"/>
  <c r="I109" i="1"/>
  <c r="H109" i="1"/>
  <c r="G109" i="1"/>
  <c r="X108" i="1"/>
  <c r="W108" i="1"/>
  <c r="V108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AB107" i="1"/>
  <c r="AA107" i="1"/>
  <c r="Y107" i="1"/>
  <c r="AB106" i="1"/>
  <c r="AA106" i="1"/>
  <c r="Y106" i="1"/>
  <c r="Y25" i="1"/>
  <c r="Q25" i="1"/>
  <c r="P25" i="1"/>
  <c r="O25" i="1"/>
  <c r="N25" i="1"/>
  <c r="M25" i="1"/>
  <c r="L25" i="1"/>
  <c r="K25" i="1"/>
  <c r="J25" i="1"/>
  <c r="I25" i="1"/>
  <c r="H25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AB23" i="1"/>
  <c r="AA23" i="1"/>
  <c r="G23" i="1"/>
  <c r="AB22" i="1"/>
  <c r="AA22" i="1"/>
  <c r="Y21" i="1"/>
  <c r="Q21" i="1"/>
  <c r="P21" i="1"/>
  <c r="O21" i="1"/>
  <c r="N21" i="1"/>
  <c r="M21" i="1"/>
  <c r="L21" i="1"/>
  <c r="K21" i="1"/>
  <c r="J21" i="1"/>
  <c r="I21" i="1"/>
  <c r="H21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AB19" i="1"/>
  <c r="AA19" i="1"/>
  <c r="G19" i="1"/>
  <c r="AB18" i="1"/>
  <c r="AA18" i="1"/>
  <c r="G18" i="1"/>
  <c r="Y17" i="1"/>
  <c r="Q17" i="1"/>
  <c r="P17" i="1"/>
  <c r="O17" i="1"/>
  <c r="N17" i="1"/>
  <c r="M17" i="1"/>
  <c r="L17" i="1"/>
  <c r="K17" i="1"/>
  <c r="J17" i="1"/>
  <c r="I17" i="1"/>
  <c r="H17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AB15" i="1"/>
  <c r="AA15" i="1"/>
  <c r="G15" i="1"/>
  <c r="AB14" i="1"/>
  <c r="AA14" i="1"/>
  <c r="G14" i="1"/>
  <c r="Y13" i="1"/>
  <c r="Q13" i="1"/>
  <c r="P13" i="1"/>
  <c r="O13" i="1"/>
  <c r="N13" i="1"/>
  <c r="M13" i="1"/>
  <c r="L13" i="1"/>
  <c r="K13" i="1"/>
  <c r="J13" i="1"/>
  <c r="I13" i="1"/>
  <c r="H13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AB11" i="1"/>
  <c r="AA11" i="1"/>
  <c r="G11" i="1"/>
  <c r="AB10" i="1"/>
  <c r="AA10" i="1"/>
  <c r="G10" i="1"/>
  <c r="Y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AB55" i="1"/>
  <c r="AA55" i="1"/>
  <c r="AB54" i="1"/>
  <c r="AA54" i="1"/>
  <c r="Y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AB51" i="1"/>
  <c r="AA51" i="1"/>
  <c r="AB50" i="1"/>
  <c r="AA50" i="1"/>
  <c r="Y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AB43" i="1"/>
  <c r="AA43" i="1"/>
  <c r="AB42" i="1"/>
  <c r="AA42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AB39" i="1"/>
  <c r="AA39" i="1"/>
  <c r="AB38" i="1"/>
  <c r="AA38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AB35" i="1"/>
  <c r="AA35" i="1"/>
  <c r="AB34" i="1"/>
  <c r="AA34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AB27" i="1"/>
  <c r="AA27" i="1"/>
  <c r="AB26" i="1"/>
  <c r="AA26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AB7" i="1"/>
  <c r="Z7" i="1"/>
  <c r="AB6" i="1"/>
  <c r="Z6" i="1"/>
  <c r="Y49" i="1"/>
  <c r="X49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AB47" i="1"/>
  <c r="Z47" i="1"/>
  <c r="AB46" i="1"/>
  <c r="Z46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AB31" i="1"/>
  <c r="Z31" i="1"/>
  <c r="AB30" i="1"/>
  <c r="Z30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Y4" i="1"/>
  <c r="T4" i="1"/>
  <c r="Q4" i="1"/>
  <c r="L4" i="1"/>
  <c r="I84" i="2" l="1"/>
  <c r="I80" i="2"/>
  <c r="U80" i="2"/>
  <c r="I85" i="2"/>
  <c r="S81" i="2"/>
  <c r="S93" i="2"/>
  <c r="S105" i="2"/>
  <c r="S86" i="2"/>
  <c r="S96" i="2"/>
  <c r="S100" i="2"/>
  <c r="S109" i="2"/>
  <c r="I78" i="2"/>
  <c r="I103" i="2"/>
  <c r="S101" i="2"/>
  <c r="S87" i="2"/>
  <c r="S80" i="2"/>
  <c r="S92" i="2"/>
  <c r="S107" i="2"/>
  <c r="S104" i="2"/>
  <c r="I94" i="2"/>
  <c r="I83" i="2"/>
  <c r="I93" i="2"/>
  <c r="I106" i="2"/>
  <c r="I109" i="2"/>
  <c r="I96" i="2"/>
  <c r="I86" i="2"/>
  <c r="I108" i="2"/>
  <c r="I87" i="2"/>
  <c r="I99" i="2"/>
  <c r="I105" i="2"/>
  <c r="I90" i="2"/>
  <c r="I79" i="2"/>
  <c r="I91" i="2"/>
  <c r="I102" i="2"/>
  <c r="I107" i="2"/>
  <c r="D79" i="2"/>
  <c r="D78" i="2"/>
  <c r="G93" i="2"/>
  <c r="G81" i="2"/>
  <c r="O92" i="2"/>
  <c r="O106" i="2"/>
  <c r="O79" i="2"/>
  <c r="O87" i="2"/>
  <c r="O91" i="2"/>
  <c r="O100" i="2"/>
  <c r="O108" i="2"/>
  <c r="O101" i="2"/>
  <c r="O109" i="2"/>
  <c r="O82" i="2"/>
  <c r="O90" i="2"/>
  <c r="O86" i="2"/>
  <c r="O80" i="2"/>
  <c r="O88" i="2"/>
  <c r="O96" i="2"/>
  <c r="O99" i="2"/>
  <c r="O81" i="2"/>
  <c r="O85" i="2"/>
  <c r="O89" i="2"/>
  <c r="O93" i="2"/>
  <c r="O97" i="2"/>
  <c r="O104" i="2"/>
  <c r="O110" i="2"/>
  <c r="O103" i="2"/>
  <c r="O107" i="2"/>
  <c r="I34" i="2"/>
  <c r="L78" i="2" s="1"/>
  <c r="O102" i="2"/>
  <c r="O84" i="2"/>
  <c r="O83" i="2"/>
  <c r="O95" i="2"/>
  <c r="O105" i="2"/>
  <c r="G97" i="2"/>
  <c r="O94" i="2"/>
  <c r="G79" i="2"/>
  <c r="G87" i="2"/>
  <c r="G95" i="2"/>
  <c r="G109" i="2"/>
  <c r="G80" i="2"/>
  <c r="G84" i="2"/>
  <c r="G88" i="2"/>
  <c r="G92" i="2"/>
  <c r="G96" i="2"/>
  <c r="G103" i="2"/>
  <c r="O98" i="2"/>
  <c r="G102" i="2"/>
  <c r="G106" i="2"/>
  <c r="W94" i="2"/>
  <c r="W78" i="2"/>
  <c r="W92" i="2"/>
  <c r="W110" i="2"/>
  <c r="W85" i="2"/>
  <c r="W93" i="2"/>
  <c r="W104" i="2"/>
  <c r="W103" i="2"/>
  <c r="U81" i="2"/>
  <c r="U96" i="2"/>
  <c r="U88" i="2"/>
  <c r="W86" i="2"/>
  <c r="W80" i="2"/>
  <c r="W96" i="2"/>
  <c r="W79" i="2"/>
  <c r="W87" i="2"/>
  <c r="W95" i="2"/>
  <c r="W108" i="2"/>
  <c r="U97" i="2"/>
  <c r="U102" i="2"/>
  <c r="U83" i="2"/>
  <c r="U79" i="2"/>
  <c r="U85" i="2"/>
  <c r="U98" i="2"/>
  <c r="U82" i="2"/>
  <c r="U90" i="2"/>
  <c r="U101" i="2"/>
  <c r="U104" i="2"/>
  <c r="U110" i="2"/>
  <c r="U99" i="2"/>
  <c r="U95" i="2"/>
  <c r="U91" i="2"/>
  <c r="U89" i="2"/>
  <c r="U103" i="2"/>
  <c r="U84" i="2"/>
  <c r="U92" i="2"/>
  <c r="U105" i="2"/>
  <c r="U106" i="2"/>
  <c r="F136" i="2"/>
  <c r="U87" i="2"/>
  <c r="F140" i="2"/>
  <c r="F138" i="2"/>
  <c r="F132" i="2"/>
  <c r="F135" i="2"/>
  <c r="F143" i="2"/>
  <c r="F115" i="2"/>
  <c r="F119" i="2"/>
  <c r="U107" i="2"/>
  <c r="I92" i="2"/>
  <c r="I88" i="2"/>
  <c r="U93" i="2"/>
  <c r="U78" i="2"/>
  <c r="U86" i="2"/>
  <c r="U94" i="2"/>
  <c r="U100" i="2"/>
  <c r="I82" i="2"/>
  <c r="I98" i="2"/>
  <c r="I81" i="2"/>
  <c r="I89" i="2"/>
  <c r="I97" i="2"/>
  <c r="I101" i="2"/>
  <c r="S97" i="2"/>
  <c r="S79" i="2"/>
  <c r="S95" i="2"/>
  <c r="S82" i="2"/>
  <c r="S90" i="2"/>
  <c r="S99" i="2"/>
  <c r="S98" i="2"/>
  <c r="E109" i="2"/>
  <c r="E107" i="2"/>
  <c r="E105" i="2"/>
  <c r="E103" i="2"/>
  <c r="E101" i="2"/>
  <c r="E99" i="2"/>
  <c r="E108" i="2"/>
  <c r="E104" i="2"/>
  <c r="E100" i="2"/>
  <c r="E97" i="2"/>
  <c r="E95" i="2"/>
  <c r="E93" i="2"/>
  <c r="E91" i="2"/>
  <c r="E89" i="2"/>
  <c r="E87" i="2"/>
  <c r="E85" i="2"/>
  <c r="E83" i="2"/>
  <c r="E81" i="2"/>
  <c r="E79" i="2"/>
  <c r="E110" i="2"/>
  <c r="E102" i="2"/>
  <c r="E96" i="2"/>
  <c r="E92" i="2"/>
  <c r="E88" i="2"/>
  <c r="E84" i="2"/>
  <c r="E80" i="2"/>
  <c r="E86" i="2"/>
  <c r="E94" i="2"/>
  <c r="E90" i="2"/>
  <c r="E98" i="2"/>
  <c r="E82" i="2"/>
  <c r="E106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V109" i="2"/>
  <c r="V108" i="2"/>
  <c r="V106" i="2"/>
  <c r="V104" i="2"/>
  <c r="V102" i="2"/>
  <c r="V100" i="2"/>
  <c r="V98" i="2"/>
  <c r="V105" i="2"/>
  <c r="V101" i="2"/>
  <c r="V96" i="2"/>
  <c r="V94" i="2"/>
  <c r="V92" i="2"/>
  <c r="V90" i="2"/>
  <c r="V88" i="2"/>
  <c r="V86" i="2"/>
  <c r="V84" i="2"/>
  <c r="V82" i="2"/>
  <c r="V80" i="2"/>
  <c r="V78" i="2"/>
  <c r="V103" i="2"/>
  <c r="V97" i="2"/>
  <c r="V93" i="2"/>
  <c r="V89" i="2"/>
  <c r="V85" i="2"/>
  <c r="V81" i="2"/>
  <c r="V107" i="2"/>
  <c r="V99" i="2"/>
  <c r="V91" i="2"/>
  <c r="V83" i="2"/>
  <c r="V110" i="2"/>
  <c r="V95" i="2"/>
  <c r="V87" i="2"/>
  <c r="V79" i="2"/>
  <c r="P110" i="2"/>
  <c r="H108" i="2"/>
  <c r="P107" i="2"/>
  <c r="H106" i="2"/>
  <c r="P105" i="2"/>
  <c r="H104" i="2"/>
  <c r="P103" i="2"/>
  <c r="H102" i="2"/>
  <c r="P101" i="2"/>
  <c r="H100" i="2"/>
  <c r="P99" i="2"/>
  <c r="H110" i="2"/>
  <c r="P108" i="2"/>
  <c r="H107" i="2"/>
  <c r="P104" i="2"/>
  <c r="H103" i="2"/>
  <c r="P100" i="2"/>
  <c r="H98" i="2"/>
  <c r="P97" i="2"/>
  <c r="H96" i="2"/>
  <c r="P95" i="2"/>
  <c r="H94" i="2"/>
  <c r="P93" i="2"/>
  <c r="H92" i="2"/>
  <c r="P91" i="2"/>
  <c r="H90" i="2"/>
  <c r="P89" i="2"/>
  <c r="H88" i="2"/>
  <c r="P87" i="2"/>
  <c r="H86" i="2"/>
  <c r="P85" i="2"/>
  <c r="H84" i="2"/>
  <c r="P83" i="2"/>
  <c r="H82" i="2"/>
  <c r="P81" i="2"/>
  <c r="H80" i="2"/>
  <c r="P79" i="2"/>
  <c r="H78" i="2"/>
  <c r="P109" i="2"/>
  <c r="H109" i="2"/>
  <c r="P106" i="2"/>
  <c r="H101" i="2"/>
  <c r="P96" i="2"/>
  <c r="H95" i="2"/>
  <c r="P92" i="2"/>
  <c r="H91" i="2"/>
  <c r="P88" i="2"/>
  <c r="H87" i="2"/>
  <c r="P84" i="2"/>
  <c r="H83" i="2"/>
  <c r="P80" i="2"/>
  <c r="H79" i="2"/>
  <c r="P102" i="2"/>
  <c r="H97" i="2"/>
  <c r="P94" i="2"/>
  <c r="H89" i="2"/>
  <c r="P86" i="2"/>
  <c r="H81" i="2"/>
  <c r="H105" i="2"/>
  <c r="H99" i="2"/>
  <c r="H93" i="2"/>
  <c r="P90" i="2"/>
  <c r="H85" i="2"/>
  <c r="P82" i="2"/>
  <c r="P98" i="2"/>
  <c r="M110" i="2"/>
  <c r="L110" i="2"/>
  <c r="M109" i="2"/>
  <c r="D108" i="2"/>
  <c r="L107" i="2"/>
  <c r="D106" i="2"/>
  <c r="L105" i="2"/>
  <c r="D104" i="2"/>
  <c r="L103" i="2"/>
  <c r="D102" i="2"/>
  <c r="L101" i="2"/>
  <c r="D100" i="2"/>
  <c r="L99" i="2"/>
  <c r="L109" i="2"/>
  <c r="M108" i="2"/>
  <c r="M106" i="2"/>
  <c r="M104" i="2"/>
  <c r="M102" i="2"/>
  <c r="M100" i="2"/>
  <c r="D109" i="2"/>
  <c r="L106" i="2"/>
  <c r="D105" i="2"/>
  <c r="L102" i="2"/>
  <c r="D101" i="2"/>
  <c r="M99" i="2"/>
  <c r="D98" i="2"/>
  <c r="L97" i="2"/>
  <c r="D96" i="2"/>
  <c r="L95" i="2"/>
  <c r="D94" i="2"/>
  <c r="L93" i="2"/>
  <c r="D92" i="2"/>
  <c r="L91" i="2"/>
  <c r="D90" i="2"/>
  <c r="L89" i="2"/>
  <c r="D88" i="2"/>
  <c r="L87" i="2"/>
  <c r="D86" i="2"/>
  <c r="L85" i="2"/>
  <c r="D84" i="2"/>
  <c r="L83" i="2"/>
  <c r="D82" i="2"/>
  <c r="L81" i="2"/>
  <c r="D80" i="2"/>
  <c r="L79" i="2"/>
  <c r="M105" i="2"/>
  <c r="M101" i="2"/>
  <c r="D99" i="2"/>
  <c r="M98" i="2"/>
  <c r="M96" i="2"/>
  <c r="M94" i="2"/>
  <c r="M92" i="2"/>
  <c r="M90" i="2"/>
  <c r="M88" i="2"/>
  <c r="M86" i="2"/>
  <c r="M84" i="2"/>
  <c r="M82" i="2"/>
  <c r="M80" i="2"/>
  <c r="L108" i="2"/>
  <c r="D103" i="2"/>
  <c r="L100" i="2"/>
  <c r="L98" i="2"/>
  <c r="D97" i="2"/>
  <c r="L94" i="2"/>
  <c r="D93" i="2"/>
  <c r="L90" i="2"/>
  <c r="D89" i="2"/>
  <c r="L86" i="2"/>
  <c r="D85" i="2"/>
  <c r="L82" i="2"/>
  <c r="D81" i="2"/>
  <c r="L104" i="2"/>
  <c r="L96" i="2"/>
  <c r="D91" i="2"/>
  <c r="L88" i="2"/>
  <c r="D83" i="2"/>
  <c r="L80" i="2"/>
  <c r="M107" i="2"/>
  <c r="M97" i="2"/>
  <c r="M93" i="2"/>
  <c r="M89" i="2"/>
  <c r="M85" i="2"/>
  <c r="M81" i="2"/>
  <c r="D107" i="2"/>
  <c r="D95" i="2"/>
  <c r="L92" i="2"/>
  <c r="D87" i="2"/>
  <c r="L84" i="2"/>
  <c r="M91" i="2"/>
  <c r="M83" i="2"/>
  <c r="D110" i="2"/>
  <c r="M79" i="2"/>
  <c r="M87" i="2"/>
  <c r="M103" i="2"/>
  <c r="M95" i="2"/>
  <c r="M149" i="2"/>
  <c r="M148" i="2"/>
  <c r="M147" i="2"/>
  <c r="M146" i="2"/>
  <c r="M145" i="2"/>
  <c r="M144" i="2"/>
  <c r="M143" i="2"/>
  <c r="M142" i="2"/>
  <c r="M141" i="2"/>
  <c r="M140" i="2"/>
  <c r="M139" i="2"/>
  <c r="M138" i="2"/>
  <c r="M137" i="2"/>
  <c r="M136" i="2"/>
  <c r="M135" i="2"/>
  <c r="M134" i="2"/>
  <c r="M133" i="2"/>
  <c r="M129" i="2"/>
  <c r="M125" i="2"/>
  <c r="M132" i="2"/>
  <c r="M128" i="2"/>
  <c r="M124" i="2"/>
  <c r="M127" i="2"/>
  <c r="M122" i="2"/>
  <c r="M120" i="2"/>
  <c r="M118" i="2"/>
  <c r="M116" i="2"/>
  <c r="M126" i="2"/>
  <c r="M123" i="2"/>
  <c r="M119" i="2"/>
  <c r="M115" i="2"/>
  <c r="M130" i="2"/>
  <c r="M117" i="2"/>
  <c r="M131" i="2"/>
  <c r="M121" i="2"/>
  <c r="S37" i="2"/>
  <c r="S40" i="2" s="1"/>
  <c r="S43" i="2" s="1"/>
  <c r="S46" i="2" s="1"/>
  <c r="S49" i="2" s="1"/>
  <c r="T109" i="2"/>
  <c r="T110" i="2"/>
  <c r="T107" i="2"/>
  <c r="T105" i="2"/>
  <c r="T103" i="2"/>
  <c r="T101" i="2"/>
  <c r="T99" i="2"/>
  <c r="T106" i="2"/>
  <c r="T102" i="2"/>
  <c r="T98" i="2"/>
  <c r="T97" i="2"/>
  <c r="T95" i="2"/>
  <c r="T93" i="2"/>
  <c r="T91" i="2"/>
  <c r="T89" i="2"/>
  <c r="T87" i="2"/>
  <c r="T85" i="2"/>
  <c r="T83" i="2"/>
  <c r="T81" i="2"/>
  <c r="T79" i="2"/>
  <c r="T104" i="2"/>
  <c r="T94" i="2"/>
  <c r="T90" i="2"/>
  <c r="T86" i="2"/>
  <c r="T82" i="2"/>
  <c r="T78" i="2"/>
  <c r="T108" i="2"/>
  <c r="T96" i="2"/>
  <c r="T80" i="2"/>
  <c r="T100" i="2"/>
  <c r="T92" i="2"/>
  <c r="T88" i="2"/>
  <c r="T84" i="2"/>
  <c r="P34" i="2"/>
  <c r="F110" i="2"/>
  <c r="N109" i="2"/>
  <c r="F109" i="2"/>
  <c r="N108" i="2"/>
  <c r="F107" i="2"/>
  <c r="N106" i="2"/>
  <c r="F105" i="2"/>
  <c r="N104" i="2"/>
  <c r="F103" i="2"/>
  <c r="N102" i="2"/>
  <c r="F101" i="2"/>
  <c r="N100" i="2"/>
  <c r="F99" i="2"/>
  <c r="N98" i="2"/>
  <c r="F108" i="2"/>
  <c r="N105" i="2"/>
  <c r="F104" i="2"/>
  <c r="N101" i="2"/>
  <c r="F100" i="2"/>
  <c r="F97" i="2"/>
  <c r="N96" i="2"/>
  <c r="F95" i="2"/>
  <c r="N94" i="2"/>
  <c r="F93" i="2"/>
  <c r="N92" i="2"/>
  <c r="F91" i="2"/>
  <c r="N90" i="2"/>
  <c r="F89" i="2"/>
  <c r="N88" i="2"/>
  <c r="F87" i="2"/>
  <c r="N86" i="2"/>
  <c r="F85" i="2"/>
  <c r="N84" i="2"/>
  <c r="F83" i="2"/>
  <c r="N82" i="2"/>
  <c r="F81" i="2"/>
  <c r="N80" i="2"/>
  <c r="F79" i="2"/>
  <c r="N110" i="2"/>
  <c r="N107" i="2"/>
  <c r="F102" i="2"/>
  <c r="N97" i="2"/>
  <c r="F96" i="2"/>
  <c r="N93" i="2"/>
  <c r="F92" i="2"/>
  <c r="N89" i="2"/>
  <c r="F88" i="2"/>
  <c r="N85" i="2"/>
  <c r="F84" i="2"/>
  <c r="N81" i="2"/>
  <c r="F80" i="2"/>
  <c r="F106" i="2"/>
  <c r="F98" i="2"/>
  <c r="N95" i="2"/>
  <c r="F90" i="2"/>
  <c r="N87" i="2"/>
  <c r="F82" i="2"/>
  <c r="N79" i="2"/>
  <c r="N99" i="2"/>
  <c r="N103" i="2"/>
  <c r="F94" i="2"/>
  <c r="N91" i="2"/>
  <c r="F86" i="2"/>
  <c r="N83" i="2"/>
  <c r="F78" i="2"/>
  <c r="Y109" i="1"/>
  <c r="H96" i="1"/>
  <c r="P97" i="1"/>
  <c r="H105" i="1"/>
  <c r="P104" i="1"/>
  <c r="J92" i="1"/>
  <c r="AB108" i="1"/>
  <c r="Y113" i="1"/>
  <c r="I93" i="1"/>
  <c r="G100" i="1"/>
  <c r="K101" i="1"/>
  <c r="O101" i="1"/>
  <c r="AB101" i="1"/>
  <c r="G104" i="1"/>
  <c r="AA25" i="1"/>
  <c r="Z8" i="1"/>
  <c r="J93" i="1"/>
  <c r="AA92" i="1"/>
  <c r="I96" i="1"/>
  <c r="AB73" i="1"/>
  <c r="Y65" i="1"/>
  <c r="Z49" i="1"/>
  <c r="AA21" i="1"/>
  <c r="Y77" i="1"/>
  <c r="AA65" i="1"/>
  <c r="AB57" i="1"/>
  <c r="AA17" i="1"/>
  <c r="Y61" i="1"/>
  <c r="AB84" i="1"/>
  <c r="L101" i="1"/>
  <c r="P101" i="1"/>
  <c r="AA80" i="1"/>
  <c r="AA13" i="1"/>
  <c r="AB72" i="1"/>
  <c r="AA76" i="1"/>
  <c r="Y80" i="1"/>
  <c r="AB89" i="1"/>
  <c r="L93" i="1"/>
  <c r="G92" i="1"/>
  <c r="K92" i="1"/>
  <c r="O92" i="1"/>
  <c r="N101" i="1"/>
  <c r="AA16" i="1"/>
  <c r="AA61" i="1"/>
  <c r="G101" i="1"/>
  <c r="Z33" i="1"/>
  <c r="AB41" i="1"/>
  <c r="AB45" i="1"/>
  <c r="Y120" i="1"/>
  <c r="AA81" i="1"/>
  <c r="N93" i="1"/>
  <c r="P96" i="1"/>
  <c r="M104" i="1"/>
  <c r="AA24" i="1"/>
  <c r="AB33" i="1"/>
  <c r="AB44" i="1"/>
  <c r="AA56" i="1"/>
  <c r="K105" i="1"/>
  <c r="AB104" i="1"/>
  <c r="Z32" i="1"/>
  <c r="AB40" i="1"/>
  <c r="AA53" i="1"/>
  <c r="AA52" i="1"/>
  <c r="AA109" i="1"/>
  <c r="AA108" i="1"/>
  <c r="AB116" i="1"/>
  <c r="AB117" i="1"/>
  <c r="Y69" i="1"/>
  <c r="AB32" i="1"/>
  <c r="Z48" i="1"/>
  <c r="AB36" i="1"/>
  <c r="AA45" i="1"/>
  <c r="AB109" i="1"/>
  <c r="Y121" i="1"/>
  <c r="AB61" i="1"/>
  <c r="Y89" i="1"/>
  <c r="Y88" i="1"/>
  <c r="G93" i="1"/>
  <c r="K93" i="1"/>
  <c r="O93" i="1"/>
  <c r="AB93" i="1"/>
  <c r="AB92" i="1"/>
  <c r="G96" i="1"/>
  <c r="K96" i="1"/>
  <c r="O97" i="1"/>
  <c r="AB96" i="1"/>
  <c r="N100" i="1"/>
  <c r="G16" i="1"/>
  <c r="G17" i="1"/>
  <c r="G25" i="1"/>
  <c r="AB113" i="1"/>
  <c r="AB112" i="1"/>
  <c r="AA40" i="1"/>
  <c r="AA41" i="1"/>
  <c r="Y112" i="1"/>
  <c r="Y68" i="1"/>
  <c r="L96" i="1"/>
  <c r="L97" i="1"/>
  <c r="AB97" i="1"/>
  <c r="AA57" i="1"/>
  <c r="AB17" i="1"/>
  <c r="AB25" i="1"/>
  <c r="AB120" i="1"/>
  <c r="AB121" i="1"/>
  <c r="AB65" i="1"/>
  <c r="L92" i="1"/>
  <c r="P93" i="1"/>
  <c r="J101" i="1"/>
  <c r="AA101" i="1"/>
  <c r="O100" i="1"/>
  <c r="G105" i="1"/>
  <c r="K104" i="1"/>
  <c r="O104" i="1"/>
  <c r="AB105" i="1"/>
  <c r="H104" i="1"/>
  <c r="AB76" i="1"/>
  <c r="AB77" i="1"/>
  <c r="AA85" i="1"/>
  <c r="N92" i="1"/>
  <c r="AA93" i="1"/>
  <c r="I92" i="1"/>
  <c r="I97" i="1"/>
  <c r="M97" i="1"/>
  <c r="AB100" i="1"/>
  <c r="AB28" i="1"/>
  <c r="AB29" i="1"/>
  <c r="G13" i="1"/>
  <c r="G12" i="1"/>
  <c r="G21" i="1"/>
  <c r="G20" i="1"/>
  <c r="AB60" i="1"/>
  <c r="AB64" i="1"/>
  <c r="AB69" i="1"/>
  <c r="AB68" i="1"/>
  <c r="Y72" i="1"/>
  <c r="Y73" i="1"/>
  <c r="AB81" i="1"/>
  <c r="AB80" i="1"/>
  <c r="Y84" i="1"/>
  <c r="Y85" i="1"/>
  <c r="AA88" i="1"/>
  <c r="AA89" i="1"/>
  <c r="I101" i="1"/>
  <c r="I100" i="1"/>
  <c r="M101" i="1"/>
  <c r="M100" i="1"/>
  <c r="Y101" i="1"/>
  <c r="Y100" i="1"/>
  <c r="H100" i="1"/>
  <c r="H101" i="1"/>
  <c r="Z9" i="1"/>
  <c r="AA37" i="1"/>
  <c r="AA36" i="1"/>
  <c r="AB52" i="1"/>
  <c r="AB53" i="1"/>
  <c r="AA12" i="1"/>
  <c r="AA20" i="1"/>
  <c r="AA84" i="1"/>
  <c r="AB49" i="1"/>
  <c r="AB48" i="1"/>
  <c r="AB9" i="1"/>
  <c r="AB8" i="1"/>
  <c r="AB56" i="1"/>
  <c r="Y116" i="1"/>
  <c r="J105" i="1"/>
  <c r="J104" i="1"/>
  <c r="N104" i="1"/>
  <c r="N105" i="1"/>
  <c r="AA104" i="1"/>
  <c r="AA105" i="1"/>
  <c r="AA29" i="1"/>
  <c r="AA28" i="1"/>
  <c r="Y76" i="1"/>
  <c r="M93" i="1"/>
  <c r="M92" i="1"/>
  <c r="Y93" i="1"/>
  <c r="Y92" i="1"/>
  <c r="J97" i="1"/>
  <c r="J96" i="1"/>
  <c r="N97" i="1"/>
  <c r="N96" i="1"/>
  <c r="AA97" i="1"/>
  <c r="AA96" i="1"/>
  <c r="Y97" i="1"/>
  <c r="Y96" i="1"/>
  <c r="Y117" i="1"/>
  <c r="AA121" i="1"/>
  <c r="AA73" i="1"/>
  <c r="AA77" i="1"/>
  <c r="AB85" i="1"/>
  <c r="AB88" i="1"/>
  <c r="G97" i="1"/>
  <c r="AB37" i="1"/>
  <c r="AB13" i="1"/>
  <c r="AB21" i="1"/>
  <c r="AA113" i="1"/>
  <c r="AA112" i="1"/>
  <c r="AA117" i="1"/>
  <c r="Y60" i="1"/>
  <c r="Y64" i="1"/>
  <c r="Y81" i="1"/>
  <c r="H97" i="1"/>
  <c r="L104" i="1"/>
  <c r="L105" i="1"/>
  <c r="P105" i="1"/>
  <c r="AA44" i="1"/>
  <c r="G24" i="1"/>
  <c r="AA60" i="1"/>
  <c r="AA64" i="1"/>
  <c r="AA69" i="1"/>
  <c r="AA68" i="1"/>
  <c r="H92" i="1"/>
  <c r="H93" i="1"/>
  <c r="P92" i="1"/>
  <c r="O96" i="1"/>
  <c r="K97" i="1"/>
  <c r="L100" i="1"/>
  <c r="P100" i="1"/>
  <c r="K100" i="1"/>
  <c r="I105" i="1"/>
  <c r="I104" i="1"/>
  <c r="M105" i="1"/>
  <c r="Y105" i="1"/>
  <c r="Y104" i="1"/>
  <c r="AB12" i="1"/>
  <c r="AB16" i="1"/>
  <c r="AB20" i="1"/>
  <c r="AB24" i="1"/>
  <c r="Y108" i="1"/>
  <c r="AA116" i="1"/>
  <c r="AA120" i="1"/>
  <c r="M96" i="1"/>
  <c r="J100" i="1"/>
  <c r="AA100" i="1"/>
  <c r="O105" i="1"/>
  <c r="AA72" i="1"/>
</calcChain>
</file>

<file path=xl/sharedStrings.xml><?xml version="1.0" encoding="utf-8"?>
<sst xmlns="http://schemas.openxmlformats.org/spreadsheetml/2006/main" count="326" uniqueCount="56">
  <si>
    <t>pH</t>
  </si>
  <si>
    <t>Wavelength (nm)</t>
  </si>
  <si>
    <t>Intensity (umol.m-2.s-1)</t>
  </si>
  <si>
    <t>Duty cycle (%)</t>
  </si>
  <si>
    <t>Frequency (Hz)</t>
  </si>
  <si>
    <t>White</t>
  </si>
  <si>
    <t xml:space="preserve">Constant </t>
  </si>
  <si>
    <t>Av</t>
  </si>
  <si>
    <t xml:space="preserve">Std error </t>
  </si>
  <si>
    <t>Red</t>
  </si>
  <si>
    <t xml:space="preserve">Blue </t>
  </si>
  <si>
    <t xml:space="preserve">White </t>
  </si>
  <si>
    <t>Photoperiod</t>
  </si>
  <si>
    <t xml:space="preserve">Time (h) </t>
  </si>
  <si>
    <t>Biomass concentration (cells/bead)</t>
  </si>
  <si>
    <t>NH4-N (mg/L)</t>
  </si>
  <si>
    <t>PO4-P (dissolved) (mg/L)</t>
  </si>
  <si>
    <t>PO4-P (total) (mg/L)</t>
  </si>
  <si>
    <t>Control (no light)</t>
  </si>
  <si>
    <t xml:space="preserve">Constant light </t>
  </si>
  <si>
    <t xml:space="preserve">Duty cycles </t>
  </si>
  <si>
    <t xml:space="preserve">ALGAL BEADS </t>
  </si>
  <si>
    <t xml:space="preserve">BLANK BEADS </t>
  </si>
  <si>
    <t>SUSPENDED ALGAE - 10^6 cells.mL-1</t>
  </si>
  <si>
    <t xml:space="preserve">BEAKER </t>
  </si>
  <si>
    <t>Wavelength:</t>
  </si>
  <si>
    <t xml:space="preserve">White light </t>
  </si>
  <si>
    <t xml:space="preserve">Red light </t>
  </si>
  <si>
    <t xml:space="preserve">Blue light </t>
  </si>
  <si>
    <t xml:space="preserve">Intensity </t>
  </si>
  <si>
    <t>Depth (mm)</t>
  </si>
  <si>
    <t>I/Io</t>
  </si>
  <si>
    <t>a</t>
  </si>
  <si>
    <t xml:space="preserve">Algal beads: white </t>
  </si>
  <si>
    <t>Algal beads: red</t>
  </si>
  <si>
    <t>Algal beads: blue</t>
  </si>
  <si>
    <t xml:space="preserve">L (mm) </t>
  </si>
  <si>
    <t xml:space="preserve">Algae beads </t>
  </si>
  <si>
    <t xml:space="preserve">Blank beads </t>
  </si>
  <si>
    <t xml:space="preserve">Suspended cells </t>
  </si>
  <si>
    <t>L for suspended</t>
  </si>
  <si>
    <t>L (mm)</t>
  </si>
  <si>
    <t>Blue</t>
  </si>
  <si>
    <t xml:space="preserve">WAVELENGTH (WHITE, RED, BLUE), INTENSITY (50, 200, 500, 1000 umol/m2/s) AND DUTY CYCLES (25, 50, 75, 100%) DATA </t>
  </si>
  <si>
    <t xml:space="preserve">TRANSMITTANCE AND ATTENUATION DATA </t>
  </si>
  <si>
    <t xml:space="preserve">ATTENUTATION </t>
  </si>
  <si>
    <t>TRANSMITTANCE</t>
  </si>
  <si>
    <t>1.5:1.5</t>
  </si>
  <si>
    <t>Hours (h)</t>
  </si>
  <si>
    <t>3:3</t>
  </si>
  <si>
    <t>6:6</t>
  </si>
  <si>
    <t>12:12</t>
  </si>
  <si>
    <t>dPO4-P (mg/L)</t>
  </si>
  <si>
    <t>tPO4-P (mg/L)</t>
  </si>
  <si>
    <t>Biomass (cells/bead)</t>
  </si>
  <si>
    <t>PHOTOPERIOD DATA FOR 200 umol/m2/s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</si>
</sst>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#,##0.000"/>
    <numFmt numFmtId="167" formatCode="#,##0.0000"/>
    <numFmt numFmtId="168" formatCode="0.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2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4">
    <xf numFmtId="0" fontId="0" fillId="0" borderId="0" xfId="0"/>
    <xf numFmtId="0" fontId="3" fillId="0" borderId="0" xfId="0" applyFont="1" applyFill="1" applyBorder="1"/>
    <xf numFmtId="0" fontId="4" fillId="0" borderId="0" xfId="0" applyFont="1" applyFill="1" applyBorder="1"/>
    <xf numFmtId="0" fontId="2" fillId="0" borderId="0" xfId="0" applyFont="1" applyFill="1"/>
    <xf numFmtId="0" fontId="2" fillId="0" borderId="0" xfId="0" applyFont="1" applyFill="1" applyBorder="1"/>
    <xf numFmtId="11" fontId="4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4" fontId="4" fillId="0" borderId="2" xfId="0" applyNumberFormat="1" applyFont="1" applyFill="1" applyBorder="1" applyAlignment="1">
      <alignment horizontal="center"/>
    </xf>
    <xf numFmtId="4" fontId="4" fillId="0" borderId="0" xfId="0" applyNumberFormat="1" applyFont="1" applyFill="1" applyBorder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2" fontId="4" fillId="0" borderId="0" xfId="0" applyNumberFormat="1" applyFont="1" applyFill="1" applyBorder="1" applyAlignment="1">
      <alignment horizontal="center"/>
    </xf>
    <xf numFmtId="11" fontId="4" fillId="0" borderId="2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4" fontId="4" fillId="0" borderId="5" xfId="0" applyNumberFormat="1" applyFont="1" applyFill="1" applyBorder="1" applyAlignment="1">
      <alignment horizontal="center"/>
    </xf>
    <xf numFmtId="165" fontId="4" fillId="0" borderId="5" xfId="0" applyNumberFormat="1" applyFont="1" applyFill="1" applyBorder="1" applyAlignment="1">
      <alignment horizontal="center"/>
    </xf>
    <xf numFmtId="11" fontId="4" fillId="0" borderId="5" xfId="0" applyNumberFormat="1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4" fontId="4" fillId="2" borderId="2" xfId="0" applyNumberFormat="1" applyFont="1" applyFill="1" applyBorder="1" applyAlignment="1">
      <alignment horizontal="center"/>
    </xf>
    <xf numFmtId="11" fontId="4" fillId="2" borderId="2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4" fontId="4" fillId="2" borderId="0" xfId="0" applyNumberFormat="1" applyFont="1" applyFill="1" applyBorder="1" applyAlignment="1">
      <alignment horizontal="center"/>
    </xf>
    <xf numFmtId="11" fontId="4" fillId="2" borderId="0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/>
    </xf>
    <xf numFmtId="4" fontId="4" fillId="2" borderId="5" xfId="0" applyNumberFormat="1" applyFont="1" applyFill="1" applyBorder="1" applyAlignment="1">
      <alignment horizontal="center"/>
    </xf>
    <xf numFmtId="11" fontId="4" fillId="2" borderId="5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" fontId="4" fillId="3" borderId="2" xfId="0" applyNumberFormat="1" applyFont="1" applyFill="1" applyBorder="1" applyAlignment="1">
      <alignment horizontal="center"/>
    </xf>
    <xf numFmtId="11" fontId="4" fillId="3" borderId="2" xfId="0" applyNumberFormat="1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 vertical="center"/>
    </xf>
    <xf numFmtId="4" fontId="4" fillId="3" borderId="0" xfId="0" applyNumberFormat="1" applyFont="1" applyFill="1" applyBorder="1" applyAlignment="1">
      <alignment horizontal="center"/>
    </xf>
    <xf numFmtId="11" fontId="4" fillId="3" borderId="0" xfId="0" applyNumberFormat="1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 vertical="center"/>
    </xf>
    <xf numFmtId="165" fontId="4" fillId="3" borderId="0" xfId="0" applyNumberFormat="1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4" fontId="4" fillId="3" borderId="5" xfId="0" applyNumberFormat="1" applyFont="1" applyFill="1" applyBorder="1" applyAlignment="1">
      <alignment horizontal="center"/>
    </xf>
    <xf numFmtId="165" fontId="4" fillId="3" borderId="5" xfId="0" applyNumberFormat="1" applyFont="1" applyFill="1" applyBorder="1" applyAlignment="1">
      <alignment horizontal="center"/>
    </xf>
    <xf numFmtId="11" fontId="4" fillId="3" borderId="5" xfId="0" applyNumberFormat="1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165" fontId="4" fillId="2" borderId="0" xfId="0" applyNumberFormat="1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4" fontId="4" fillId="4" borderId="2" xfId="0" applyNumberFormat="1" applyFont="1" applyFill="1" applyBorder="1" applyAlignment="1">
      <alignment horizontal="center"/>
    </xf>
    <xf numFmtId="11" fontId="4" fillId="4" borderId="2" xfId="0" applyNumberFormat="1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 vertical="center"/>
    </xf>
    <xf numFmtId="4" fontId="4" fillId="4" borderId="0" xfId="0" applyNumberFormat="1" applyFont="1" applyFill="1" applyBorder="1" applyAlignment="1">
      <alignment horizontal="center"/>
    </xf>
    <xf numFmtId="11" fontId="4" fillId="4" borderId="0" xfId="0" applyNumberFormat="1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 vertical="center"/>
    </xf>
    <xf numFmtId="165" fontId="4" fillId="4" borderId="0" xfId="0" applyNumberFormat="1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4" fontId="4" fillId="4" borderId="5" xfId="0" applyNumberFormat="1" applyFont="1" applyFill="1" applyBorder="1" applyAlignment="1">
      <alignment horizontal="center"/>
    </xf>
    <xf numFmtId="165" fontId="4" fillId="4" borderId="5" xfId="0" applyNumberFormat="1" applyFont="1" applyFill="1" applyBorder="1" applyAlignment="1">
      <alignment horizontal="center"/>
    </xf>
    <xf numFmtId="11" fontId="4" fillId="4" borderId="5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20" fontId="5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4" fontId="3" fillId="0" borderId="0" xfId="0" applyNumberFormat="1" applyFont="1" applyFill="1" applyBorder="1" applyAlignment="1">
      <alignment horizontal="center"/>
    </xf>
    <xf numFmtId="11" fontId="3" fillId="0" borderId="0" xfId="0" applyNumberFormat="1" applyFont="1" applyFill="1" applyBorder="1"/>
    <xf numFmtId="11" fontId="4" fillId="0" borderId="0" xfId="0" applyNumberFormat="1" applyFont="1" applyFill="1" applyBorder="1"/>
    <xf numFmtId="4" fontId="5" fillId="0" borderId="0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Fill="1" applyBorder="1"/>
    <xf numFmtId="4" fontId="5" fillId="0" borderId="10" xfId="0" applyNumberFormat="1" applyFont="1" applyFill="1" applyBorder="1" applyAlignment="1">
      <alignment horizontal="center"/>
    </xf>
    <xf numFmtId="4" fontId="5" fillId="0" borderId="11" xfId="0" applyNumberFormat="1" applyFont="1" applyFill="1" applyBorder="1" applyAlignment="1">
      <alignment horizontal="center"/>
    </xf>
    <xf numFmtId="4" fontId="5" fillId="0" borderId="12" xfId="0" applyNumberFormat="1" applyFont="1" applyFill="1" applyBorder="1" applyAlignment="1">
      <alignment horizontal="center"/>
    </xf>
    <xf numFmtId="20" fontId="5" fillId="0" borderId="13" xfId="0" applyNumberFormat="1" applyFont="1" applyFill="1" applyBorder="1" applyAlignment="1">
      <alignment horizontal="center"/>
    </xf>
    <xf numFmtId="20" fontId="5" fillId="0" borderId="14" xfId="0" applyNumberFormat="1" applyFont="1" applyFill="1" applyBorder="1" applyAlignment="1">
      <alignment horizontal="center"/>
    </xf>
    <xf numFmtId="0" fontId="5" fillId="0" borderId="1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4" fontId="4" fillId="0" borderId="13" xfId="0" applyNumberFormat="1" applyFont="1" applyFill="1" applyBorder="1" applyAlignment="1">
      <alignment horizontal="center"/>
    </xf>
    <xf numFmtId="4" fontId="4" fillId="0" borderId="14" xfId="0" applyNumberFormat="1" applyFont="1" applyFill="1" applyBorder="1" applyAlignment="1">
      <alignment horizontal="center"/>
    </xf>
    <xf numFmtId="4" fontId="4" fillId="3" borderId="13" xfId="0" applyNumberFormat="1" applyFont="1" applyFill="1" applyBorder="1" applyAlignment="1">
      <alignment horizontal="center"/>
    </xf>
    <xf numFmtId="4" fontId="4" fillId="3" borderId="14" xfId="0" applyNumberFormat="1" applyFont="1" applyFill="1" applyBorder="1" applyAlignment="1">
      <alignment horizontal="center"/>
    </xf>
    <xf numFmtId="4" fontId="4" fillId="4" borderId="13" xfId="0" applyNumberFormat="1" applyFont="1" applyFill="1" applyBorder="1" applyAlignment="1">
      <alignment horizontal="center"/>
    </xf>
    <xf numFmtId="4" fontId="4" fillId="4" borderId="14" xfId="0" applyNumberFormat="1" applyFont="1" applyFill="1" applyBorder="1" applyAlignment="1">
      <alignment horizontal="center"/>
    </xf>
    <xf numFmtId="165" fontId="4" fillId="0" borderId="13" xfId="0" applyNumberFormat="1" applyFont="1" applyFill="1" applyBorder="1" applyAlignment="1">
      <alignment horizontal="center"/>
    </xf>
    <xf numFmtId="4" fontId="4" fillId="0" borderId="15" xfId="0" applyNumberFormat="1" applyFont="1" applyFill="1" applyBorder="1" applyAlignment="1">
      <alignment horizontal="center"/>
    </xf>
    <xf numFmtId="4" fontId="4" fillId="0" borderId="16" xfId="0" applyNumberFormat="1" applyFont="1" applyFill="1" applyBorder="1" applyAlignment="1">
      <alignment horizontal="center"/>
    </xf>
    <xf numFmtId="4" fontId="4" fillId="0" borderId="17" xfId="0" applyNumberFormat="1" applyFont="1" applyFill="1" applyBorder="1" applyAlignment="1">
      <alignment horizontal="center"/>
    </xf>
    <xf numFmtId="165" fontId="4" fillId="3" borderId="13" xfId="0" applyNumberFormat="1" applyFont="1" applyFill="1" applyBorder="1" applyAlignment="1">
      <alignment horizontal="center"/>
    </xf>
    <xf numFmtId="11" fontId="4" fillId="0" borderId="13" xfId="0" applyNumberFormat="1" applyFont="1" applyFill="1" applyBorder="1" applyAlignment="1">
      <alignment horizontal="center"/>
    </xf>
    <xf numFmtId="11" fontId="4" fillId="0" borderId="14" xfId="0" applyNumberFormat="1" applyFont="1" applyFill="1" applyBorder="1" applyAlignment="1">
      <alignment horizontal="center"/>
    </xf>
    <xf numFmtId="11" fontId="4" fillId="3" borderId="13" xfId="0" applyNumberFormat="1" applyFont="1" applyFill="1" applyBorder="1" applyAlignment="1">
      <alignment horizontal="center"/>
    </xf>
    <xf numFmtId="11" fontId="4" fillId="3" borderId="14" xfId="0" applyNumberFormat="1" applyFont="1" applyFill="1" applyBorder="1" applyAlignment="1">
      <alignment horizontal="center"/>
    </xf>
    <xf numFmtId="11" fontId="4" fillId="4" borderId="13" xfId="0" applyNumberFormat="1" applyFont="1" applyFill="1" applyBorder="1" applyAlignment="1">
      <alignment horizontal="center"/>
    </xf>
    <xf numFmtId="11" fontId="4" fillId="4" borderId="14" xfId="0" applyNumberFormat="1" applyFont="1" applyFill="1" applyBorder="1" applyAlignment="1">
      <alignment horizontal="center"/>
    </xf>
    <xf numFmtId="11" fontId="4" fillId="0" borderId="15" xfId="0" applyNumberFormat="1" applyFont="1" applyFill="1" applyBorder="1" applyAlignment="1">
      <alignment horizontal="center"/>
    </xf>
    <xf numFmtId="11" fontId="4" fillId="0" borderId="16" xfId="0" applyNumberFormat="1" applyFont="1" applyFill="1" applyBorder="1" applyAlignment="1">
      <alignment horizontal="center"/>
    </xf>
    <xf numFmtId="11" fontId="4" fillId="0" borderId="17" xfId="0" applyNumberFormat="1" applyFont="1" applyFill="1" applyBorder="1" applyAlignment="1">
      <alignment horizontal="center"/>
    </xf>
    <xf numFmtId="4" fontId="4" fillId="0" borderId="18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/>
    </xf>
    <xf numFmtId="11" fontId="4" fillId="0" borderId="18" xfId="0" applyNumberFormat="1" applyFont="1" applyFill="1" applyBorder="1" applyAlignment="1">
      <alignment horizontal="center"/>
    </xf>
    <xf numFmtId="11" fontId="4" fillId="0" borderId="19" xfId="0" applyNumberFormat="1" applyFont="1" applyFill="1" applyBorder="1" applyAlignment="1">
      <alignment horizontal="center"/>
    </xf>
    <xf numFmtId="4" fontId="4" fillId="0" borderId="20" xfId="0" applyNumberFormat="1" applyFont="1" applyFill="1" applyBorder="1" applyAlignment="1">
      <alignment horizontal="center"/>
    </xf>
    <xf numFmtId="4" fontId="4" fillId="0" borderId="21" xfId="0" applyNumberFormat="1" applyFont="1" applyFill="1" applyBorder="1" applyAlignment="1">
      <alignment horizontal="center"/>
    </xf>
    <xf numFmtId="11" fontId="4" fillId="0" borderId="20" xfId="0" applyNumberFormat="1" applyFont="1" applyFill="1" applyBorder="1" applyAlignment="1">
      <alignment horizontal="center"/>
    </xf>
    <xf numFmtId="11" fontId="4" fillId="0" borderId="21" xfId="0" applyNumberFormat="1" applyFont="1" applyFill="1" applyBorder="1" applyAlignment="1">
      <alignment horizontal="center"/>
    </xf>
    <xf numFmtId="4" fontId="4" fillId="3" borderId="18" xfId="0" applyNumberFormat="1" applyFont="1" applyFill="1" applyBorder="1" applyAlignment="1">
      <alignment horizontal="center"/>
    </xf>
    <xf numFmtId="4" fontId="4" fillId="3" borderId="19" xfId="0" applyNumberFormat="1" applyFont="1" applyFill="1" applyBorder="1" applyAlignment="1">
      <alignment horizontal="center"/>
    </xf>
    <xf numFmtId="11" fontId="4" fillId="3" borderId="18" xfId="0" applyNumberFormat="1" applyFont="1" applyFill="1" applyBorder="1" applyAlignment="1">
      <alignment horizontal="center"/>
    </xf>
    <xf numFmtId="11" fontId="4" fillId="3" borderId="19" xfId="0" applyNumberFormat="1" applyFont="1" applyFill="1" applyBorder="1" applyAlignment="1">
      <alignment horizontal="center"/>
    </xf>
    <xf numFmtId="4" fontId="4" fillId="3" borderId="20" xfId="0" applyNumberFormat="1" applyFont="1" applyFill="1" applyBorder="1" applyAlignment="1">
      <alignment horizontal="center"/>
    </xf>
    <xf numFmtId="4" fontId="4" fillId="3" borderId="21" xfId="0" applyNumberFormat="1" applyFont="1" applyFill="1" applyBorder="1" applyAlignment="1">
      <alignment horizontal="center"/>
    </xf>
    <xf numFmtId="11" fontId="4" fillId="3" borderId="20" xfId="0" applyNumberFormat="1" applyFont="1" applyFill="1" applyBorder="1" applyAlignment="1">
      <alignment horizontal="center"/>
    </xf>
    <xf numFmtId="4" fontId="4" fillId="4" borderId="18" xfId="0" applyNumberFormat="1" applyFont="1" applyFill="1" applyBorder="1" applyAlignment="1">
      <alignment horizontal="center"/>
    </xf>
    <xf numFmtId="4" fontId="4" fillId="4" borderId="19" xfId="0" applyNumberFormat="1" applyFont="1" applyFill="1" applyBorder="1" applyAlignment="1">
      <alignment horizontal="center"/>
    </xf>
    <xf numFmtId="11" fontId="4" fillId="4" borderId="18" xfId="0" applyNumberFormat="1" applyFont="1" applyFill="1" applyBorder="1" applyAlignment="1">
      <alignment horizontal="center"/>
    </xf>
    <xf numFmtId="11" fontId="4" fillId="4" borderId="19" xfId="0" applyNumberFormat="1" applyFont="1" applyFill="1" applyBorder="1" applyAlignment="1">
      <alignment horizontal="center"/>
    </xf>
    <xf numFmtId="4" fontId="4" fillId="4" borderId="20" xfId="0" applyNumberFormat="1" applyFont="1" applyFill="1" applyBorder="1" applyAlignment="1">
      <alignment horizontal="center"/>
    </xf>
    <xf numFmtId="4" fontId="4" fillId="4" borderId="21" xfId="0" applyNumberFormat="1" applyFont="1" applyFill="1" applyBorder="1" applyAlignment="1">
      <alignment horizontal="center"/>
    </xf>
    <xf numFmtId="11" fontId="4" fillId="4" borderId="20" xfId="0" applyNumberFormat="1" applyFont="1" applyFill="1" applyBorder="1" applyAlignment="1">
      <alignment horizontal="center"/>
    </xf>
    <xf numFmtId="11" fontId="5" fillId="0" borderId="10" xfId="0" applyNumberFormat="1" applyFont="1" applyFill="1" applyBorder="1" applyAlignment="1">
      <alignment horizontal="center"/>
    </xf>
    <xf numFmtId="11" fontId="5" fillId="0" borderId="11" xfId="0" applyNumberFormat="1" applyFont="1" applyFill="1" applyBorder="1" applyAlignment="1">
      <alignment horizontal="center"/>
    </xf>
    <xf numFmtId="11" fontId="5" fillId="0" borderId="12" xfId="0" applyNumberFormat="1" applyFont="1" applyFill="1" applyBorder="1" applyAlignment="1">
      <alignment horizontal="center"/>
    </xf>
    <xf numFmtId="11" fontId="5" fillId="0" borderId="13" xfId="0" applyNumberFormat="1" applyFont="1" applyFill="1" applyBorder="1" applyAlignment="1">
      <alignment horizontal="center"/>
    </xf>
    <xf numFmtId="11" fontId="5" fillId="0" borderId="0" xfId="0" applyNumberFormat="1" applyFont="1" applyFill="1" applyBorder="1" applyAlignment="1">
      <alignment horizontal="center"/>
    </xf>
    <xf numFmtId="11" fontId="5" fillId="0" borderId="14" xfId="0" applyNumberFormat="1" applyFont="1" applyFill="1" applyBorder="1" applyAlignment="1">
      <alignment horizontal="center"/>
    </xf>
    <xf numFmtId="11" fontId="4" fillId="3" borderId="2" xfId="0" applyNumberFormat="1" applyFont="1" applyFill="1" applyBorder="1"/>
    <xf numFmtId="11" fontId="4" fillId="3" borderId="21" xfId="0" applyNumberFormat="1" applyFont="1" applyFill="1" applyBorder="1" applyAlignment="1">
      <alignment horizontal="center"/>
    </xf>
    <xf numFmtId="11" fontId="4" fillId="4" borderId="21" xfId="0" applyNumberFormat="1" applyFont="1" applyFill="1" applyBorder="1" applyAlignment="1">
      <alignment horizontal="center"/>
    </xf>
    <xf numFmtId="0" fontId="5" fillId="0" borderId="2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 textRotation="90"/>
    </xf>
    <xf numFmtId="0" fontId="7" fillId="0" borderId="23" xfId="0" applyFont="1" applyFill="1" applyBorder="1" applyAlignment="1">
      <alignment horizontal="center" vertical="center" textRotation="90"/>
    </xf>
    <xf numFmtId="0" fontId="7" fillId="0" borderId="24" xfId="0" applyFont="1" applyFill="1" applyBorder="1" applyAlignment="1">
      <alignment horizontal="center" vertical="center" textRotation="90"/>
    </xf>
    <xf numFmtId="4" fontId="4" fillId="2" borderId="18" xfId="0" applyNumberFormat="1" applyFont="1" applyFill="1" applyBorder="1" applyAlignment="1">
      <alignment horizontal="center"/>
    </xf>
    <xf numFmtId="4" fontId="4" fillId="2" borderId="19" xfId="0" applyNumberFormat="1" applyFont="1" applyFill="1" applyBorder="1" applyAlignment="1">
      <alignment horizontal="center"/>
    </xf>
    <xf numFmtId="11" fontId="4" fillId="2" borderId="18" xfId="0" applyNumberFormat="1" applyFont="1" applyFill="1" applyBorder="1" applyAlignment="1">
      <alignment horizontal="center"/>
    </xf>
    <xf numFmtId="11" fontId="4" fillId="2" borderId="19" xfId="0" applyNumberFormat="1" applyFont="1" applyFill="1" applyBorder="1" applyAlignment="1">
      <alignment horizontal="center"/>
    </xf>
    <xf numFmtId="4" fontId="4" fillId="2" borderId="13" xfId="0" applyNumberFormat="1" applyFont="1" applyFill="1" applyBorder="1" applyAlignment="1">
      <alignment horizontal="center"/>
    </xf>
    <xf numFmtId="4" fontId="4" fillId="2" borderId="14" xfId="0" applyNumberFormat="1" applyFont="1" applyFill="1" applyBorder="1" applyAlignment="1">
      <alignment horizontal="center"/>
    </xf>
    <xf numFmtId="11" fontId="4" fillId="2" borderId="13" xfId="0" applyNumberFormat="1" applyFont="1" applyFill="1" applyBorder="1" applyAlignment="1">
      <alignment horizontal="center"/>
    </xf>
    <xf numFmtId="11" fontId="4" fillId="2" borderId="14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4" fontId="4" fillId="2" borderId="20" xfId="0" applyNumberFormat="1" applyFont="1" applyFill="1" applyBorder="1" applyAlignment="1">
      <alignment horizontal="center"/>
    </xf>
    <xf numFmtId="4" fontId="4" fillId="2" borderId="21" xfId="0" applyNumberFormat="1" applyFont="1" applyFill="1" applyBorder="1" applyAlignment="1">
      <alignment horizontal="center"/>
    </xf>
    <xf numFmtId="11" fontId="4" fillId="2" borderId="20" xfId="0" applyNumberFormat="1" applyFont="1" applyFill="1" applyBorder="1" applyAlignment="1">
      <alignment horizontal="center"/>
    </xf>
    <xf numFmtId="11" fontId="4" fillId="2" borderId="21" xfId="0" applyNumberFormat="1" applyFont="1" applyFill="1" applyBorder="1" applyAlignment="1">
      <alignment horizontal="center"/>
    </xf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9" xfId="0" applyFont="1" applyBorder="1"/>
    <xf numFmtId="0" fontId="2" fillId="0" borderId="9" xfId="0" applyFont="1" applyBorder="1" applyAlignment="1">
      <alignment horizontal="center"/>
    </xf>
    <xf numFmtId="0" fontId="2" fillId="0" borderId="9" xfId="0" applyFont="1" applyBorder="1" applyAlignment="1"/>
    <xf numFmtId="0" fontId="2" fillId="0" borderId="0" xfId="0" applyFont="1" applyBorder="1" applyAlignment="1"/>
    <xf numFmtId="0" fontId="1" fillId="0" borderId="9" xfId="0" applyFont="1" applyBorder="1" applyAlignment="1">
      <alignment horizontal="center"/>
    </xf>
    <xf numFmtId="0" fontId="2" fillId="0" borderId="9" xfId="0" applyFont="1" applyBorder="1"/>
    <xf numFmtId="0" fontId="1" fillId="0" borderId="0" xfId="0" applyFont="1" applyBorder="1"/>
    <xf numFmtId="0" fontId="1" fillId="0" borderId="9" xfId="0" applyFont="1" applyBorder="1" applyAlignment="1">
      <alignment vertical="center"/>
    </xf>
    <xf numFmtId="0" fontId="1" fillId="0" borderId="0" xfId="0" applyFont="1" applyBorder="1" applyAlignment="1">
      <alignment horizontal="center"/>
    </xf>
    <xf numFmtId="4" fontId="1" fillId="0" borderId="9" xfId="0" applyNumberFormat="1" applyFont="1" applyBorder="1" applyAlignment="1">
      <alignment horizontal="center"/>
    </xf>
    <xf numFmtId="165" fontId="1" fillId="0" borderId="9" xfId="0" applyNumberFormat="1" applyFont="1" applyFill="1" applyBorder="1" applyAlignment="1">
      <alignment horizontal="center"/>
    </xf>
    <xf numFmtId="165" fontId="1" fillId="0" borderId="9" xfId="0" applyNumberFormat="1" applyFont="1" applyBorder="1" applyAlignment="1">
      <alignment horizontal="center"/>
    </xf>
    <xf numFmtId="167" fontId="1" fillId="0" borderId="9" xfId="0" applyNumberFormat="1" applyFont="1" applyBorder="1"/>
    <xf numFmtId="0" fontId="1" fillId="0" borderId="9" xfId="0" applyFont="1" applyFill="1" applyBorder="1" applyAlignment="1">
      <alignment horizontal="center"/>
    </xf>
    <xf numFmtId="4" fontId="1" fillId="0" borderId="9" xfId="0" applyNumberFormat="1" applyFont="1" applyFill="1" applyBorder="1" applyAlignment="1">
      <alignment horizontal="center"/>
    </xf>
    <xf numFmtId="0" fontId="1" fillId="0" borderId="0" xfId="0" applyFont="1" applyBorder="1" applyAlignment="1">
      <alignment vertical="center"/>
    </xf>
    <xf numFmtId="4" fontId="1" fillId="0" borderId="0" xfId="0" applyNumberFormat="1" applyFont="1" applyAlignment="1">
      <alignment horizontal="center"/>
    </xf>
    <xf numFmtId="4" fontId="1" fillId="0" borderId="0" xfId="0" applyNumberFormat="1" applyFont="1" applyFill="1" applyAlignment="1">
      <alignment horizontal="center"/>
    </xf>
    <xf numFmtId="4" fontId="2" fillId="0" borderId="1" xfId="0" applyNumberFormat="1" applyFont="1" applyBorder="1" applyAlignment="1">
      <alignment horizontal="center"/>
    </xf>
    <xf numFmtId="4" fontId="2" fillId="0" borderId="2" xfId="0" applyNumberFormat="1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quotePrefix="1" applyFont="1"/>
    <xf numFmtId="0" fontId="1" fillId="0" borderId="0" xfId="0" applyFont="1" applyFill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3" borderId="9" xfId="0" applyFont="1" applyFill="1" applyBorder="1"/>
    <xf numFmtId="0" fontId="2" fillId="3" borderId="9" xfId="0" applyFont="1" applyFill="1" applyBorder="1" applyAlignment="1">
      <alignment horizontal="center"/>
    </xf>
    <xf numFmtId="0" fontId="2" fillId="3" borderId="9" xfId="0" applyFont="1" applyFill="1" applyBorder="1"/>
    <xf numFmtId="0" fontId="1" fillId="3" borderId="9" xfId="0" applyFont="1" applyFill="1" applyBorder="1" applyAlignment="1">
      <alignment horizontal="center"/>
    </xf>
    <xf numFmtId="0" fontId="1" fillId="3" borderId="9" xfId="0" applyFont="1" applyFill="1" applyBorder="1" applyAlignment="1">
      <alignment vertical="center"/>
    </xf>
    <xf numFmtId="4" fontId="1" fillId="3" borderId="9" xfId="0" applyNumberFormat="1" applyFont="1" applyFill="1" applyBorder="1" applyAlignment="1">
      <alignment horizontal="center"/>
    </xf>
    <xf numFmtId="165" fontId="1" fillId="3" borderId="9" xfId="0" applyNumberFormat="1" applyFont="1" applyFill="1" applyBorder="1" applyAlignment="1">
      <alignment horizontal="center"/>
    </xf>
    <xf numFmtId="167" fontId="1" fillId="3" borderId="9" xfId="0" applyNumberFormat="1" applyFont="1" applyFill="1" applyBorder="1"/>
    <xf numFmtId="0" fontId="2" fillId="3" borderId="9" xfId="0" applyFont="1" applyFill="1" applyBorder="1" applyAlignment="1">
      <alignment horizontal="center"/>
    </xf>
    <xf numFmtId="0" fontId="2" fillId="3" borderId="9" xfId="0" applyFont="1" applyFill="1" applyBorder="1" applyAlignment="1"/>
    <xf numFmtId="0" fontId="2" fillId="4" borderId="9" xfId="0" applyFont="1" applyFill="1" applyBorder="1"/>
    <xf numFmtId="0" fontId="2" fillId="4" borderId="9" xfId="0" applyFont="1" applyFill="1" applyBorder="1" applyAlignment="1">
      <alignment horizontal="center"/>
    </xf>
    <xf numFmtId="0" fontId="1" fillId="4" borderId="9" xfId="0" applyFont="1" applyFill="1" applyBorder="1"/>
    <xf numFmtId="0" fontId="1" fillId="4" borderId="9" xfId="0" applyFont="1" applyFill="1" applyBorder="1" applyAlignment="1">
      <alignment horizontal="center"/>
    </xf>
    <xf numFmtId="0" fontId="1" fillId="4" borderId="9" xfId="0" applyFont="1" applyFill="1" applyBorder="1" applyAlignment="1">
      <alignment vertical="center"/>
    </xf>
    <xf numFmtId="4" fontId="1" fillId="4" borderId="9" xfId="0" applyNumberFormat="1" applyFont="1" applyFill="1" applyBorder="1" applyAlignment="1">
      <alignment horizontal="center"/>
    </xf>
    <xf numFmtId="167" fontId="1" fillId="4" borderId="9" xfId="0" applyNumberFormat="1" applyFont="1" applyFill="1" applyBorder="1"/>
    <xf numFmtId="0" fontId="2" fillId="4" borderId="9" xfId="0" applyFont="1" applyFill="1" applyBorder="1" applyAlignment="1">
      <alignment horizontal="center"/>
    </xf>
    <xf numFmtId="0" fontId="2" fillId="4" borderId="9" xfId="0" applyFont="1" applyFill="1" applyBorder="1" applyAlignment="1"/>
    <xf numFmtId="4" fontId="1" fillId="5" borderId="9" xfId="0" applyNumberFormat="1" applyFont="1" applyFill="1" applyBorder="1" applyAlignment="1">
      <alignment horizontal="center"/>
    </xf>
    <xf numFmtId="4" fontId="1" fillId="0" borderId="7" xfId="0" applyNumberFormat="1" applyFont="1" applyFill="1" applyBorder="1" applyAlignment="1">
      <alignment horizontal="center"/>
    </xf>
    <xf numFmtId="0" fontId="1" fillId="0" borderId="0" xfId="0" applyFont="1" applyFill="1" applyBorder="1"/>
    <xf numFmtId="2" fontId="1" fillId="0" borderId="7" xfId="0" applyNumberFormat="1" applyFont="1" applyFill="1" applyBorder="1" applyAlignment="1">
      <alignment horizontal="center"/>
    </xf>
    <xf numFmtId="2" fontId="1" fillId="0" borderId="0" xfId="0" applyNumberFormat="1" applyFont="1" applyFill="1" applyBorder="1" applyAlignment="1">
      <alignment horizontal="center"/>
    </xf>
    <xf numFmtId="168" fontId="1" fillId="0" borderId="7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168" fontId="1" fillId="0" borderId="4" xfId="0" applyNumberFormat="1" applyFont="1" applyFill="1" applyBorder="1" applyAlignment="1">
      <alignment horizontal="center"/>
    </xf>
    <xf numFmtId="2" fontId="1" fillId="0" borderId="5" xfId="0" applyNumberFormat="1" applyFont="1" applyFill="1" applyBorder="1" applyAlignment="1">
      <alignment horizontal="center"/>
    </xf>
    <xf numFmtId="168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vertical="center" wrapText="1"/>
    </xf>
    <xf numFmtId="0" fontId="1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left"/>
    </xf>
    <xf numFmtId="4" fontId="1" fillId="3" borderId="0" xfId="0" applyNumberFormat="1" applyFont="1" applyFill="1" applyBorder="1" applyAlignment="1">
      <alignment horizontal="center"/>
    </xf>
    <xf numFmtId="2" fontId="1" fillId="3" borderId="0" xfId="0" applyNumberFormat="1" applyFont="1" applyFill="1" applyBorder="1" applyAlignment="1">
      <alignment horizontal="center"/>
    </xf>
    <xf numFmtId="168" fontId="1" fillId="3" borderId="0" xfId="0" applyNumberFormat="1" applyFont="1" applyFill="1" applyBorder="1" applyAlignment="1">
      <alignment horizontal="center"/>
    </xf>
    <xf numFmtId="168" fontId="1" fillId="3" borderId="5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2" fontId="1" fillId="3" borderId="5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4" fontId="1" fillId="4" borderId="8" xfId="0" applyNumberFormat="1" applyFont="1" applyFill="1" applyBorder="1" applyAlignment="1">
      <alignment horizontal="center"/>
    </xf>
    <xf numFmtId="2" fontId="1" fillId="4" borderId="8" xfId="0" applyNumberFormat="1" applyFont="1" applyFill="1" applyBorder="1" applyAlignment="1">
      <alignment horizontal="center"/>
    </xf>
    <xf numFmtId="168" fontId="1" fillId="4" borderId="8" xfId="0" applyNumberFormat="1" applyFont="1" applyFill="1" applyBorder="1" applyAlignment="1">
      <alignment horizontal="center"/>
    </xf>
    <xf numFmtId="168" fontId="1" fillId="4" borderId="6" xfId="0" applyNumberFormat="1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2" fontId="1" fillId="4" borderId="6" xfId="0" applyNumberFormat="1" applyFont="1" applyFill="1" applyBorder="1" applyAlignment="1">
      <alignment horizontal="center"/>
    </xf>
    <xf numFmtId="4" fontId="1" fillId="0" borderId="0" xfId="0" applyNumberFormat="1" applyFont="1" applyFill="1"/>
    <xf numFmtId="164" fontId="1" fillId="0" borderId="0" xfId="0" applyNumberFormat="1" applyFont="1" applyFill="1"/>
    <xf numFmtId="11" fontId="1" fillId="0" borderId="0" xfId="0" applyNumberFormat="1" applyFont="1" applyFill="1"/>
    <xf numFmtId="11" fontId="2" fillId="0" borderId="0" xfId="0" applyNumberFormat="1" applyFont="1" applyFill="1" applyBorder="1"/>
    <xf numFmtId="11" fontId="1" fillId="0" borderId="0" xfId="0" applyNumberFormat="1" applyFont="1" applyFill="1" applyBorder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20" fontId="6" fillId="0" borderId="0" xfId="0" quotePrefix="1" applyNumberFormat="1" applyFont="1" applyFill="1" applyAlignment="1">
      <alignment horizontal="center"/>
    </xf>
    <xf numFmtId="4" fontId="2" fillId="6" borderId="9" xfId="0" applyNumberFormat="1" applyFont="1" applyFill="1" applyBorder="1" applyAlignment="1">
      <alignment horizontal="left" vertical="center"/>
    </xf>
    <xf numFmtId="4" fontId="1" fillId="6" borderId="9" xfId="0" applyNumberFormat="1" applyFont="1" applyFill="1" applyBorder="1" applyAlignment="1">
      <alignment horizontal="center"/>
    </xf>
    <xf numFmtId="4" fontId="2" fillId="0" borderId="9" xfId="0" applyNumberFormat="1" applyFont="1" applyFill="1" applyBorder="1" applyAlignment="1">
      <alignment horizontal="left" vertical="center"/>
    </xf>
    <xf numFmtId="164" fontId="2" fillId="0" borderId="9" xfId="0" applyNumberFormat="1" applyFont="1" applyFill="1" applyBorder="1"/>
    <xf numFmtId="164" fontId="1" fillId="0" borderId="9" xfId="0" applyNumberFormat="1" applyFont="1" applyFill="1" applyBorder="1" applyAlignment="1">
      <alignment horizontal="center"/>
    </xf>
    <xf numFmtId="164" fontId="1" fillId="5" borderId="9" xfId="0" applyNumberFormat="1" applyFont="1" applyFill="1" applyBorder="1" applyAlignment="1">
      <alignment horizontal="center"/>
    </xf>
    <xf numFmtId="11" fontId="2" fillId="6" borderId="9" xfId="0" applyNumberFormat="1" applyFont="1" applyFill="1" applyBorder="1" applyAlignment="1">
      <alignment horizontal="left" vertical="center"/>
    </xf>
    <xf numFmtId="11" fontId="1" fillId="6" borderId="9" xfId="0" applyNumberFormat="1" applyFont="1" applyFill="1" applyBorder="1" applyAlignment="1">
      <alignment horizontal="center"/>
    </xf>
    <xf numFmtId="11" fontId="1" fillId="5" borderId="9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CCFF"/>
      <color rgb="FFFF9999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132854\Desktop\Light%20optimisation%20paper%20data_190115_spec%20growth%20change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132854\Desktop\Absorption%20additional%20experiments%20for%20papers_3006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132854\Desktop\Photoperiod%20experiments_121015_recalc%20graph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Paper calcs"/>
      <sheetName val="u vs bead uptake rate"/>
      <sheetName val="GRAPHS TO THINK THROUGH"/>
      <sheetName val="W ALL Int vs duty cycle N"/>
      <sheetName val="W ALL Int vs duty cycle P"/>
      <sheetName val="W 200um duty N (2)"/>
      <sheetName val="W 500um duty N"/>
      <sheetName val="W 1000um duty N"/>
      <sheetName val="W 200um duty P"/>
      <sheetName val="W 500um duty P"/>
      <sheetName val="W 1000um duty P"/>
      <sheetName val="Wave ALL N"/>
      <sheetName val="Wave All P"/>
      <sheetName val="Wave N % ALL"/>
      <sheetName val="Wave P % ALL"/>
      <sheetName val="WvRvB N"/>
      <sheetName val="WvRvB P"/>
      <sheetName val="Light absorbance"/>
      <sheetName val="White N 0to1000 "/>
      <sheetName val="White P 0to1000"/>
      <sheetName val="Red N 0to1000"/>
      <sheetName val="Red P 0to1000 "/>
      <sheetName val="Blue N 0to1000"/>
      <sheetName val="Blue P 0to1000"/>
      <sheetName val="POWER"/>
      <sheetName val="DATA (2)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7">
          <cell r="AT7">
            <v>0</v>
          </cell>
          <cell r="AU7">
            <v>3</v>
          </cell>
          <cell r="AV7">
            <v>7</v>
          </cell>
          <cell r="AW7">
            <v>10</v>
          </cell>
          <cell r="AX7">
            <v>24</v>
          </cell>
          <cell r="AY7">
            <v>48</v>
          </cell>
        </row>
        <row r="71">
          <cell r="AT71">
            <v>129500</v>
          </cell>
          <cell r="AW71">
            <v>111250</v>
          </cell>
          <cell r="AX71">
            <v>195000</v>
          </cell>
        </row>
        <row r="76">
          <cell r="AT76">
            <v>129500</v>
          </cell>
          <cell r="AW76">
            <v>152500</v>
          </cell>
          <cell r="AX76">
            <v>504333.33333333326</v>
          </cell>
        </row>
        <row r="81">
          <cell r="AT81">
            <v>129500</v>
          </cell>
          <cell r="AW81">
            <v>121250</v>
          </cell>
          <cell r="AX81">
            <v>269000</v>
          </cell>
        </row>
        <row r="86">
          <cell r="AT86">
            <v>129500</v>
          </cell>
          <cell r="AW86">
            <v>154500</v>
          </cell>
          <cell r="AX86">
            <v>413750</v>
          </cell>
        </row>
        <row r="96">
          <cell r="AT96">
            <v>186000</v>
          </cell>
          <cell r="AW96">
            <v>487500</v>
          </cell>
          <cell r="AX96">
            <v>210000</v>
          </cell>
        </row>
        <row r="101">
          <cell r="AT101">
            <v>186000</v>
          </cell>
          <cell r="AW101">
            <v>235000</v>
          </cell>
          <cell r="AX101">
            <v>185000</v>
          </cell>
        </row>
        <row r="106">
          <cell r="AT106">
            <v>186000</v>
          </cell>
          <cell r="AW106">
            <v>545000</v>
          </cell>
          <cell r="AX106">
            <v>185000</v>
          </cell>
        </row>
        <row r="111">
          <cell r="AT111">
            <v>186000</v>
          </cell>
          <cell r="AW111">
            <v>420000</v>
          </cell>
          <cell r="AX111">
            <v>200000</v>
          </cell>
        </row>
        <row r="121">
          <cell r="AT121">
            <v>115000</v>
          </cell>
          <cell r="AW121">
            <v>140000</v>
          </cell>
          <cell r="AX121">
            <v>150000</v>
          </cell>
        </row>
        <row r="126">
          <cell r="AT126">
            <v>115000</v>
          </cell>
          <cell r="AW126">
            <v>107500</v>
          </cell>
          <cell r="AX126">
            <v>140000</v>
          </cell>
        </row>
        <row r="131">
          <cell r="AT131">
            <v>115000</v>
          </cell>
          <cell r="AW131">
            <v>152500</v>
          </cell>
          <cell r="AX131">
            <v>242500</v>
          </cell>
        </row>
        <row r="136">
          <cell r="AT136">
            <v>115000</v>
          </cell>
          <cell r="AW136">
            <v>90000</v>
          </cell>
          <cell r="AX136">
            <v>227500</v>
          </cell>
        </row>
        <row r="146">
          <cell r="AT146">
            <v>115000</v>
          </cell>
          <cell r="AW146">
            <v>140000</v>
          </cell>
          <cell r="AX146">
            <v>107500</v>
          </cell>
        </row>
        <row r="151">
          <cell r="AT151">
            <v>115000</v>
          </cell>
          <cell r="AW151">
            <v>167500</v>
          </cell>
          <cell r="AX151">
            <v>120000</v>
          </cell>
        </row>
        <row r="156">
          <cell r="AT156">
            <v>115000</v>
          </cell>
          <cell r="AW156">
            <v>287500</v>
          </cell>
          <cell r="AX156">
            <v>120000</v>
          </cell>
        </row>
        <row r="161">
          <cell r="AT161">
            <v>115000</v>
          </cell>
          <cell r="AW161">
            <v>280000</v>
          </cell>
          <cell r="AX161">
            <v>127500</v>
          </cell>
        </row>
        <row r="213">
          <cell r="AI213">
            <v>0</v>
          </cell>
          <cell r="AJ213">
            <v>25</v>
          </cell>
          <cell r="AK213">
            <v>50</v>
          </cell>
          <cell r="AL213">
            <v>75</v>
          </cell>
          <cell r="AM213">
            <v>100</v>
          </cell>
        </row>
        <row r="214">
          <cell r="I214">
            <v>0</v>
          </cell>
          <cell r="J214">
            <v>50</v>
          </cell>
          <cell r="K214">
            <v>200</v>
          </cell>
          <cell r="L214">
            <v>500</v>
          </cell>
          <cell r="M214">
            <v>1000</v>
          </cell>
          <cell r="AH214" t="str">
            <v>PO4-P</v>
          </cell>
          <cell r="AI214">
            <v>11.11111111111112</v>
          </cell>
          <cell r="AJ214">
            <v>56.122448979591844</v>
          </cell>
          <cell r="AK214">
            <v>78.571428571428569</v>
          </cell>
          <cell r="AL214">
            <v>84.693877551020407</v>
          </cell>
          <cell r="AM214">
            <v>89.795918367346943</v>
          </cell>
        </row>
        <row r="215">
          <cell r="H215" t="str">
            <v>White</v>
          </cell>
          <cell r="I215">
            <v>15.654545454545451</v>
          </cell>
          <cell r="J215">
            <v>85.726829268292676</v>
          </cell>
          <cell r="K215">
            <v>96.617886178861795</v>
          </cell>
          <cell r="L215">
            <v>96.635609756097566</v>
          </cell>
          <cell r="M215">
            <v>99.08243902439024</v>
          </cell>
          <cell r="U215">
            <v>8.7962962962963029</v>
          </cell>
          <cell r="V215">
            <v>85.567010309278345</v>
          </cell>
          <cell r="W215">
            <v>88.97777777777776</v>
          </cell>
          <cell r="X215">
            <v>97.628865979381445</v>
          </cell>
          <cell r="Y215">
            <v>98.505154639175245</v>
          </cell>
          <cell r="AH215" t="str">
            <v>NH4-N</v>
          </cell>
          <cell r="AI215">
            <v>13.090909090909086</v>
          </cell>
          <cell r="AJ215">
            <v>50.15625</v>
          </cell>
          <cell r="AK215">
            <v>62.187500000000007</v>
          </cell>
          <cell r="AL215">
            <v>65.781249999999986</v>
          </cell>
          <cell r="AM215">
            <v>75.3125</v>
          </cell>
        </row>
        <row r="216">
          <cell r="H216" t="str">
            <v>Red</v>
          </cell>
          <cell r="I216">
            <v>15.654545454545451</v>
          </cell>
          <cell r="J216">
            <v>53.454545454545453</v>
          </cell>
          <cell r="K216">
            <v>94.975609756097555</v>
          </cell>
          <cell r="L216">
            <v>85.490909090909099</v>
          </cell>
          <cell r="M216">
            <v>91.581818181818178</v>
          </cell>
          <cell r="U216">
            <v>8.7962962962963029</v>
          </cell>
          <cell r="V216">
            <v>24.537037037037045</v>
          </cell>
          <cell r="W216">
            <v>90.133333333333326</v>
          </cell>
          <cell r="X216">
            <v>91.805555555555557</v>
          </cell>
          <cell r="Y216">
            <v>94.583333333333329</v>
          </cell>
        </row>
        <row r="217">
          <cell r="H217" t="str">
            <v xml:space="preserve">Blue </v>
          </cell>
          <cell r="I217">
            <v>15.654545454545451</v>
          </cell>
          <cell r="J217">
            <v>54.909090909090907</v>
          </cell>
          <cell r="K217">
            <v>100</v>
          </cell>
          <cell r="L217">
            <v>96.6</v>
          </cell>
          <cell r="M217">
            <v>99.763636363636365</v>
          </cell>
          <cell r="U217">
            <v>8.7962962962963029</v>
          </cell>
          <cell r="V217">
            <v>26.851851851851855</v>
          </cell>
          <cell r="W217">
            <v>91.022222222222226</v>
          </cell>
          <cell r="X217">
            <v>89.81481481481481</v>
          </cell>
          <cell r="Y217">
            <v>96.157407407407405</v>
          </cell>
        </row>
        <row r="250">
          <cell r="I250">
            <v>0</v>
          </cell>
          <cell r="J250">
            <v>50</v>
          </cell>
          <cell r="K250">
            <v>200</v>
          </cell>
          <cell r="L250">
            <v>500</v>
          </cell>
          <cell r="M250">
            <v>1000</v>
          </cell>
        </row>
        <row r="251">
          <cell r="H251" t="str">
            <v>White</v>
          </cell>
          <cell r="I251">
            <v>5.7085714285714291</v>
          </cell>
          <cell r="J251">
            <v>26.360999999999997</v>
          </cell>
          <cell r="K251">
            <v>27.176099999999998</v>
          </cell>
          <cell r="L251">
            <v>29.715449999999997</v>
          </cell>
          <cell r="M251">
            <v>30.467849999999999</v>
          </cell>
          <cell r="U251">
            <v>0</v>
          </cell>
          <cell r="V251">
            <v>50</v>
          </cell>
          <cell r="W251">
            <v>200</v>
          </cell>
          <cell r="X251">
            <v>500</v>
          </cell>
          <cell r="Y251">
            <v>1000</v>
          </cell>
        </row>
        <row r="252">
          <cell r="H252" t="str">
            <v>Red</v>
          </cell>
          <cell r="I252">
            <v>5.7085714285714291</v>
          </cell>
          <cell r="J252">
            <v>16.317000000000004</v>
          </cell>
          <cell r="K252">
            <v>29.016580645161291</v>
          </cell>
          <cell r="L252">
            <v>26.096100000000007</v>
          </cell>
          <cell r="M252">
            <v>27.955350000000003</v>
          </cell>
          <cell r="T252" t="str">
            <v>White</v>
          </cell>
          <cell r="U252">
            <v>0.99750000000000105</v>
          </cell>
          <cell r="V252">
            <v>10.719835051546392</v>
          </cell>
          <cell r="W252">
            <v>10.719835051546392</v>
          </cell>
          <cell r="X252">
            <v>12.230944329896909</v>
          </cell>
          <cell r="Y252">
            <v>12.340725773195878</v>
          </cell>
        </row>
        <row r="253">
          <cell r="H253" t="str">
            <v xml:space="preserve">Blue </v>
          </cell>
          <cell r="I253">
            <v>5.7085714285714291</v>
          </cell>
          <cell r="J253">
            <v>16.761000000000003</v>
          </cell>
          <cell r="K253">
            <v>30.750000000000011</v>
          </cell>
          <cell r="L253">
            <v>29.487150000000003</v>
          </cell>
          <cell r="M253">
            <v>30.452850000000005</v>
          </cell>
          <cell r="T253" t="str">
            <v>Red</v>
          </cell>
          <cell r="U253">
            <v>0.99750000000000105</v>
          </cell>
          <cell r="V253">
            <v>2.7825000000000015</v>
          </cell>
          <cell r="W253">
            <v>10.175893805309736</v>
          </cell>
          <cell r="X253">
            <v>10.410750000000002</v>
          </cell>
          <cell r="Y253">
            <v>10.725750000000001</v>
          </cell>
        </row>
        <row r="254">
          <cell r="T254" t="str">
            <v xml:space="preserve">Blue </v>
          </cell>
          <cell r="U254">
            <v>0.99750000000000105</v>
          </cell>
          <cell r="V254">
            <v>3.0449999999999999</v>
          </cell>
          <cell r="W254">
            <v>10.276247787610622</v>
          </cell>
          <cell r="X254">
            <v>10.185000000000002</v>
          </cell>
          <cell r="Y254">
            <v>10.904250000000003</v>
          </cell>
        </row>
        <row r="282">
          <cell r="I282">
            <v>0</v>
          </cell>
          <cell r="J282">
            <v>50</v>
          </cell>
          <cell r="K282">
            <v>200</v>
          </cell>
          <cell r="L282">
            <v>500</v>
          </cell>
          <cell r="M282">
            <v>1000</v>
          </cell>
          <cell r="U282">
            <v>0</v>
          </cell>
          <cell r="V282">
            <v>50</v>
          </cell>
          <cell r="W282">
            <v>200</v>
          </cell>
          <cell r="X282">
            <v>500</v>
          </cell>
          <cell r="Y282">
            <v>1000</v>
          </cell>
        </row>
        <row r="283">
          <cell r="H283" t="str">
            <v>White</v>
          </cell>
          <cell r="I283">
            <v>0</v>
          </cell>
          <cell r="J283">
            <v>0.96209080717268092</v>
          </cell>
          <cell r="K283">
            <v>1.4866957580232707</v>
          </cell>
          <cell r="L283">
            <v>1.3660403139158512</v>
          </cell>
          <cell r="M283">
            <v>1.6886877091773815</v>
          </cell>
          <cell r="T283" t="str">
            <v>White</v>
          </cell>
        </row>
        <row r="284">
          <cell r="J284">
            <v>4.7991087395461915E-2</v>
          </cell>
          <cell r="K284">
            <v>0.19797706101012399</v>
          </cell>
          <cell r="L284">
            <v>1.8786946154702517E-2</v>
          </cell>
          <cell r="M284">
            <v>1.6498101441071514E-2</v>
          </cell>
          <cell r="T284" t="str">
            <v>Red</v>
          </cell>
        </row>
        <row r="285">
          <cell r="H285" t="str">
            <v>Red</v>
          </cell>
          <cell r="I285">
            <v>0</v>
          </cell>
          <cell r="J285">
            <v>8.8842973482147342E-2</v>
          </cell>
          <cell r="K285">
            <v>1.2261177431121975</v>
          </cell>
          <cell r="L285">
            <v>0.42570363788772131</v>
          </cell>
          <cell r="M285">
            <v>0.31036882653798276</v>
          </cell>
          <cell r="T285" t="str">
            <v xml:space="preserve">Blue </v>
          </cell>
        </row>
        <row r="286">
          <cell r="J286">
            <v>0.14169999999999999</v>
          </cell>
          <cell r="K286">
            <v>0.19989352407238001</v>
          </cell>
          <cell r="L286">
            <v>0.1905481779901543</v>
          </cell>
          <cell r="M286">
            <v>0.10582271038943847</v>
          </cell>
        </row>
        <row r="287">
          <cell r="H287" t="str">
            <v xml:space="preserve">Blue </v>
          </cell>
          <cell r="I287">
            <v>0</v>
          </cell>
          <cell r="J287">
            <v>0.38907129833248794</v>
          </cell>
          <cell r="K287">
            <v>1.2672799797589582</v>
          </cell>
          <cell r="L287">
            <v>0.42444100956717012</v>
          </cell>
          <cell r="M287">
            <v>0.23111172096338664</v>
          </cell>
        </row>
        <row r="288">
          <cell r="J288">
            <v>0.20941216568370299</v>
          </cell>
          <cell r="K288">
            <v>0.106403995510088</v>
          </cell>
          <cell r="L288">
            <v>0.29929007957423798</v>
          </cell>
          <cell r="M288">
            <v>0.22670128206666801</v>
          </cell>
        </row>
        <row r="340">
          <cell r="U340">
            <v>0</v>
          </cell>
          <cell r="V340">
            <v>50</v>
          </cell>
          <cell r="W340">
            <v>200</v>
          </cell>
          <cell r="X340">
            <v>500</v>
          </cell>
          <cell r="Y340">
            <v>1000</v>
          </cell>
        </row>
        <row r="341">
          <cell r="T341" t="str">
            <v>White</v>
          </cell>
          <cell r="U341">
            <v>11.11111111111112</v>
          </cell>
          <cell r="V341">
            <v>56.701030927835049</v>
          </cell>
          <cell r="W341">
            <v>63.866666666666674</v>
          </cell>
          <cell r="X341">
            <v>85.051546391752581</v>
          </cell>
          <cell r="Y341">
            <v>92.268041237113394</v>
          </cell>
        </row>
        <row r="342">
          <cell r="T342" t="str">
            <v>Red</v>
          </cell>
          <cell r="U342">
            <v>11.11111111111112</v>
          </cell>
          <cell r="V342">
            <v>20.833333333333339</v>
          </cell>
          <cell r="W342">
            <v>68.75555555555556</v>
          </cell>
          <cell r="X342">
            <v>65.740740740740748</v>
          </cell>
          <cell r="Y342">
            <v>71.759259259259252</v>
          </cell>
        </row>
        <row r="343">
          <cell r="I343">
            <v>0</v>
          </cell>
          <cell r="J343">
            <v>50</v>
          </cell>
          <cell r="K343">
            <v>200</v>
          </cell>
          <cell r="L343">
            <v>500</v>
          </cell>
          <cell r="M343">
            <v>1000</v>
          </cell>
          <cell r="T343" t="str">
            <v xml:space="preserve">Blue </v>
          </cell>
          <cell r="U343">
            <v>11.11111111111112</v>
          </cell>
          <cell r="V343">
            <v>21.759259259259267</v>
          </cell>
          <cell r="W343">
            <v>71.555555555555543</v>
          </cell>
          <cell r="X343">
            <v>55.092592592592595</v>
          </cell>
          <cell r="Y343">
            <v>74.537037037037038</v>
          </cell>
        </row>
        <row r="344">
          <cell r="H344" t="str">
            <v>White</v>
          </cell>
          <cell r="I344">
            <v>13.090909090909086</v>
          </cell>
          <cell r="J344">
            <v>66.458048780487815</v>
          </cell>
          <cell r="K344">
            <v>74.471544715447152</v>
          </cell>
          <cell r="L344">
            <v>77.264878048780474</v>
          </cell>
          <cell r="M344">
            <v>83.89170731707317</v>
          </cell>
        </row>
        <row r="345">
          <cell r="H345" t="str">
            <v>Red</v>
          </cell>
          <cell r="I345">
            <v>13.090909090909086</v>
          </cell>
          <cell r="J345">
            <v>38.363636363636374</v>
          </cell>
          <cell r="K345">
            <v>72.35772357723576</v>
          </cell>
          <cell r="L345">
            <v>58.545454545454547</v>
          </cell>
          <cell r="M345">
            <v>60</v>
          </cell>
        </row>
        <row r="346">
          <cell r="H346" t="str">
            <v xml:space="preserve">Blue </v>
          </cell>
          <cell r="I346">
            <v>13.090909090909086</v>
          </cell>
          <cell r="J346">
            <v>42.54545454545454</v>
          </cell>
          <cell r="K346">
            <v>78.536585365853654</v>
          </cell>
          <cell r="L346">
            <v>70.545454545454547</v>
          </cell>
          <cell r="M346">
            <v>80</v>
          </cell>
        </row>
        <row r="368">
          <cell r="T368">
            <v>0</v>
          </cell>
          <cell r="U368">
            <v>50</v>
          </cell>
          <cell r="V368">
            <v>200</v>
          </cell>
          <cell r="W368">
            <v>500</v>
          </cell>
          <cell r="X368">
            <v>1000</v>
          </cell>
        </row>
        <row r="369">
          <cell r="S369" t="str">
            <v>White</v>
          </cell>
          <cell r="T369">
            <v>1.8000000000000018</v>
          </cell>
          <cell r="U369">
            <v>10.147864506627394</v>
          </cell>
          <cell r="V369">
            <v>10.01</v>
          </cell>
          <cell r="W369">
            <v>15.221796759941089</v>
          </cell>
          <cell r="X369">
            <v>16.513343151693665</v>
          </cell>
        </row>
        <row r="370">
          <cell r="H370">
            <v>0</v>
          </cell>
          <cell r="I370">
            <v>50</v>
          </cell>
          <cell r="J370">
            <v>200</v>
          </cell>
          <cell r="K370">
            <v>500</v>
          </cell>
          <cell r="L370">
            <v>1000</v>
          </cell>
          <cell r="S370" t="str">
            <v>Red</v>
          </cell>
          <cell r="T370">
            <v>1.8000000000000018</v>
          </cell>
          <cell r="U370">
            <v>3.3750000000000004</v>
          </cell>
          <cell r="V370">
            <v>11.049999999999999</v>
          </cell>
          <cell r="W370">
            <v>10.65</v>
          </cell>
          <cell r="X370">
            <v>11.625000000000002</v>
          </cell>
        </row>
        <row r="371">
          <cell r="G371" t="str">
            <v>White</v>
          </cell>
          <cell r="H371">
            <v>5.7085714285714291</v>
          </cell>
          <cell r="I371">
            <v>29.194071428571426</v>
          </cell>
          <cell r="J371">
            <v>32.714285714285715</v>
          </cell>
          <cell r="K371">
            <v>33.941357142857136</v>
          </cell>
          <cell r="L371">
            <v>36.852428571428568</v>
          </cell>
          <cell r="S371" t="str">
            <v xml:space="preserve">Blue </v>
          </cell>
          <cell r="T371">
            <v>1.8000000000000018</v>
          </cell>
          <cell r="U371">
            <v>3.5250000000000012</v>
          </cell>
          <cell r="V371">
            <v>11.5</v>
          </cell>
          <cell r="W371">
            <v>8.9250000000000007</v>
          </cell>
          <cell r="X371">
            <v>12.075000000000003</v>
          </cell>
        </row>
        <row r="372">
          <cell r="G372" t="str">
            <v>Red</v>
          </cell>
          <cell r="H372">
            <v>5.7085714285714291</v>
          </cell>
          <cell r="I372">
            <v>16.729285714285723</v>
          </cell>
          <cell r="J372">
            <v>31.785714285714288</v>
          </cell>
          <cell r="K372">
            <v>25.53</v>
          </cell>
          <cell r="L372">
            <v>26.164285714285715</v>
          </cell>
        </row>
        <row r="373">
          <cell r="G373" t="str">
            <v xml:space="preserve">Blue </v>
          </cell>
          <cell r="H373">
            <v>5.7085714285714291</v>
          </cell>
          <cell r="I373">
            <v>18.552857142857142</v>
          </cell>
          <cell r="J373">
            <v>34.500000000000007</v>
          </cell>
          <cell r="K373">
            <v>30.762857142857147</v>
          </cell>
          <cell r="L373">
            <v>34.885714285714293</v>
          </cell>
        </row>
        <row r="396">
          <cell r="P396">
            <v>0</v>
          </cell>
          <cell r="Q396">
            <v>25</v>
          </cell>
          <cell r="S396">
            <v>50</v>
          </cell>
          <cell r="T396">
            <v>75</v>
          </cell>
          <cell r="U396">
            <v>100</v>
          </cell>
        </row>
        <row r="397">
          <cell r="O397">
            <v>1000</v>
          </cell>
          <cell r="P397">
            <v>0.99750000000000105</v>
          </cell>
          <cell r="Q397">
            <v>9.5699999999999985</v>
          </cell>
          <cell r="S397">
            <v>0</v>
          </cell>
          <cell r="T397">
            <v>10.555999999999999</v>
          </cell>
          <cell r="U397">
            <v>10.613999999999999</v>
          </cell>
          <cell r="Y397">
            <v>15.654545454545451</v>
          </cell>
          <cell r="Z397">
            <v>71.875</v>
          </cell>
          <cell r="AA397">
            <v>90.15625</v>
          </cell>
          <cell r="AB397">
            <v>96.5625</v>
          </cell>
          <cell r="AC397">
            <v>99.843750000000014</v>
          </cell>
          <cell r="AH397">
            <v>8.7962962962963029</v>
          </cell>
          <cell r="AI397">
            <v>84.183673469387756</v>
          </cell>
          <cell r="AJ397">
            <v>92.34693877551021</v>
          </cell>
          <cell r="AK397">
            <v>92.857142857142847</v>
          </cell>
          <cell r="AL397">
            <v>93.367346938775526</v>
          </cell>
        </row>
        <row r="398">
          <cell r="O398">
            <v>200</v>
          </cell>
          <cell r="P398">
            <v>0.06</v>
          </cell>
          <cell r="Q398">
            <v>2.9545871559633019</v>
          </cell>
          <cell r="S398">
            <v>4.6651376146788994</v>
          </cell>
          <cell r="T398">
            <v>6.5311926605504569</v>
          </cell>
          <cell r="U398">
            <v>8.4490825688073379</v>
          </cell>
          <cell r="Y398">
            <v>15.654545454545451</v>
          </cell>
          <cell r="Z398">
            <v>80.487804878048777</v>
          </cell>
          <cell r="AA398">
            <v>87.979094076655059</v>
          </cell>
          <cell r="AB398">
            <v>90.940766550522653</v>
          </cell>
          <cell r="AC398">
            <v>99.303135888501743</v>
          </cell>
          <cell r="AH398">
            <v>8.7962962962963029</v>
          </cell>
          <cell r="AI398">
            <v>26.146788990825687</v>
          </cell>
          <cell r="AJ398">
            <v>41.284403669724774</v>
          </cell>
          <cell r="AK398">
            <v>57.798165137614689</v>
          </cell>
          <cell r="AL398">
            <v>74.77064220183486</v>
          </cell>
        </row>
        <row r="399">
          <cell r="H399">
            <v>0</v>
          </cell>
          <cell r="I399">
            <v>25</v>
          </cell>
          <cell r="J399">
            <v>50</v>
          </cell>
          <cell r="K399">
            <v>75</v>
          </cell>
          <cell r="L399">
            <v>100</v>
          </cell>
          <cell r="O399">
            <v>500</v>
          </cell>
          <cell r="P399">
            <v>0.06</v>
          </cell>
          <cell r="Q399">
            <v>3.9912844036697259</v>
          </cell>
          <cell r="S399">
            <v>7.0495412844036682</v>
          </cell>
          <cell r="T399">
            <v>7.9307339449541292</v>
          </cell>
          <cell r="U399">
            <v>9.2266055045871553</v>
          </cell>
          <cell r="Y399">
            <v>15.654545454545451</v>
          </cell>
          <cell r="Z399">
            <v>52.090592334494779</v>
          </cell>
          <cell r="AA399">
            <v>69.163763066202094</v>
          </cell>
          <cell r="AB399">
            <v>68.118466898954694</v>
          </cell>
          <cell r="AC399">
            <v>87.804878048780495</v>
          </cell>
          <cell r="AH399">
            <v>8.7962962962963029</v>
          </cell>
          <cell r="AI399">
            <v>35.321100917431203</v>
          </cell>
          <cell r="AJ399">
            <v>62.385321100917444</v>
          </cell>
          <cell r="AK399">
            <v>70.183486238532112</v>
          </cell>
          <cell r="AL399">
            <v>81.651376146789005</v>
          </cell>
        </row>
        <row r="400">
          <cell r="G400">
            <v>1000</v>
          </cell>
          <cell r="H400">
            <v>4.3050000000000006</v>
          </cell>
          <cell r="I400">
            <v>22.080000000000002</v>
          </cell>
          <cell r="J400">
            <v>27.696000000000005</v>
          </cell>
          <cell r="K400">
            <v>29.664000000000005</v>
          </cell>
          <cell r="L400">
            <v>30.672000000000004</v>
          </cell>
        </row>
        <row r="401">
          <cell r="G401">
            <v>500</v>
          </cell>
          <cell r="H401">
            <v>0.26</v>
          </cell>
          <cell r="I401">
            <v>24.790243902439027</v>
          </cell>
          <cell r="J401">
            <v>27.097560975609763</v>
          </cell>
          <cell r="K401">
            <v>28.009756097560977</v>
          </cell>
          <cell r="L401">
            <v>30.585365853658544</v>
          </cell>
        </row>
        <row r="402">
          <cell r="G402">
            <v>200</v>
          </cell>
          <cell r="H402">
            <v>0.26</v>
          </cell>
          <cell r="I402">
            <v>16.043902439024393</v>
          </cell>
          <cell r="J402">
            <v>21.302439024390246</v>
          </cell>
          <cell r="K402">
            <v>20.980487804878049</v>
          </cell>
          <cell r="L402">
            <v>27.043902439024397</v>
          </cell>
        </row>
        <row r="444">
          <cell r="H444">
            <v>25</v>
          </cell>
          <cell r="I444">
            <v>50</v>
          </cell>
          <cell r="J444">
            <v>75</v>
          </cell>
          <cell r="K444">
            <v>100</v>
          </cell>
        </row>
        <row r="445">
          <cell r="G445">
            <v>200</v>
          </cell>
          <cell r="H445">
            <v>0.47210470619053035</v>
          </cell>
          <cell r="I445">
            <v>0.45283127149986319</v>
          </cell>
          <cell r="J445">
            <v>0.79514933885155115</v>
          </cell>
          <cell r="K445">
            <v>1.5897266881041259</v>
          </cell>
        </row>
        <row r="446">
          <cell r="G446">
            <v>500</v>
          </cell>
          <cell r="H446">
            <v>0.47210470619053035</v>
          </cell>
          <cell r="I446">
            <v>0.90252293496449054</v>
          </cell>
          <cell r="J446">
            <v>2.1990977564979719</v>
          </cell>
          <cell r="K446">
            <v>2.1356579395343993</v>
          </cell>
        </row>
        <row r="447">
          <cell r="G447">
            <v>1000</v>
          </cell>
          <cell r="H447">
            <v>2.3125046801392815</v>
          </cell>
          <cell r="J447">
            <v>2.5800938902801027</v>
          </cell>
          <cell r="K447">
            <v>1.954819290154111</v>
          </cell>
        </row>
        <row r="450">
          <cell r="AD450" t="str">
            <v>Photoperiod</v>
          </cell>
        </row>
        <row r="451">
          <cell r="AD451">
            <v>100</v>
          </cell>
          <cell r="AF451">
            <v>-0.2</v>
          </cell>
        </row>
        <row r="452">
          <cell r="H452">
            <v>250</v>
          </cell>
          <cell r="I452">
            <v>500</v>
          </cell>
          <cell r="J452">
            <v>750</v>
          </cell>
          <cell r="K452">
            <v>1000</v>
          </cell>
          <cell r="L452">
            <v>125</v>
          </cell>
          <cell r="M452">
            <v>375</v>
          </cell>
          <cell r="N452">
            <v>50</v>
          </cell>
          <cell r="O452">
            <v>100</v>
          </cell>
          <cell r="P452">
            <v>150</v>
          </cell>
          <cell r="Q452">
            <v>200</v>
          </cell>
          <cell r="AD452">
            <v>100</v>
          </cell>
          <cell r="AF452">
            <v>0.05</v>
          </cell>
        </row>
        <row r="453">
          <cell r="G453" t="str">
            <v>1000 pulse</v>
          </cell>
          <cell r="H453">
            <v>2.3125046801392815</v>
          </cell>
          <cell r="J453">
            <v>2.5800938902801027</v>
          </cell>
          <cell r="K453">
            <v>1.954819290154111</v>
          </cell>
          <cell r="AD453">
            <v>100</v>
          </cell>
          <cell r="AF453">
            <v>1.34</v>
          </cell>
        </row>
        <row r="454">
          <cell r="G454" t="str">
            <v>500 pulse</v>
          </cell>
          <cell r="H454">
            <v>0.90252293496449054</v>
          </cell>
          <cell r="I454">
            <v>2.1356579395343993</v>
          </cell>
          <cell r="L454">
            <v>0.47210470619053035</v>
          </cell>
          <cell r="M454">
            <v>2.1990977564979719</v>
          </cell>
          <cell r="AD454">
            <v>100</v>
          </cell>
          <cell r="AF454">
            <v>2.33</v>
          </cell>
        </row>
        <row r="455">
          <cell r="G455" t="str">
            <v>200 pulse</v>
          </cell>
          <cell r="N455">
            <v>0.47210470619053035</v>
          </cell>
          <cell r="O455">
            <v>0.45283127149986319</v>
          </cell>
          <cell r="P455">
            <v>0.79514933885155115</v>
          </cell>
          <cell r="Q455">
            <v>1.5897266881041259</v>
          </cell>
          <cell r="AD455">
            <v>500</v>
          </cell>
          <cell r="AF455">
            <v>2.2999999999999998</v>
          </cell>
        </row>
        <row r="456">
          <cell r="G456" t="str">
            <v xml:space="preserve">50 constant </v>
          </cell>
          <cell r="N456">
            <v>0.89840717231316214</v>
          </cell>
          <cell r="AD456">
            <v>500</v>
          </cell>
          <cell r="AF456">
            <v>2.09</v>
          </cell>
        </row>
        <row r="457">
          <cell r="G457" t="str">
            <v xml:space="preserve">200 constant </v>
          </cell>
          <cell r="Q457">
            <v>1.2261177431121975</v>
          </cell>
          <cell r="AD457">
            <v>500</v>
          </cell>
          <cell r="AF457">
            <v>2.82</v>
          </cell>
        </row>
        <row r="458">
          <cell r="G458" t="str">
            <v xml:space="preserve">500 constant </v>
          </cell>
          <cell r="I458">
            <v>1.3548187354518737</v>
          </cell>
          <cell r="AD458">
            <v>500</v>
          </cell>
          <cell r="AF458">
            <v>1.97</v>
          </cell>
        </row>
        <row r="459">
          <cell r="G459" t="str">
            <v xml:space="preserve">1000 constant </v>
          </cell>
          <cell r="K459">
            <v>1.698616161208566</v>
          </cell>
        </row>
        <row r="460">
          <cell r="AD460" t="str">
            <v xml:space="preserve">Constant </v>
          </cell>
          <cell r="AH460" t="str">
            <v xml:space="preserve">Pulse </v>
          </cell>
        </row>
        <row r="462">
          <cell r="AD462">
            <v>500</v>
          </cell>
          <cell r="AF462">
            <v>1.35</v>
          </cell>
          <cell r="AH462">
            <v>250</v>
          </cell>
          <cell r="AI462">
            <v>2.3125046801392815</v>
          </cell>
        </row>
        <row r="463">
          <cell r="AD463">
            <v>1000</v>
          </cell>
          <cell r="AF463">
            <v>1.698616161208566</v>
          </cell>
          <cell r="AH463">
            <v>250</v>
          </cell>
          <cell r="AI463">
            <v>0.90252293496449054</v>
          </cell>
        </row>
        <row r="464">
          <cell r="AD464">
            <v>50</v>
          </cell>
          <cell r="AF464">
            <v>0.89840717231316214</v>
          </cell>
          <cell r="AH464">
            <v>500</v>
          </cell>
          <cell r="AI464">
            <v>2.1356579395343993</v>
          </cell>
        </row>
        <row r="465">
          <cell r="Q465">
            <v>250</v>
          </cell>
          <cell r="S465">
            <v>2.3125046801392815</v>
          </cell>
          <cell r="AD465">
            <v>200</v>
          </cell>
          <cell r="AF465">
            <v>1.2261177431121975</v>
          </cell>
          <cell r="AH465">
            <v>500</v>
          </cell>
        </row>
        <row r="466">
          <cell r="Q466">
            <v>250</v>
          </cell>
          <cell r="S466">
            <v>0.90252293496449054</v>
          </cell>
          <cell r="AH466">
            <v>750</v>
          </cell>
          <cell r="AI466">
            <v>2.5800938902801027</v>
          </cell>
        </row>
        <row r="467">
          <cell r="Q467">
            <v>500</v>
          </cell>
          <cell r="S467">
            <v>1.35</v>
          </cell>
          <cell r="AH467">
            <v>1000</v>
          </cell>
          <cell r="AI467">
            <v>1.954819290154111</v>
          </cell>
        </row>
        <row r="468">
          <cell r="Q468">
            <v>500</v>
          </cell>
          <cell r="S468">
            <v>2.1356579395343993</v>
          </cell>
          <cell r="AH468">
            <v>125</v>
          </cell>
          <cell r="AI468">
            <v>0.47210470619053035</v>
          </cell>
        </row>
        <row r="469">
          <cell r="Q469">
            <v>500</v>
          </cell>
          <cell r="S469">
            <v>0</v>
          </cell>
          <cell r="AH469">
            <v>375</v>
          </cell>
          <cell r="AI469">
            <v>2.1990977564979719</v>
          </cell>
        </row>
        <row r="470">
          <cell r="Q470">
            <v>750</v>
          </cell>
          <cell r="S470">
            <v>2.5800938902801027</v>
          </cell>
          <cell r="AH470">
            <v>50</v>
          </cell>
          <cell r="AI470">
            <v>0.47210470619053035</v>
          </cell>
        </row>
        <row r="471">
          <cell r="Q471">
            <v>1000</v>
          </cell>
          <cell r="S471">
            <v>1.954819290154111</v>
          </cell>
          <cell r="AH471">
            <v>100</v>
          </cell>
          <cell r="AI471">
            <v>0.45283127149986319</v>
          </cell>
        </row>
        <row r="472">
          <cell r="Q472">
            <v>1000</v>
          </cell>
          <cell r="S472">
            <v>1.698616161208566</v>
          </cell>
          <cell r="AH472">
            <v>150</v>
          </cell>
          <cell r="AI472">
            <v>0.79514933885155115</v>
          </cell>
        </row>
        <row r="473">
          <cell r="Q473">
            <v>125</v>
          </cell>
          <cell r="S473">
            <v>0.47210470619053035</v>
          </cell>
          <cell r="AH473">
            <v>200</v>
          </cell>
          <cell r="AI473">
            <v>1.5897266881041259</v>
          </cell>
        </row>
        <row r="474">
          <cell r="Q474">
            <v>375</v>
          </cell>
          <cell r="S474">
            <v>2.1990977564979719</v>
          </cell>
        </row>
        <row r="475">
          <cell r="Q475">
            <v>50</v>
          </cell>
          <cell r="S475">
            <v>0.47210470619053035</v>
          </cell>
        </row>
        <row r="476">
          <cell r="Q476">
            <v>50</v>
          </cell>
          <cell r="S476">
            <v>0.89840717231316214</v>
          </cell>
        </row>
        <row r="477">
          <cell r="Q477">
            <v>100</v>
          </cell>
          <cell r="S477">
            <v>0.45283127149986319</v>
          </cell>
        </row>
        <row r="478">
          <cell r="Q478">
            <v>150</v>
          </cell>
          <cell r="S478">
            <v>0.79514933885155115</v>
          </cell>
        </row>
        <row r="479">
          <cell r="Q479">
            <v>200</v>
          </cell>
          <cell r="S479">
            <v>1.5897266881041259</v>
          </cell>
        </row>
        <row r="480">
          <cell r="Q480">
            <v>200</v>
          </cell>
          <cell r="S480">
            <v>1.2261177431121975</v>
          </cell>
        </row>
        <row r="483">
          <cell r="T483">
            <v>75</v>
          </cell>
          <cell r="U483">
            <v>100</v>
          </cell>
        </row>
        <row r="484">
          <cell r="F484" t="str">
            <v>1000 µmol.m-2.s-1</v>
          </cell>
          <cell r="T484">
            <v>10.555999999999999</v>
          </cell>
          <cell r="U484">
            <v>10.613999999999999</v>
          </cell>
        </row>
        <row r="485">
          <cell r="F485" t="str">
            <v>500 µmol.m-2.s-1</v>
          </cell>
          <cell r="T485">
            <v>6.5311926605504569</v>
          </cell>
          <cell r="U485">
            <v>8.4490825688073379</v>
          </cell>
        </row>
        <row r="486">
          <cell r="F486" t="str">
            <v>200 µmol.m-2.s-1</v>
          </cell>
          <cell r="G486">
            <v>0</v>
          </cell>
          <cell r="H486">
            <v>25</v>
          </cell>
          <cell r="I486">
            <v>50</v>
          </cell>
          <cell r="J486">
            <v>75</v>
          </cell>
          <cell r="K486">
            <v>100</v>
          </cell>
          <cell r="P486">
            <v>0</v>
          </cell>
          <cell r="Q486">
            <v>25</v>
          </cell>
          <cell r="S486">
            <v>50</v>
          </cell>
          <cell r="T486">
            <v>7.9307339449541292</v>
          </cell>
          <cell r="U486">
            <v>9.2266055045871553</v>
          </cell>
        </row>
        <row r="487">
          <cell r="G487">
            <v>5.7085714285714291</v>
          </cell>
          <cell r="H487">
            <v>22.080000000000002</v>
          </cell>
          <cell r="I487">
            <v>27.696000000000005</v>
          </cell>
          <cell r="J487">
            <v>29.664000000000005</v>
          </cell>
          <cell r="K487">
            <v>30.672000000000004</v>
          </cell>
          <cell r="O487" t="str">
            <v>1000 µmol.m-2.s-1</v>
          </cell>
        </row>
        <row r="488">
          <cell r="G488">
            <v>5.7085714285714291</v>
          </cell>
          <cell r="H488">
            <v>24.790243902439027</v>
          </cell>
          <cell r="I488">
            <v>27.097560975609763</v>
          </cell>
          <cell r="J488">
            <v>29.664000000000005</v>
          </cell>
          <cell r="K488">
            <v>30.585365853658544</v>
          </cell>
          <cell r="O488" t="str">
            <v>200 µmol.m-2.s-1</v>
          </cell>
        </row>
        <row r="489">
          <cell r="G489">
            <v>5.7085714285714291</v>
          </cell>
          <cell r="H489">
            <v>16.043902439024393</v>
          </cell>
          <cell r="I489">
            <v>21.302439024390246</v>
          </cell>
          <cell r="J489">
            <v>20.980487804878049</v>
          </cell>
          <cell r="K489">
            <v>27.043902439024397</v>
          </cell>
          <cell r="O489" t="str">
            <v>500 µmol.m-2.s-1</v>
          </cell>
        </row>
      </sheetData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ght paper"/>
      <sheetName val="Depth graphs"/>
      <sheetName val="Optimisation paper "/>
    </sheetNames>
    <sheetDataSet>
      <sheetData sheetId="0">
        <row r="6">
          <cell r="B6">
            <v>-3</v>
          </cell>
          <cell r="C6">
            <v>0</v>
          </cell>
          <cell r="D6">
            <v>10</v>
          </cell>
          <cell r="E6">
            <v>20</v>
          </cell>
          <cell r="F6">
            <v>30</v>
          </cell>
          <cell r="G6">
            <v>40</v>
          </cell>
          <cell r="H6">
            <v>50</v>
          </cell>
          <cell r="L6">
            <v>10</v>
          </cell>
          <cell r="M6">
            <v>25</v>
          </cell>
          <cell r="N6">
            <v>30</v>
          </cell>
          <cell r="O6">
            <v>40</v>
          </cell>
          <cell r="AI6">
            <v>10</v>
          </cell>
          <cell r="AJ6">
            <v>20</v>
          </cell>
          <cell r="AK6">
            <v>30</v>
          </cell>
          <cell r="AL6">
            <v>40</v>
          </cell>
        </row>
        <row r="7">
          <cell r="B7">
            <v>1000</v>
          </cell>
          <cell r="C7">
            <v>936</v>
          </cell>
          <cell r="D7">
            <v>767</v>
          </cell>
          <cell r="E7">
            <v>602</v>
          </cell>
          <cell r="F7">
            <v>213</v>
          </cell>
          <cell r="G7">
            <v>70</v>
          </cell>
          <cell r="H7">
            <v>28</v>
          </cell>
          <cell r="K7">
            <v>1000</v>
          </cell>
          <cell r="L7">
            <v>783</v>
          </cell>
          <cell r="M7">
            <v>666</v>
          </cell>
          <cell r="N7">
            <v>348</v>
          </cell>
          <cell r="O7">
            <v>164</v>
          </cell>
          <cell r="AH7" t="str">
            <v xml:space="preserve">Resin </v>
          </cell>
          <cell r="AI7">
            <v>153</v>
          </cell>
          <cell r="AJ7">
            <v>270</v>
          </cell>
          <cell r="AK7">
            <v>588</v>
          </cell>
          <cell r="AL7">
            <v>772</v>
          </cell>
          <cell r="AR7">
            <v>62.5</v>
          </cell>
          <cell r="AS7">
            <v>106.5</v>
          </cell>
          <cell r="AT7">
            <v>275.5</v>
          </cell>
          <cell r="AU7">
            <v>392.5</v>
          </cell>
          <cell r="BA7">
            <v>342</v>
          </cell>
          <cell r="BB7">
            <v>525</v>
          </cell>
          <cell r="BC7">
            <v>771</v>
          </cell>
          <cell r="BD7">
            <v>882</v>
          </cell>
        </row>
        <row r="8">
          <cell r="AH8" t="str">
            <v>Biomass</v>
          </cell>
          <cell r="AI8">
            <v>16</v>
          </cell>
          <cell r="AJ8">
            <v>64</v>
          </cell>
          <cell r="AK8">
            <v>135</v>
          </cell>
          <cell r="AL8">
            <v>94</v>
          </cell>
          <cell r="AR8">
            <v>-8</v>
          </cell>
          <cell r="AS8">
            <v>-23</v>
          </cell>
          <cell r="AT8">
            <v>167</v>
          </cell>
          <cell r="AU8">
            <v>130</v>
          </cell>
          <cell r="BA8">
            <v>-212</v>
          </cell>
          <cell r="BB8">
            <v>-233.5</v>
          </cell>
          <cell r="BC8">
            <v>112</v>
          </cell>
          <cell r="BD8">
            <v>31</v>
          </cell>
        </row>
        <row r="9">
          <cell r="AH9" t="str">
            <v xml:space="preserve">Lost </v>
          </cell>
          <cell r="AI9">
            <v>767</v>
          </cell>
          <cell r="AJ9">
            <v>602</v>
          </cell>
          <cell r="AK9">
            <v>213</v>
          </cell>
          <cell r="AL9">
            <v>70</v>
          </cell>
          <cell r="AR9">
            <v>503</v>
          </cell>
          <cell r="AS9">
            <v>474</v>
          </cell>
          <cell r="AT9">
            <v>115</v>
          </cell>
          <cell r="AU9">
            <v>35</v>
          </cell>
          <cell r="BA9">
            <v>789</v>
          </cell>
          <cell r="BB9">
            <v>627.5</v>
          </cell>
          <cell r="BC9">
            <v>36</v>
          </cell>
          <cell r="BD9">
            <v>6</v>
          </cell>
        </row>
        <row r="10">
          <cell r="B10">
            <v>800</v>
          </cell>
          <cell r="C10">
            <v>758</v>
          </cell>
          <cell r="D10">
            <v>624</v>
          </cell>
          <cell r="E10">
            <v>492</v>
          </cell>
          <cell r="F10">
            <v>172</v>
          </cell>
          <cell r="G10">
            <v>57</v>
          </cell>
          <cell r="H10">
            <v>22</v>
          </cell>
          <cell r="K10">
            <v>800</v>
          </cell>
          <cell r="L10">
            <v>631</v>
          </cell>
          <cell r="M10">
            <v>544</v>
          </cell>
          <cell r="N10">
            <v>280</v>
          </cell>
          <cell r="O10">
            <v>133</v>
          </cell>
          <cell r="AG10" t="str">
            <v>Biomass efficiency</v>
          </cell>
          <cell r="AI10">
            <v>1.7094017094017095</v>
          </cell>
          <cell r="AJ10">
            <v>6.8376068376068382</v>
          </cell>
          <cell r="AK10">
            <v>14.423076923076922</v>
          </cell>
          <cell r="AL10">
            <v>10.042735042735043</v>
          </cell>
          <cell r="AR10">
            <v>-1.4349775784753362</v>
          </cell>
          <cell r="AS10">
            <v>-4.1255605381165923</v>
          </cell>
          <cell r="AT10">
            <v>29.955156950672645</v>
          </cell>
          <cell r="AU10">
            <v>23.318385650224215</v>
          </cell>
          <cell r="BA10">
            <v>-23.068552774755169</v>
          </cell>
          <cell r="BB10">
            <v>-25.408052230685531</v>
          </cell>
          <cell r="BC10">
            <v>12.18715995647443</v>
          </cell>
          <cell r="BD10">
            <v>3.3732317736670292</v>
          </cell>
        </row>
        <row r="11">
          <cell r="AG11" t="str">
            <v xml:space="preserve">Lost efficiency </v>
          </cell>
          <cell r="AI11">
            <v>81.944444444444443</v>
          </cell>
          <cell r="AJ11">
            <v>64.316239316239319</v>
          </cell>
          <cell r="AK11">
            <v>22.756410256410255</v>
          </cell>
          <cell r="AL11">
            <v>7.4786324786324787</v>
          </cell>
          <cell r="AR11">
            <v>90.224215246636774</v>
          </cell>
          <cell r="AS11">
            <v>85.02242152466367</v>
          </cell>
          <cell r="AT11">
            <v>20.627802690582961</v>
          </cell>
          <cell r="AU11">
            <v>6.2780269058295968</v>
          </cell>
          <cell r="BA11">
            <v>85.854189336235038</v>
          </cell>
          <cell r="BB11">
            <v>68.280739934711647</v>
          </cell>
          <cell r="BC11">
            <v>3.9173014145810661</v>
          </cell>
          <cell r="BD11">
            <v>0.65288356909684442</v>
          </cell>
        </row>
        <row r="13">
          <cell r="B13">
            <v>600</v>
          </cell>
          <cell r="C13">
            <v>567</v>
          </cell>
          <cell r="D13">
            <v>471</v>
          </cell>
          <cell r="E13">
            <v>373</v>
          </cell>
          <cell r="F13">
            <v>129</v>
          </cell>
          <cell r="G13">
            <v>43</v>
          </cell>
          <cell r="H13">
            <v>16</v>
          </cell>
          <cell r="K13">
            <v>600</v>
          </cell>
          <cell r="L13">
            <v>472</v>
          </cell>
          <cell r="M13">
            <v>410</v>
          </cell>
          <cell r="N13">
            <v>210</v>
          </cell>
          <cell r="O13">
            <v>100</v>
          </cell>
        </row>
        <row r="16">
          <cell r="B16">
            <v>400</v>
          </cell>
          <cell r="C16">
            <v>362</v>
          </cell>
          <cell r="D16">
            <v>339</v>
          </cell>
          <cell r="E16">
            <v>248</v>
          </cell>
          <cell r="F16">
            <v>83</v>
          </cell>
          <cell r="G16">
            <v>27</v>
          </cell>
          <cell r="H16">
            <v>10</v>
          </cell>
          <cell r="K16">
            <v>400</v>
          </cell>
          <cell r="L16">
            <v>302</v>
          </cell>
          <cell r="M16">
            <v>267</v>
          </cell>
          <cell r="N16">
            <v>139</v>
          </cell>
          <cell r="O16">
            <v>64</v>
          </cell>
        </row>
        <row r="19">
          <cell r="B19">
            <v>200</v>
          </cell>
          <cell r="C19">
            <v>185</v>
          </cell>
          <cell r="D19">
            <v>175</v>
          </cell>
          <cell r="E19">
            <v>125</v>
          </cell>
          <cell r="F19">
            <v>42.5</v>
          </cell>
          <cell r="G19">
            <v>13</v>
          </cell>
          <cell r="H19">
            <v>5</v>
          </cell>
          <cell r="K19">
            <v>200</v>
          </cell>
          <cell r="L19">
            <v>154</v>
          </cell>
          <cell r="M19">
            <v>136</v>
          </cell>
          <cell r="N19">
            <v>71</v>
          </cell>
          <cell r="O19">
            <v>32</v>
          </cell>
        </row>
        <row r="22">
          <cell r="B22">
            <v>100</v>
          </cell>
          <cell r="C22">
            <v>96</v>
          </cell>
          <cell r="D22">
            <v>94</v>
          </cell>
          <cell r="E22">
            <v>65</v>
          </cell>
          <cell r="F22">
            <v>21</v>
          </cell>
          <cell r="G22">
            <v>7</v>
          </cell>
          <cell r="H22">
            <v>3</v>
          </cell>
          <cell r="K22">
            <v>100</v>
          </cell>
          <cell r="L22">
            <v>81</v>
          </cell>
          <cell r="M22">
            <v>71</v>
          </cell>
          <cell r="N22">
            <v>37</v>
          </cell>
          <cell r="O22">
            <v>16</v>
          </cell>
        </row>
        <row r="30">
          <cell r="B30">
            <v>1000</v>
          </cell>
          <cell r="C30">
            <v>557.5</v>
          </cell>
          <cell r="D30">
            <v>503</v>
          </cell>
          <cell r="E30">
            <v>474</v>
          </cell>
          <cell r="F30">
            <v>115</v>
          </cell>
          <cell r="G30">
            <v>35</v>
          </cell>
          <cell r="H30">
            <v>12</v>
          </cell>
        </row>
        <row r="33">
          <cell r="B33">
            <v>800</v>
          </cell>
          <cell r="C33">
            <v>469</v>
          </cell>
          <cell r="D33">
            <v>416</v>
          </cell>
          <cell r="E33">
            <v>391</v>
          </cell>
          <cell r="F33">
            <v>76</v>
          </cell>
          <cell r="G33">
            <v>29</v>
          </cell>
          <cell r="H33">
            <v>10</v>
          </cell>
        </row>
        <row r="34">
          <cell r="AI34">
            <v>31</v>
          </cell>
          <cell r="AJ34">
            <v>49</v>
          </cell>
          <cell r="AK34">
            <v>114</v>
          </cell>
          <cell r="AL34">
            <v>153</v>
          </cell>
        </row>
        <row r="35">
          <cell r="AI35">
            <v>-21</v>
          </cell>
          <cell r="AJ35">
            <v>11</v>
          </cell>
          <cell r="AK35">
            <v>28.5</v>
          </cell>
          <cell r="AL35">
            <v>19</v>
          </cell>
        </row>
        <row r="36">
          <cell r="B36">
            <v>600</v>
          </cell>
          <cell r="C36">
            <v>366</v>
          </cell>
          <cell r="D36">
            <v>323</v>
          </cell>
          <cell r="E36">
            <v>304</v>
          </cell>
          <cell r="F36">
            <v>59</v>
          </cell>
          <cell r="G36">
            <v>22</v>
          </cell>
          <cell r="H36">
            <v>7</v>
          </cell>
          <cell r="AI36">
            <v>175</v>
          </cell>
          <cell r="AJ36">
            <v>125</v>
          </cell>
          <cell r="AK36">
            <v>42.5</v>
          </cell>
          <cell r="AL36">
            <v>13</v>
          </cell>
        </row>
        <row r="37">
          <cell r="AI37">
            <v>-2.2435897435897436</v>
          </cell>
          <cell r="AJ37">
            <v>1.1752136752136753</v>
          </cell>
          <cell r="AK37">
            <v>3.0448717948717947</v>
          </cell>
          <cell r="AL37">
            <v>2.0299145299145298</v>
          </cell>
        </row>
        <row r="38">
          <cell r="AI38">
            <v>18.696581196581196</v>
          </cell>
          <cell r="AJ38">
            <v>13.354700854700855</v>
          </cell>
          <cell r="AK38">
            <v>4.5405982905982905</v>
          </cell>
          <cell r="AL38">
            <v>1.3888888888888888</v>
          </cell>
        </row>
        <row r="39">
          <cell r="B39">
            <v>400</v>
          </cell>
          <cell r="C39">
            <v>252</v>
          </cell>
          <cell r="D39">
            <v>223</v>
          </cell>
          <cell r="E39">
            <v>210</v>
          </cell>
          <cell r="F39">
            <v>41</v>
          </cell>
          <cell r="G39">
            <v>15</v>
          </cell>
          <cell r="H39">
            <v>5</v>
          </cell>
        </row>
        <row r="42">
          <cell r="B42">
            <v>200</v>
          </cell>
          <cell r="C42">
            <v>132</v>
          </cell>
          <cell r="D42">
            <v>116</v>
          </cell>
          <cell r="E42">
            <v>110</v>
          </cell>
          <cell r="F42">
            <v>20</v>
          </cell>
          <cell r="G42">
            <v>7</v>
          </cell>
          <cell r="H42">
            <v>3</v>
          </cell>
        </row>
        <row r="45">
          <cell r="B45">
            <v>100</v>
          </cell>
          <cell r="C45">
            <v>68</v>
          </cell>
          <cell r="D45">
            <v>60</v>
          </cell>
          <cell r="E45">
            <v>56</v>
          </cell>
          <cell r="F45">
            <v>10</v>
          </cell>
          <cell r="G45">
            <v>4</v>
          </cell>
          <cell r="H45">
            <v>2</v>
          </cell>
        </row>
        <row r="52">
          <cell r="B52">
            <v>-3</v>
          </cell>
          <cell r="C52">
            <v>0</v>
          </cell>
          <cell r="D52">
            <v>10</v>
          </cell>
          <cell r="E52">
            <v>20</v>
          </cell>
          <cell r="F52">
            <v>30</v>
          </cell>
          <cell r="G52">
            <v>40</v>
          </cell>
          <cell r="H52">
            <v>50</v>
          </cell>
        </row>
        <row r="53">
          <cell r="B53">
            <v>1000</v>
          </cell>
          <cell r="C53">
            <v>919</v>
          </cell>
          <cell r="D53">
            <v>789</v>
          </cell>
          <cell r="E53">
            <v>627.5</v>
          </cell>
          <cell r="F53">
            <v>36</v>
          </cell>
          <cell r="G53">
            <v>6</v>
          </cell>
          <cell r="H53">
            <v>2</v>
          </cell>
        </row>
        <row r="56">
          <cell r="B56">
            <v>800</v>
          </cell>
          <cell r="C56">
            <v>738</v>
          </cell>
          <cell r="D56">
            <v>632</v>
          </cell>
          <cell r="E56">
            <v>561</v>
          </cell>
          <cell r="F56">
            <v>29</v>
          </cell>
          <cell r="G56">
            <v>5</v>
          </cell>
          <cell r="H56">
            <v>1</v>
          </cell>
        </row>
        <row r="59">
          <cell r="B59">
            <v>600</v>
          </cell>
          <cell r="C59">
            <v>565</v>
          </cell>
          <cell r="D59">
            <v>484</v>
          </cell>
          <cell r="E59">
            <v>385</v>
          </cell>
          <cell r="F59">
            <v>22</v>
          </cell>
          <cell r="G59">
            <v>4</v>
          </cell>
          <cell r="H59">
            <v>1</v>
          </cell>
        </row>
        <row r="62">
          <cell r="B62">
            <v>400</v>
          </cell>
          <cell r="C62">
            <v>375</v>
          </cell>
          <cell r="D62">
            <v>323</v>
          </cell>
          <cell r="E62">
            <v>257</v>
          </cell>
          <cell r="F62">
            <v>14</v>
          </cell>
          <cell r="G62">
            <v>3</v>
          </cell>
          <cell r="H62">
            <v>1</v>
          </cell>
        </row>
        <row r="65">
          <cell r="B65">
            <v>200</v>
          </cell>
          <cell r="C65">
            <v>191</v>
          </cell>
          <cell r="D65">
            <v>165</v>
          </cell>
          <cell r="E65">
            <v>132</v>
          </cell>
          <cell r="F65">
            <v>7</v>
          </cell>
          <cell r="G65">
            <v>2</v>
          </cell>
          <cell r="H65">
            <v>1</v>
          </cell>
        </row>
        <row r="68">
          <cell r="B68">
            <v>100</v>
          </cell>
          <cell r="C68">
            <v>99</v>
          </cell>
          <cell r="D68">
            <v>86</v>
          </cell>
          <cell r="E68">
            <v>69</v>
          </cell>
          <cell r="F68">
            <v>4</v>
          </cell>
          <cell r="G68">
            <v>1</v>
          </cell>
          <cell r="H68">
            <v>1</v>
          </cell>
        </row>
        <row r="113">
          <cell r="C113">
            <v>0</v>
          </cell>
          <cell r="D113">
            <v>0</v>
          </cell>
          <cell r="E113">
            <v>1</v>
          </cell>
          <cell r="F113">
            <v>1</v>
          </cell>
          <cell r="G113">
            <v>1</v>
          </cell>
          <cell r="H113">
            <v>1</v>
          </cell>
          <cell r="I113">
            <v>1</v>
          </cell>
          <cell r="K113">
            <v>1</v>
          </cell>
          <cell r="L113">
            <v>1</v>
          </cell>
          <cell r="M113">
            <v>1</v>
          </cell>
          <cell r="N113">
            <v>1</v>
          </cell>
        </row>
        <row r="114">
          <cell r="C114">
            <v>5</v>
          </cell>
          <cell r="D114">
            <v>10</v>
          </cell>
          <cell r="E114">
            <v>0.52294443750184616</v>
          </cell>
          <cell r="F114">
            <v>0.23561194770305552</v>
          </cell>
          <cell r="G114">
            <v>0.28425553811647869</v>
          </cell>
          <cell r="H114">
            <v>0.64698170459835047</v>
          </cell>
          <cell r="I114">
            <v>0.73758108034632019</v>
          </cell>
          <cell r="K114">
            <v>0.44794176116017753</v>
          </cell>
          <cell r="L114">
            <v>0.95638041662214657</v>
          </cell>
          <cell r="M114">
            <v>0.94671621985770216</v>
          </cell>
          <cell r="N114">
            <v>0.83495949007245729</v>
          </cell>
        </row>
        <row r="115">
          <cell r="C115">
            <v>20</v>
          </cell>
          <cell r="D115">
            <v>20</v>
          </cell>
          <cell r="E115">
            <v>0.27347088471412234</v>
          </cell>
          <cell r="F115">
            <v>5.5512989900427377E-2</v>
          </cell>
          <cell r="G115">
            <v>8.0801210949888874E-2</v>
          </cell>
          <cell r="H115">
            <v>0.41858532608498727</v>
          </cell>
          <cell r="I115">
            <v>0.54402585008484494</v>
          </cell>
          <cell r="K115">
            <v>0.20065182139128154</v>
          </cell>
          <cell r="L115">
            <v>0.83660932060735804</v>
          </cell>
          <cell r="M115">
            <v>0.80330278265452093</v>
          </cell>
          <cell r="N115">
            <v>0.48602837074555066</v>
          </cell>
        </row>
        <row r="116">
          <cell r="C116">
            <v>50</v>
          </cell>
          <cell r="D116">
            <v>30</v>
          </cell>
          <cell r="E116">
            <v>0.14301007797995893</v>
          </cell>
          <cell r="F116">
            <v>1.3079523673259741E-2</v>
          </cell>
          <cell r="G116">
            <v>2.2968191699023779E-2</v>
          </cell>
          <cell r="H116">
            <v>0.27081704779032151</v>
          </cell>
          <cell r="I116">
            <v>0.40126317424190516</v>
          </cell>
          <cell r="K116">
            <v>8.9880330254008059E-2</v>
          </cell>
          <cell r="L116">
            <v>0.64018684658326896</v>
          </cell>
          <cell r="M116">
            <v>0.57835990594355624</v>
          </cell>
          <cell r="N116">
            <v>0.16468500308172054</v>
          </cell>
        </row>
        <row r="117">
          <cell r="C117">
            <v>80</v>
          </cell>
          <cell r="D117">
            <v>40</v>
          </cell>
          <cell r="E117">
            <v>7.4786324786324784E-2</v>
          </cell>
          <cell r="F117">
            <v>3.0816920476849511E-3</v>
          </cell>
          <cell r="G117">
            <v>6.5288356909684415E-3</v>
          </cell>
          <cell r="H117">
            <v>0.17521367521367515</v>
          </cell>
          <cell r="I117">
            <v>0.29596412556053808</v>
          </cell>
          <cell r="K117">
            <v>4.0261153427638759E-2</v>
          </cell>
          <cell r="L117">
            <v>0.48988122465656569</v>
          </cell>
          <cell r="M117">
            <v>0.41640610243833653</v>
          </cell>
          <cell r="N117">
            <v>5.5801578410789886E-2</v>
          </cell>
        </row>
        <row r="118">
          <cell r="C118">
            <v>250</v>
          </cell>
          <cell r="D118">
            <v>50</v>
          </cell>
          <cell r="E118">
            <v>3.9109092548214999E-2</v>
          </cell>
          <cell r="F118">
            <v>7.2608346557606835E-4</v>
          </cell>
          <cell r="G118">
            <v>1.8558577026103085E-3</v>
          </cell>
          <cell r="H118">
            <v>0.11336004225868532</v>
          </cell>
          <cell r="I118">
            <v>0.21829753947469566</v>
          </cell>
          <cell r="K118">
            <v>1.8034651972716618E-2</v>
          </cell>
          <cell r="L118">
            <v>0.10753101221982529</v>
          </cell>
          <cell r="M118">
            <v>6.4712904422833936E-2</v>
          </cell>
          <cell r="N118">
            <v>1.2113517228426568E-4</v>
          </cell>
        </row>
        <row r="119">
          <cell r="C119">
            <v>300</v>
          </cell>
          <cell r="D119">
            <v>60</v>
          </cell>
          <cell r="E119">
            <v>2.0451882403833933E-2</v>
          </cell>
          <cell r="F119">
            <v>1.7107393951936196E-4</v>
          </cell>
          <cell r="G119">
            <v>5.2753782992310486E-4</v>
          </cell>
          <cell r="H119">
            <v>7.3341873373865302E-2</v>
          </cell>
          <cell r="I119">
            <v>0.16101213500268952</v>
          </cell>
          <cell r="K119">
            <v>8.0784737665695553E-3</v>
          </cell>
          <cell r="L119">
            <v>6.8839939622916929E-2</v>
          </cell>
          <cell r="M119">
            <v>3.7427349315324591E-2</v>
          </cell>
          <cell r="N119">
            <v>1.9949146220939059E-5</v>
          </cell>
        </row>
        <row r="120">
          <cell r="C120">
            <v>350</v>
          </cell>
          <cell r="D120">
            <v>70</v>
          </cell>
          <cell r="E120">
            <v>1.0695198139526843E-2</v>
          </cell>
          <cell r="F120">
            <v>4.0307064091391569E-5</v>
          </cell>
          <cell r="G120">
            <v>1.4995554972159161E-4</v>
          </cell>
          <cell r="H120">
            <v>4.7450850253859721E-2</v>
          </cell>
          <cell r="I120">
            <v>0.1187595044841513</v>
          </cell>
          <cell r="K120">
            <v>3.6186857664834583E-3</v>
          </cell>
          <cell r="L120">
            <v>4.4070423866177801E-2</v>
          </cell>
          <cell r="M120">
            <v>2.1646478229727747E-2</v>
          </cell>
          <cell r="N120">
            <v>3.2853252068730384E-6</v>
          </cell>
        </row>
        <row r="121">
          <cell r="C121">
            <v>400</v>
          </cell>
          <cell r="D121">
            <v>80</v>
          </cell>
          <cell r="E121">
            <v>5.5929943750456564E-3</v>
          </cell>
          <cell r="F121">
            <v>9.496825876764668E-6</v>
          </cell>
          <cell r="G121">
            <v>4.2625695479663374E-5</v>
          </cell>
          <cell r="H121">
            <v>3.0699831981883245E-2</v>
          </cell>
          <cell r="I121">
            <v>8.7594763618813978E-2</v>
          </cell>
          <cell r="K121">
            <v>1.6209604753238682E-3</v>
          </cell>
          <cell r="L121">
            <v>2.8213305682476406E-2</v>
          </cell>
          <cell r="M121">
            <v>1.2519455112954584E-2</v>
          </cell>
          <cell r="N121">
            <v>5.4104379181834089E-7</v>
          </cell>
        </row>
        <row r="122">
          <cell r="C122">
            <v>450</v>
          </cell>
          <cell r="D122">
            <v>90</v>
          </cell>
          <cell r="E122">
            <v>2.9248252974092394E-3</v>
          </cell>
          <cell r="F122">
            <v>2.2375656418212998E-6</v>
          </cell>
          <cell r="G122">
            <v>1.211659000616088E-5</v>
          </cell>
          <cell r="H122">
            <v>1.9862229626521784E-2</v>
          </cell>
          <cell r="I122">
            <v>6.4608240382645343E-2</v>
          </cell>
          <cell r="K122">
            <v>7.2609589008761175E-4</v>
          </cell>
          <cell r="L122">
            <v>1.806178719655438E-2</v>
          </cell>
          <cell r="M122">
            <v>7.2407508815929902E-3</v>
          </cell>
          <cell r="N122">
            <v>8.9101798522949295E-8</v>
          </cell>
        </row>
        <row r="123">
          <cell r="C123">
            <v>500</v>
          </cell>
          <cell r="D123">
            <v>100</v>
          </cell>
          <cell r="E123">
            <v>1.5295211199448458E-3</v>
          </cell>
          <cell r="F123">
            <v>5.2719719898295369E-7</v>
          </cell>
          <cell r="G123">
            <v>3.4442078123380123E-6</v>
          </cell>
          <cell r="H123">
            <v>1.2850499180890922E-2</v>
          </cell>
          <cell r="I123">
            <v>4.7653815740706304E-2</v>
          </cell>
          <cell r="K123">
            <v>3.2524867177701139E-4</v>
          </cell>
          <cell r="L123">
            <v>1.1562918589020218E-2</v>
          </cell>
          <cell r="M123">
            <v>4.1877599988388399E-3</v>
          </cell>
          <cell r="N123">
            <v>1.4673729964338731E-8</v>
          </cell>
        </row>
        <row r="124">
          <cell r="C124">
            <v>550</v>
          </cell>
          <cell r="D124">
            <v>110</v>
          </cell>
          <cell r="E124">
            <v>7.9985456171675104E-4</v>
          </cell>
          <cell r="F124">
            <v>1.2421395887596916E-7</v>
          </cell>
          <cell r="G124">
            <v>9.7903514508111926E-7</v>
          </cell>
          <cell r="H124">
            <v>8.3140378649925097E-3</v>
          </cell>
          <cell r="I124">
            <v>3.5148552896654632E-2</v>
          </cell>
          <cell r="K124">
            <v>1.4569246285080296E-4</v>
          </cell>
          <cell r="L124">
            <v>7.4024283888039126E-3</v>
          </cell>
          <cell r="M124">
            <v>2.4220324790426196E-3</v>
          </cell>
          <cell r="N124">
            <v>2.4165432643974564E-9</v>
          </cell>
        </row>
        <row r="125">
          <cell r="C125">
            <v>600</v>
          </cell>
          <cell r="D125">
            <v>120</v>
          </cell>
          <cell r="E125">
            <v>4.1827949386025198E-4</v>
          </cell>
          <cell r="F125">
            <v>2.9266292782674314E-8</v>
          </cell>
          <cell r="G125">
            <v>2.7829616199997866E-7</v>
          </cell>
          <cell r="H125">
            <v>5.3790303899880912E-3</v>
          </cell>
          <cell r="I125">
            <v>2.5924907618124313E-2</v>
          </cell>
          <cell r="K125">
            <v>6.5261738397152502E-5</v>
          </cell>
          <cell r="L125">
            <v>4.7389372872868483E-3</v>
          </cell>
          <cell r="M125">
            <v>1.4008064767713278E-3</v>
          </cell>
          <cell r="N125">
            <v>3.9796843494440703E-10</v>
          </cell>
        </row>
        <row r="126">
          <cell r="C126">
            <v>650</v>
          </cell>
          <cell r="D126">
            <v>130</v>
          </cell>
          <cell r="E126">
            <v>2.1873693463530654E-4</v>
          </cell>
          <cell r="F126">
            <v>6.8954882445737928E-9</v>
          </cell>
          <cell r="G126">
            <v>7.9107225285054887E-8</v>
          </cell>
          <cell r="H126">
            <v>3.4801342508008239E-3</v>
          </cell>
          <cell r="I126">
            <v>1.9121721368854677E-2</v>
          </cell>
          <cell r="K126">
            <v>2.9233458033995216E-5</v>
          </cell>
          <cell r="L126">
            <v>3.0338053181040367E-3</v>
          </cell>
          <cell r="M126">
            <v>8.1017030215058974E-4</v>
          </cell>
          <cell r="N126">
            <v>6.5539432935247103E-11</v>
          </cell>
        </row>
        <row r="127">
          <cell r="C127">
            <v>700</v>
          </cell>
          <cell r="D127">
            <v>140</v>
          </cell>
          <cell r="E127">
            <v>1.1438726324373845E-4</v>
          </cell>
          <cell r="F127">
            <v>1.6246594156675476E-9</v>
          </cell>
          <cell r="G127">
            <v>2.2486666892304732E-8</v>
          </cell>
          <cell r="H127">
            <v>2.2515831898142187E-3</v>
          </cell>
          <cell r="I127">
            <v>1.4103819905321155E-2</v>
          </cell>
          <cell r="K127">
            <v>1.3094886676549976E-5</v>
          </cell>
          <cell r="L127">
            <v>1.9422022597445738E-3</v>
          </cell>
          <cell r="M127">
            <v>4.6857001975007725E-4</v>
          </cell>
          <cell r="N127">
            <v>1.0793361714915373E-11</v>
          </cell>
        </row>
        <row r="128">
          <cell r="C128">
            <v>750</v>
          </cell>
          <cell r="D128">
            <v>150</v>
          </cell>
          <cell r="E128">
            <v>5.9818183034372403E-5</v>
          </cell>
          <cell r="F128">
            <v>3.8278916927954011E-10</v>
          </cell>
          <cell r="G128">
            <v>6.3919595979180954E-9</v>
          </cell>
          <cell r="H128">
            <v>1.4567331301909964E-3</v>
          </cell>
          <cell r="I128">
            <v>1.0402710722776711E-2</v>
          </cell>
          <cell r="K128">
            <v>5.8657466000867379E-6</v>
          </cell>
          <cell r="L128">
            <v>1.2433723400927775E-3</v>
          </cell>
          <cell r="M128">
            <v>2.7100211255062529E-4</v>
          </cell>
          <cell r="N128">
            <v>1.7775048072829672E-12</v>
          </cell>
        </row>
        <row r="129">
          <cell r="C129">
            <v>800</v>
          </cell>
          <cell r="D129">
            <v>160</v>
          </cell>
          <cell r="E129">
            <v>3.1281586079292351E-5</v>
          </cell>
          <cell r="F129">
            <v>9.0189701733587016E-11</v>
          </cell>
          <cell r="G129">
            <v>1.8169499151249946E-9</v>
          </cell>
          <cell r="H129">
            <v>9.4247968371586124E-4</v>
          </cell>
          <cell r="I129">
            <v>7.672842613435895E-3</v>
          </cell>
          <cell r="K129">
            <v>2.6275128625621805E-6</v>
          </cell>
          <cell r="L129">
            <v>7.9599061753285547E-4</v>
          </cell>
          <cell r="M129">
            <v>1.5673675632528469E-4</v>
          </cell>
          <cell r="N129">
            <v>2.9272838466516817E-13</v>
          </cell>
        </row>
        <row r="130">
          <cell r="C130">
            <v>850</v>
          </cell>
          <cell r="D130">
            <v>170</v>
          </cell>
          <cell r="E130">
            <v>1.6358531436401116E-5</v>
          </cell>
          <cell r="F130">
            <v>2.1249771288208064E-11</v>
          </cell>
          <cell r="G130">
            <v>5.1647807585454805E-10</v>
          </cell>
          <cell r="H130">
            <v>6.0976711231980232E-4</v>
          </cell>
          <cell r="I130">
            <v>5.659343544145325E-3</v>
          </cell>
          <cell r="K130">
            <v>1.1769727391271202E-6</v>
          </cell>
          <cell r="L130">
            <v>5.0958272334822752E-4</v>
          </cell>
          <cell r="M130">
            <v>9.065025564618961E-5</v>
          </cell>
          <cell r="N130">
            <v>4.8207974930690071E-14</v>
          </cell>
        </row>
        <row r="131">
          <cell r="C131">
            <v>900</v>
          </cell>
          <cell r="D131">
            <v>180</v>
          </cell>
          <cell r="E131">
            <v>8.5546030203650481E-6</v>
          </cell>
          <cell r="F131">
            <v>5.0067000014591656E-12</v>
          </cell>
          <cell r="G131">
            <v>1.468117533773977E-10</v>
          </cell>
          <cell r="H131">
            <v>3.9450816573667965E-4</v>
          </cell>
          <cell r="I131">
            <v>4.174224725341685E-3</v>
          </cell>
          <cell r="K131">
            <v>5.2721524160212113E-7</v>
          </cell>
          <cell r="L131">
            <v>3.2622815673361575E-4</v>
          </cell>
          <cell r="M131">
            <v>5.2428473329289656E-5</v>
          </cell>
          <cell r="N131">
            <v>7.9391305000242488E-15</v>
          </cell>
        </row>
        <row r="132">
          <cell r="C132">
            <v>950</v>
          </cell>
          <cell r="D132">
            <v>190</v>
          </cell>
          <cell r="E132">
            <v>4.4735820645364014E-6</v>
          </cell>
          <cell r="F132">
            <v>1.1796383389086884E-12</v>
          </cell>
          <cell r="G132">
            <v>4.1732053958115836E-11</v>
          </cell>
          <cell r="H132">
            <v>2.5523956554628568E-4</v>
          </cell>
          <cell r="I132">
            <v>3.0788291825258416E-3</v>
          </cell>
          <cell r="K132">
            <v>2.3616172383374255E-7</v>
          </cell>
          <cell r="L132">
            <v>2.0884697492596599E-4</v>
          </cell>
          <cell r="M132">
            <v>3.0322526903492163E-5</v>
          </cell>
          <cell r="N132">
            <v>1.3074557308626734E-15</v>
          </cell>
        </row>
        <row r="133">
          <cell r="C133">
            <v>1000</v>
          </cell>
          <cell r="D133">
            <v>200</v>
          </cell>
          <cell r="E133">
            <v>2.3394348563573359E-6</v>
          </cell>
          <cell r="F133">
            <v>2.77936886615472E-13</v>
          </cell>
          <cell r="G133">
            <v>1.1862567454570198E-11</v>
          </cell>
          <cell r="H133">
            <v>1.6513532919807823E-4</v>
          </cell>
          <cell r="I133">
            <v>2.2708861546491877E-3</v>
          </cell>
          <cell r="K133">
            <v>1.0578669849271007E-7</v>
          </cell>
          <cell r="L133">
            <v>1.337010862963093E-4</v>
          </cell>
          <cell r="M133">
            <v>1.7537333807874684E-5</v>
          </cell>
          <cell r="N133">
            <v>2.1531835106633232E-16</v>
          </cell>
        </row>
        <row r="134">
          <cell r="C134">
            <v>1050</v>
          </cell>
          <cell r="D134">
            <v>210</v>
          </cell>
          <cell r="E134">
            <v>1.223394445029999E-6</v>
          </cell>
          <cell r="F134">
            <v>6.5485251193994853E-14</v>
          </cell>
          <cell r="G134">
            <v>3.3720004952418702E-12</v>
          </cell>
          <cell r="H134">
            <v>1.0683953677398255E-4</v>
          </cell>
          <cell r="I134">
            <v>1.6749626632896486E-3</v>
          </cell>
          <cell r="K134">
            <v>4.7386280030145322E-8</v>
          </cell>
          <cell r="L134">
            <v>8.5593676820791651E-5</v>
          </cell>
          <cell r="M134">
            <v>1.0142890731623172E-5</v>
          </cell>
          <cell r="N134">
            <v>3.5459703308909878E-17</v>
          </cell>
        </row>
        <row r="135">
          <cell r="C135">
            <v>1100</v>
          </cell>
          <cell r="D135">
            <v>220</v>
          </cell>
          <cell r="E135">
            <v>6.3976731989909597E-7</v>
          </cell>
          <cell r="F135">
            <v>1.5429107579640958E-14</v>
          </cell>
          <cell r="G135">
            <v>9.585098153040082E-13</v>
          </cell>
          <cell r="H135">
            <v>6.9123225620529213E-5</v>
          </cell>
          <cell r="I135">
            <v>1.2354207707289287E-3</v>
          </cell>
          <cell r="K135">
            <v>2.1226293731532598E-8</v>
          </cell>
          <cell r="L135">
            <v>5.4795946051370083E-5</v>
          </cell>
          <cell r="M135">
            <v>5.8662413295373358E-6</v>
          </cell>
          <cell r="N135">
            <v>5.839681348704714E-18</v>
          </cell>
        </row>
        <row r="136">
          <cell r="C136">
            <v>1150</v>
          </cell>
          <cell r="D136">
            <v>230</v>
          </cell>
          <cell r="E136">
            <v>3.3456276123669638E-7</v>
          </cell>
          <cell r="F136">
            <v>3.6352820881591937E-15</v>
          </cell>
          <cell r="G136">
            <v>2.7246172333916872E-13</v>
          </cell>
          <cell r="H136">
            <v>4.4721462339306421E-5</v>
          </cell>
          <cell r="I136">
            <v>9.1122298675652745E-4</v>
          </cell>
          <cell r="K136">
            <v>9.5081433970059611E-9</v>
          </cell>
          <cell r="L136">
            <v>3.5079643908173567E-5</v>
          </cell>
          <cell r="M136">
            <v>3.3927987835934168E-6</v>
          </cell>
          <cell r="N136">
            <v>9.6170794090770744E-19</v>
          </cell>
        </row>
        <row r="137">
          <cell r="C137">
            <v>1200</v>
          </cell>
          <cell r="D137">
            <v>240</v>
          </cell>
          <cell r="E137">
            <v>1.7495773498398863E-7</v>
          </cell>
          <cell r="F137">
            <v>8.565158932412148E-16</v>
          </cell>
          <cell r="G137">
            <v>7.7448753783918361E-14</v>
          </cell>
          <cell r="H137">
            <v>2.8933967936415436E-5</v>
          </cell>
          <cell r="I137">
            <v>6.721008350082801E-4</v>
          </cell>
          <cell r="K137">
            <v>4.25909449861837E-9</v>
          </cell>
          <cell r="L137">
            <v>2.2457526612837628E-5</v>
          </cell>
          <cell r="M137">
            <v>1.9622587853645009E-6</v>
          </cell>
          <cell r="N137">
            <v>1.5837887521210073E-19</v>
          </cell>
        </row>
        <row r="138">
          <cell r="D138">
            <v>250</v>
          </cell>
          <cell r="E138">
            <v>9.1493174307798981E-8</v>
          </cell>
          <cell r="F138">
            <v>2.0180537784518558E-16</v>
          </cell>
          <cell r="G138">
            <v>2.2015237183298404E-14</v>
          </cell>
          <cell r="H138">
            <v>1.8719747896296036E-5</v>
          </cell>
          <cell r="I138">
            <v>4.9572885998707111E-4</v>
          </cell>
          <cell r="K138">
            <v>1.9078262906587317E-9</v>
          </cell>
          <cell r="L138">
            <v>1.4377013144332344E-5</v>
          </cell>
          <cell r="M138">
            <v>1.1348918065403277E-6</v>
          </cell>
          <cell r="N138">
            <v>2.6082625552384215E-20</v>
          </cell>
        </row>
        <row r="139">
          <cell r="D139">
            <v>260</v>
          </cell>
          <cell r="E139">
            <v>4.7845846573650384E-8</v>
          </cell>
          <cell r="F139">
            <v>4.7547758131055364E-17</v>
          </cell>
          <cell r="G139">
            <v>6.2579530923004274E-15</v>
          </cell>
          <cell r="H139">
            <v>1.2111334403597008E-5</v>
          </cell>
          <cell r="I139">
            <v>3.6564022810811359E-4</v>
          </cell>
          <cell r="K139">
            <v>8.5459506862535929E-10</v>
          </cell>
          <cell r="L139">
            <v>9.2039747081563365E-6</v>
          </cell>
          <cell r="M139">
            <v>6.5637591848677784E-7</v>
          </cell>
          <cell r="N139">
            <v>4.2954172694737525E-21</v>
          </cell>
          <cell r="AG139">
            <v>-5</v>
          </cell>
          <cell r="AH139">
            <v>200</v>
          </cell>
          <cell r="AI139">
            <v>50</v>
          </cell>
        </row>
        <row r="140">
          <cell r="D140">
            <v>270</v>
          </cell>
          <cell r="E140">
            <v>2.5020719323257183E-8</v>
          </cell>
          <cell r="F140">
            <v>1.1202819902171701E-17</v>
          </cell>
          <cell r="G140">
            <v>1.7788578237595295E-15</v>
          </cell>
          <cell r="H140">
            <v>7.8358117773998481E-6</v>
          </cell>
          <cell r="I140">
            <v>2.6968931446605708E-4</v>
          </cell>
          <cell r="K140">
            <v>3.8280882011884808E-10</v>
          </cell>
          <cell r="L140">
            <v>5.8922635444467618E-6</v>
          </cell>
          <cell r="M140">
            <v>3.7962151447962827E-7</v>
          </cell>
          <cell r="N140">
            <v>7.0739080626055971E-22</v>
          </cell>
          <cell r="AG140">
            <v>0</v>
          </cell>
          <cell r="AH140">
            <v>200</v>
          </cell>
          <cell r="AI140">
            <v>50</v>
          </cell>
        </row>
        <row r="141">
          <cell r="D141">
            <v>280</v>
          </cell>
          <cell r="E141">
            <v>1.3084445992392322E-8</v>
          </cell>
          <cell r="F141">
            <v>2.6395182169172175E-18</v>
          </cell>
          <cell r="G141">
            <v>5.0565018792547381E-16</v>
          </cell>
          <cell r="H141">
            <v>5.0696268606539723E-6</v>
          </cell>
          <cell r="I141">
            <v>1.989177359217332E-4</v>
          </cell>
          <cell r="K141">
            <v>1.7147605707168606E-10</v>
          </cell>
          <cell r="L141">
            <v>3.7721496177569296E-6</v>
          </cell>
          <cell r="M141">
            <v>2.1955786340858783E-7</v>
          </cell>
          <cell r="N141">
            <v>1.1649665710900093E-22</v>
          </cell>
          <cell r="AG141">
            <v>5</v>
          </cell>
          <cell r="AH141">
            <v>200</v>
          </cell>
          <cell r="AI141">
            <v>50</v>
          </cell>
        </row>
        <row r="142">
          <cell r="D142">
            <v>290</v>
          </cell>
          <cell r="E142">
            <v>6.8424382495148743E-9</v>
          </cell>
          <cell r="F142">
            <v>6.219020280855636E-19</v>
          </cell>
          <cell r="G142">
            <v>1.437338662674543E-16</v>
          </cell>
          <cell r="H142">
            <v>3.2799558279834954E-6</v>
          </cell>
          <cell r="I142">
            <v>1.4671795856119598E-4</v>
          </cell>
          <cell r="K142">
            <v>7.6811287001493995E-11</v>
          </cell>
          <cell r="L142">
            <v>2.4148805686320892E-6</v>
          </cell>
          <cell r="M142">
            <v>1.2698346523015927E-7</v>
          </cell>
          <cell r="N142">
            <v>1.9185252335006076E-23</v>
          </cell>
          <cell r="AG142">
            <v>10</v>
          </cell>
          <cell r="AH142">
            <v>200</v>
          </cell>
          <cell r="AI142">
            <v>50</v>
          </cell>
        </row>
        <row r="143">
          <cell r="D143">
            <v>300</v>
          </cell>
          <cell r="E143">
            <v>3.5782150215336791E-9</v>
          </cell>
          <cell r="F143">
            <v>1.4652754811772041E-19</v>
          </cell>
          <cell r="G143">
            <v>4.0857147501417252E-17</v>
          </cell>
          <cell r="H143">
            <v>2.1220714125960588E-6</v>
          </cell>
          <cell r="I143">
            <v>1.0821639038177357E-4</v>
          </cell>
          <cell r="K143">
            <v>3.4406983176429124E-11</v>
          </cell>
          <cell r="L143">
            <v>1.5459747761077897E-6</v>
          </cell>
          <cell r="M143">
            <v>7.344214500690177E-8</v>
          </cell>
          <cell r="N143">
            <v>3.1595233399140577E-24</v>
          </cell>
          <cell r="AG143">
            <v>15</v>
          </cell>
          <cell r="AH143">
            <v>200</v>
          </cell>
          <cell r="AI143">
            <v>50</v>
          </cell>
        </row>
        <row r="144">
          <cell r="D144">
            <v>310</v>
          </cell>
          <cell r="E144">
            <v>1.8712076416965826E-9</v>
          </cell>
          <cell r="F144">
            <v>3.4523641004169147E-20</v>
          </cell>
          <cell r="G144">
            <v>1.1613870448919635E-17</v>
          </cell>
          <cell r="H144">
            <v>1.3729413798008268E-6</v>
          </cell>
          <cell r="I144">
            <v>7.9818362128967682E-5</v>
          </cell>
          <cell r="K144">
            <v>1.5412324640258227E-11</v>
          </cell>
          <cell r="L144">
            <v>9.8971271681372167E-7</v>
          </cell>
          <cell r="M144">
            <v>4.2475992078484736E-8</v>
          </cell>
          <cell r="N144">
            <v>5.2032611097051396E-25</v>
          </cell>
          <cell r="AG144">
            <v>20</v>
          </cell>
          <cell r="AH144">
            <v>200</v>
          </cell>
          <cell r="AI144">
            <v>50</v>
          </cell>
        </row>
        <row r="145">
          <cell r="D145">
            <v>320</v>
          </cell>
          <cell r="E145">
            <v>9.7853762763617693E-10</v>
          </cell>
          <cell r="F145">
            <v>8.1341822987933874E-21</v>
          </cell>
          <cell r="G145">
            <v>3.3013069940727245E-18</v>
          </cell>
          <cell r="H145">
            <v>8.8826795421714975E-7</v>
          </cell>
          <cell r="I145">
            <v>5.8872513770557783E-5</v>
          </cell>
          <cell r="K145">
            <v>6.903823842929705E-12</v>
          </cell>
          <cell r="L145">
            <v>6.3360106320033663E-7</v>
          </cell>
          <cell r="M145">
            <v>2.4566410783371676E-8</v>
          </cell>
          <cell r="N145">
            <v>8.5689907188678668E-26</v>
          </cell>
          <cell r="AG145">
            <v>25</v>
          </cell>
          <cell r="AH145">
            <v>200</v>
          </cell>
          <cell r="AI145">
            <v>50</v>
          </cell>
        </row>
        <row r="146">
          <cell r="D146">
            <v>330</v>
          </cell>
          <cell r="E146">
            <v>5.1172080925859239E-10</v>
          </cell>
          <cell r="F146">
            <v>1.9165105343904331E-21</v>
          </cell>
          <cell r="G146">
            <v>9.3841479608783817E-19</v>
          </cell>
          <cell r="H146">
            <v>5.746931151595018E-7</v>
          </cell>
          <cell r="I146">
            <v>4.3423252309591623E-5</v>
          </cell>
          <cell r="K146">
            <v>3.09251101094155E-12</v>
          </cell>
          <cell r="L146">
            <v>4.0562306664203028E-7</v>
          </cell>
          <cell r="M146">
            <v>1.4208227030041608E-8</v>
          </cell>
          <cell r="N146">
            <v>1.4111842629439777E-26</v>
          </cell>
          <cell r="AG146">
            <v>30</v>
          </cell>
          <cell r="AH146">
            <v>200</v>
          </cell>
          <cell r="AI146">
            <v>50</v>
          </cell>
        </row>
        <row r="147">
          <cell r="D147">
            <v>340</v>
          </cell>
          <cell r="E147">
            <v>2.676015507557236E-10</v>
          </cell>
          <cell r="F147">
            <v>4.5155277980115184E-22</v>
          </cell>
          <cell r="G147">
            <v>2.6674960283841622E-19</v>
          </cell>
          <cell r="H147">
            <v>3.7181593126683043E-7</v>
          </cell>
          <cell r="I147">
            <v>3.202816935065937E-5</v>
          </cell>
          <cell r="K147">
            <v>1.3852648286483961E-12</v>
          </cell>
          <cell r="L147">
            <v>2.5967455193499619E-7</v>
          </cell>
          <cell r="M147">
            <v>8.2174688487195308E-9</v>
          </cell>
          <cell r="N147">
            <v>2.3240088469180424E-27</v>
          </cell>
          <cell r="AG147">
            <v>35</v>
          </cell>
          <cell r="AH147">
            <v>200</v>
          </cell>
          <cell r="AI147">
            <v>50</v>
          </cell>
        </row>
        <row r="148">
          <cell r="AG148">
            <v>40</v>
          </cell>
          <cell r="AH148">
            <v>200</v>
          </cell>
          <cell r="AI148">
            <v>50</v>
          </cell>
        </row>
        <row r="149">
          <cell r="AG149">
            <v>45</v>
          </cell>
          <cell r="AH149">
            <v>200</v>
          </cell>
          <cell r="AI149">
            <v>50</v>
          </cell>
        </row>
        <row r="150">
          <cell r="AG150">
            <v>50</v>
          </cell>
          <cell r="AH150">
            <v>200</v>
          </cell>
          <cell r="AI150">
            <v>50</v>
          </cell>
        </row>
        <row r="151">
          <cell r="D151" t="str">
            <v>Algal beads</v>
          </cell>
          <cell r="E151" t="str">
            <v xml:space="preserve">Blank beads </v>
          </cell>
          <cell r="F151" t="str">
            <v>Suspended algae</v>
          </cell>
        </row>
        <row r="152">
          <cell r="B152" t="str">
            <v>White (400 - 700 nm)</v>
          </cell>
          <cell r="C152">
            <v>5</v>
          </cell>
          <cell r="D152">
            <v>0.72</v>
          </cell>
          <cell r="E152">
            <v>0.8</v>
          </cell>
          <cell r="F152">
            <v>0.96</v>
          </cell>
        </row>
        <row r="153">
          <cell r="C153">
            <v>20</v>
          </cell>
          <cell r="D153">
            <v>0.27</v>
          </cell>
          <cell r="E153">
            <v>0.42</v>
          </cell>
          <cell r="F153">
            <v>0.84</v>
          </cell>
          <cell r="AG153">
            <v>0</v>
          </cell>
          <cell r="AH153">
            <v>0</v>
          </cell>
        </row>
        <row r="154">
          <cell r="C154">
            <v>50</v>
          </cell>
          <cell r="D154">
            <v>0.04</v>
          </cell>
          <cell r="E154">
            <v>0.11</v>
          </cell>
          <cell r="F154">
            <v>0.64</v>
          </cell>
          <cell r="AG154">
            <v>0</v>
          </cell>
          <cell r="AH154">
            <v>1000</v>
          </cell>
        </row>
        <row r="155">
          <cell r="C155">
            <v>80</v>
          </cell>
          <cell r="D155">
            <v>0.01</v>
          </cell>
          <cell r="E155">
            <v>0.03</v>
          </cell>
          <cell r="F155">
            <v>0.49</v>
          </cell>
        </row>
        <row r="157">
          <cell r="B157" t="str">
            <v>Blue (465 nm)</v>
          </cell>
          <cell r="C157">
            <v>5</v>
          </cell>
          <cell r="D157">
            <v>0.53</v>
          </cell>
          <cell r="E157">
            <v>0.67</v>
          </cell>
          <cell r="F157">
            <v>0.83</v>
          </cell>
        </row>
        <row r="158">
          <cell r="C158">
            <v>20</v>
          </cell>
          <cell r="D158">
            <v>0.08</v>
          </cell>
          <cell r="E158">
            <v>0.2</v>
          </cell>
          <cell r="F158">
            <v>0.49</v>
          </cell>
        </row>
        <row r="159">
          <cell r="C159">
            <v>50</v>
          </cell>
          <cell r="D159">
            <v>0</v>
          </cell>
          <cell r="E159">
            <v>0.02</v>
          </cell>
          <cell r="F159">
            <v>0.16</v>
          </cell>
        </row>
        <row r="160">
          <cell r="C160">
            <v>80</v>
          </cell>
          <cell r="D160">
            <v>0</v>
          </cell>
          <cell r="E160">
            <v>0</v>
          </cell>
          <cell r="F160">
            <v>0.06</v>
          </cell>
        </row>
        <row r="162">
          <cell r="B162" t="str">
            <v>Red (660 nm)</v>
          </cell>
          <cell r="C162">
            <v>5</v>
          </cell>
          <cell r="D162">
            <v>0.49</v>
          </cell>
          <cell r="E162">
            <v>0.86</v>
          </cell>
          <cell r="F162">
            <v>0.95</v>
          </cell>
        </row>
        <row r="163">
          <cell r="C163">
            <v>20</v>
          </cell>
          <cell r="D163">
            <v>0.06</v>
          </cell>
          <cell r="E163">
            <v>0.54</v>
          </cell>
          <cell r="F163">
            <v>0.8</v>
          </cell>
        </row>
        <row r="164">
          <cell r="C164">
            <v>50</v>
          </cell>
          <cell r="D164">
            <v>0</v>
          </cell>
          <cell r="E164">
            <v>0.22</v>
          </cell>
          <cell r="F164">
            <v>0.57999999999999996</v>
          </cell>
        </row>
        <row r="165">
          <cell r="C165">
            <v>80</v>
          </cell>
          <cell r="D165">
            <v>0</v>
          </cell>
          <cell r="E165">
            <v>0.09</v>
          </cell>
          <cell r="F165">
            <v>0.42</v>
          </cell>
        </row>
        <row r="198">
          <cell r="D198" t="str">
            <v>T</v>
          </cell>
          <cell r="L198" t="str">
            <v xml:space="preserve">Effective depth </v>
          </cell>
        </row>
        <row r="199">
          <cell r="D199">
            <v>0.05</v>
          </cell>
          <cell r="L199">
            <v>21.384189482838387</v>
          </cell>
        </row>
        <row r="200">
          <cell r="D200">
            <v>6.25E-2</v>
          </cell>
          <cell r="L200">
            <v>21.429543273629253</v>
          </cell>
        </row>
        <row r="201">
          <cell r="D201">
            <v>8.3333333333333329E-2</v>
          </cell>
          <cell r="L201">
            <v>21.499942578984601</v>
          </cell>
        </row>
        <row r="202">
          <cell r="D202">
            <v>0.125</v>
          </cell>
          <cell r="L202">
            <v>21.362053133125691</v>
          </cell>
        </row>
        <row r="203">
          <cell r="D203">
            <v>0.25</v>
          </cell>
          <cell r="L203">
            <v>20.882593727567166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"/>
      <sheetName val="200 DATA"/>
      <sheetName val="1000 DATA"/>
      <sheetName val="Paper calcs"/>
      <sheetName val="GRAPH AND LIGHT PROFILES"/>
      <sheetName val="GRAPHS"/>
    </sheetNames>
    <sheetDataSet>
      <sheetData sheetId="0"/>
      <sheetData sheetId="1">
        <row r="3">
          <cell r="C3" t="str">
            <v>1.5:1.5</v>
          </cell>
        </row>
        <row r="5">
          <cell r="C5">
            <v>0</v>
          </cell>
          <cell r="D5">
            <v>0.5</v>
          </cell>
          <cell r="E5">
            <v>1</v>
          </cell>
          <cell r="F5">
            <v>1.5</v>
          </cell>
          <cell r="G5">
            <v>2</v>
          </cell>
          <cell r="H5">
            <v>2.5</v>
          </cell>
          <cell r="I5">
            <v>3</v>
          </cell>
          <cell r="J5">
            <v>3.5</v>
          </cell>
          <cell r="K5">
            <v>4</v>
          </cell>
          <cell r="L5">
            <v>4.5</v>
          </cell>
          <cell r="M5">
            <v>5</v>
          </cell>
          <cell r="N5">
            <v>5.5</v>
          </cell>
          <cell r="O5">
            <v>6</v>
          </cell>
          <cell r="P5">
            <v>6.5</v>
          </cell>
          <cell r="Q5">
            <v>7</v>
          </cell>
          <cell r="R5">
            <v>7.5</v>
          </cell>
          <cell r="S5">
            <v>8</v>
          </cell>
          <cell r="T5">
            <v>8.5</v>
          </cell>
          <cell r="U5">
            <v>9</v>
          </cell>
          <cell r="V5">
            <v>9.5</v>
          </cell>
          <cell r="W5">
            <v>10</v>
          </cell>
          <cell r="X5">
            <v>10.5</v>
          </cell>
          <cell r="Y5">
            <v>11</v>
          </cell>
          <cell r="Z5">
            <v>11.5</v>
          </cell>
          <cell r="AA5">
            <v>12</v>
          </cell>
          <cell r="AB5">
            <v>12.5</v>
          </cell>
          <cell r="AC5">
            <v>13</v>
          </cell>
          <cell r="AD5">
            <v>13.5</v>
          </cell>
          <cell r="AE5">
            <v>14</v>
          </cell>
          <cell r="AF5">
            <v>14.5</v>
          </cell>
          <cell r="AG5">
            <v>15</v>
          </cell>
          <cell r="AH5">
            <v>15.5</v>
          </cell>
          <cell r="AI5">
            <v>16</v>
          </cell>
          <cell r="AJ5">
            <v>16.5</v>
          </cell>
          <cell r="AK5">
            <v>17</v>
          </cell>
          <cell r="AL5">
            <v>17.5</v>
          </cell>
          <cell r="AM5">
            <v>18</v>
          </cell>
          <cell r="AN5">
            <v>18.5</v>
          </cell>
          <cell r="AO5">
            <v>19</v>
          </cell>
          <cell r="AP5">
            <v>19.5</v>
          </cell>
          <cell r="AQ5">
            <v>20</v>
          </cell>
          <cell r="AR5">
            <v>20.5</v>
          </cell>
          <cell r="AS5">
            <v>21</v>
          </cell>
          <cell r="AT5">
            <v>21.5</v>
          </cell>
          <cell r="AU5">
            <v>22</v>
          </cell>
          <cell r="AV5">
            <v>22.5</v>
          </cell>
          <cell r="AW5">
            <v>23</v>
          </cell>
          <cell r="AX5">
            <v>23.5</v>
          </cell>
          <cell r="AY5">
            <v>24</v>
          </cell>
        </row>
        <row r="8">
          <cell r="BJ8">
            <v>1.5</v>
          </cell>
          <cell r="BK8">
            <v>3</v>
          </cell>
          <cell r="BL8">
            <v>6</v>
          </cell>
          <cell r="BM8">
            <v>12</v>
          </cell>
        </row>
        <row r="9">
          <cell r="BI9" t="str">
            <v>µ (d-1)</v>
          </cell>
          <cell r="BJ9">
            <v>-0.20219223374273751</v>
          </cell>
          <cell r="BK9">
            <v>4.9385225180742828E-2</v>
          </cell>
          <cell r="BL9">
            <v>1.3392333662995024</v>
          </cell>
          <cell r="BM9">
            <v>2.3335001876706554</v>
          </cell>
        </row>
        <row r="13">
          <cell r="C13">
            <v>7.51</v>
          </cell>
          <cell r="F13">
            <v>8</v>
          </cell>
          <cell r="I13">
            <v>8.0399999999999991</v>
          </cell>
          <cell r="L13">
            <v>8.51</v>
          </cell>
          <cell r="O13">
            <v>8.48</v>
          </cell>
          <cell r="R13">
            <v>8.7899999999999991</v>
          </cell>
          <cell r="U13">
            <v>8.76</v>
          </cell>
          <cell r="X13">
            <v>9.0399999999999991</v>
          </cell>
          <cell r="AA13">
            <v>9.06</v>
          </cell>
          <cell r="AD13">
            <v>9.25</v>
          </cell>
          <cell r="AG13">
            <v>9.19</v>
          </cell>
          <cell r="AJ13">
            <v>9.42</v>
          </cell>
          <cell r="AM13">
            <v>9.42</v>
          </cell>
          <cell r="AS13">
            <v>9.85</v>
          </cell>
          <cell r="AY13">
            <v>10.08</v>
          </cell>
        </row>
        <row r="17">
          <cell r="C17">
            <v>2.87</v>
          </cell>
          <cell r="F17">
            <v>2.8299534883720936</v>
          </cell>
          <cell r="I17">
            <v>2.7765581395348842</v>
          </cell>
          <cell r="L17">
            <v>2.3226976744186048</v>
          </cell>
          <cell r="O17">
            <v>2.4161395348837211</v>
          </cell>
          <cell r="R17">
            <v>1.915558139534884</v>
          </cell>
          <cell r="U17">
            <v>1.7286744186046512</v>
          </cell>
          <cell r="X17">
            <v>1.1813720930232559</v>
          </cell>
          <cell r="AA17">
            <v>1.1480000000000001</v>
          </cell>
          <cell r="AD17">
            <v>0.52060465116279075</v>
          </cell>
          <cell r="AG17">
            <v>0.52060465116279075</v>
          </cell>
          <cell r="AJ17">
            <v>0</v>
          </cell>
          <cell r="AM17">
            <v>0</v>
          </cell>
          <cell r="AS17">
            <v>0</v>
          </cell>
          <cell r="AY17">
            <v>2.0023255813953491E-3</v>
          </cell>
        </row>
        <row r="18">
          <cell r="C18">
            <v>0</v>
          </cell>
          <cell r="F18">
            <v>8.0000000000000071E-2</v>
          </cell>
          <cell r="I18">
            <v>2.0000000000000018E-2</v>
          </cell>
          <cell r="L18">
            <v>1.0000000000000009E-2</v>
          </cell>
          <cell r="O18">
            <v>5.0000000000000044E-2</v>
          </cell>
          <cell r="R18">
            <v>0.10499999999999997</v>
          </cell>
          <cell r="U18">
            <v>2.5000000000000022E-2</v>
          </cell>
          <cell r="X18">
            <v>0.22500000000000006</v>
          </cell>
          <cell r="AA18">
            <v>7.0000000000000007E-2</v>
          </cell>
          <cell r="AD18">
            <v>0.11</v>
          </cell>
          <cell r="AG18">
            <v>0.03</v>
          </cell>
          <cell r="AJ18">
            <v>0</v>
          </cell>
          <cell r="AM18">
            <v>0</v>
          </cell>
          <cell r="AS18">
            <v>0</v>
          </cell>
          <cell r="AY18">
            <v>5.0000000000000001E-4</v>
          </cell>
        </row>
        <row r="19">
          <cell r="C19">
            <v>1.125</v>
          </cell>
          <cell r="F19">
            <v>0.93</v>
          </cell>
          <cell r="I19">
            <v>0.91500000000000004</v>
          </cell>
          <cell r="L19">
            <v>0.87</v>
          </cell>
          <cell r="O19">
            <v>0.87</v>
          </cell>
          <cell r="R19">
            <v>0.83</v>
          </cell>
          <cell r="U19">
            <v>0.82</v>
          </cell>
          <cell r="X19">
            <v>0.77</v>
          </cell>
          <cell r="AA19">
            <v>0.76500000000000001</v>
          </cell>
          <cell r="AD19">
            <v>0.71</v>
          </cell>
          <cell r="AG19">
            <v>0.7</v>
          </cell>
          <cell r="AJ19">
            <v>0.53800000000000003</v>
          </cell>
          <cell r="AM19">
            <v>0.53800000000000003</v>
          </cell>
          <cell r="AS19">
            <v>0.26600000000000001</v>
          </cell>
          <cell r="AY19">
            <v>0.28649999999999998</v>
          </cell>
        </row>
        <row r="20">
          <cell r="C20">
            <v>4.9999999999998934E-3</v>
          </cell>
          <cell r="F20">
            <v>0</v>
          </cell>
          <cell r="I20">
            <v>5.0000000000000044E-3</v>
          </cell>
          <cell r="L20">
            <v>0</v>
          </cell>
          <cell r="O20">
            <v>0</v>
          </cell>
          <cell r="R20">
            <v>1.0000000000000009E-2</v>
          </cell>
          <cell r="U20">
            <v>0</v>
          </cell>
          <cell r="X20">
            <v>1.0000000000000009E-2</v>
          </cell>
          <cell r="AA20">
            <v>5.0000000000000044E-3</v>
          </cell>
          <cell r="AD20">
            <v>0</v>
          </cell>
          <cell r="AG20">
            <v>1.0000000000000009E-2</v>
          </cell>
          <cell r="AJ20">
            <v>3.0000000000000027E-3</v>
          </cell>
          <cell r="AM20">
            <v>3.0000000000000027E-3</v>
          </cell>
          <cell r="AS20">
            <v>5.0000000000000044E-3</v>
          </cell>
          <cell r="AY20">
            <v>0.10050000000000009</v>
          </cell>
        </row>
        <row r="21">
          <cell r="C21">
            <v>1.1299999999999999</v>
          </cell>
          <cell r="O21">
            <v>0.87</v>
          </cell>
          <cell r="AA21">
            <v>0.76</v>
          </cell>
          <cell r="AJ21">
            <v>0.54600000000000004</v>
          </cell>
          <cell r="AM21">
            <v>0.54600000000000004</v>
          </cell>
          <cell r="AY21">
            <v>0.13700000000000001</v>
          </cell>
        </row>
        <row r="23">
          <cell r="C23">
            <v>137500</v>
          </cell>
          <cell r="AA23">
            <v>130000</v>
          </cell>
          <cell r="AY23">
            <v>117500</v>
          </cell>
        </row>
        <row r="28">
          <cell r="C28" t="str">
            <v>3:3</v>
          </cell>
        </row>
        <row r="38">
          <cell r="C38">
            <v>7.51</v>
          </cell>
          <cell r="I38">
            <v>8.49</v>
          </cell>
          <cell r="O38">
            <v>8.36</v>
          </cell>
          <cell r="U38">
            <v>9.07</v>
          </cell>
          <cell r="AA38">
            <v>9.02</v>
          </cell>
          <cell r="AG38">
            <v>9.42</v>
          </cell>
          <cell r="AM38">
            <v>9.33</v>
          </cell>
          <cell r="AS38">
            <v>9.9600000000000009</v>
          </cell>
          <cell r="AY38">
            <v>9.66</v>
          </cell>
        </row>
        <row r="42">
          <cell r="C42">
            <v>2.87</v>
          </cell>
          <cell r="I42">
            <v>2.2426046511627913</v>
          </cell>
          <cell r="O42">
            <v>2.1091162790697675</v>
          </cell>
          <cell r="U42">
            <v>1.6619302325581398</v>
          </cell>
          <cell r="AA42">
            <v>1.2547906976744188</v>
          </cell>
          <cell r="AG42">
            <v>0.51393023255813963</v>
          </cell>
          <cell r="AM42">
            <v>0.21825348837209305</v>
          </cell>
          <cell r="AS42">
            <v>6.6744186046511632E-4</v>
          </cell>
          <cell r="AY42">
            <v>2.0023255813953491E-3</v>
          </cell>
        </row>
        <row r="43">
          <cell r="C43">
            <v>0</v>
          </cell>
          <cell r="I43">
            <v>0.17999999999999872</v>
          </cell>
          <cell r="O43">
            <v>8.9999999999999969E-2</v>
          </cell>
          <cell r="U43">
            <v>4.5000000000000047E-2</v>
          </cell>
          <cell r="AA43">
            <v>0.13999999999999982</v>
          </cell>
          <cell r="AG43">
            <v>5.0000000000000044E-3</v>
          </cell>
          <cell r="AM43">
            <v>5.0000000000000044E-4</v>
          </cell>
          <cell r="AS43">
            <v>5.0000000000000001E-4</v>
          </cell>
          <cell r="AY43">
            <v>5.0000000000000001E-4</v>
          </cell>
        </row>
        <row r="44">
          <cell r="C44">
            <v>1.125</v>
          </cell>
          <cell r="I44">
            <v>0.88</v>
          </cell>
          <cell r="O44">
            <v>0.86499999999999999</v>
          </cell>
          <cell r="U44">
            <v>0.78500000000000003</v>
          </cell>
          <cell r="AA44">
            <v>0.77</v>
          </cell>
          <cell r="AG44">
            <v>0.65</v>
          </cell>
          <cell r="AM44">
            <v>0.55000000000000004</v>
          </cell>
          <cell r="AS44">
            <v>0.28000000000000003</v>
          </cell>
          <cell r="AY44">
            <v>0.2545</v>
          </cell>
        </row>
        <row r="45">
          <cell r="C45">
            <v>4.9999999999998934E-3</v>
          </cell>
          <cell r="I45">
            <v>0</v>
          </cell>
          <cell r="O45">
            <v>5.0000000000000044E-3</v>
          </cell>
          <cell r="U45">
            <v>5.0000000000000044E-3</v>
          </cell>
          <cell r="AA45">
            <v>0</v>
          </cell>
          <cell r="AG45">
            <v>1.0000000000000009E-2</v>
          </cell>
          <cell r="AM45">
            <v>1.0000000000000009E-3</v>
          </cell>
          <cell r="AS45">
            <v>2.9999999999999745E-3</v>
          </cell>
          <cell r="AY45">
            <v>4.5000000000000031E-3</v>
          </cell>
        </row>
        <row r="46">
          <cell r="C46">
            <v>1.1299999999999999</v>
          </cell>
          <cell r="O46">
            <v>0.87</v>
          </cell>
          <cell r="AA46">
            <v>0.77</v>
          </cell>
          <cell r="AM46">
            <v>0.56399999999999995</v>
          </cell>
          <cell r="AY46">
            <v>0.26</v>
          </cell>
        </row>
        <row r="48">
          <cell r="C48">
            <v>137500</v>
          </cell>
          <cell r="AA48">
            <v>100000</v>
          </cell>
          <cell r="AY48">
            <v>102500</v>
          </cell>
        </row>
        <row r="49">
          <cell r="C49">
            <v>2499.9999999999995</v>
          </cell>
          <cell r="AA49">
            <v>4999.9999999999991</v>
          </cell>
          <cell r="AY49">
            <v>17499.999999999996</v>
          </cell>
        </row>
        <row r="53">
          <cell r="C53" t="str">
            <v>6:6</v>
          </cell>
        </row>
        <row r="55">
          <cell r="C55">
            <v>0</v>
          </cell>
          <cell r="AA55">
            <v>12</v>
          </cell>
          <cell r="AY55">
            <v>24</v>
          </cell>
        </row>
        <row r="63">
          <cell r="C63">
            <v>7.51</v>
          </cell>
          <cell r="O63">
            <v>9.32</v>
          </cell>
          <cell r="AA63">
            <v>9.06</v>
          </cell>
          <cell r="AM63">
            <v>10.67</v>
          </cell>
          <cell r="AY63">
            <v>10.37</v>
          </cell>
        </row>
        <row r="67">
          <cell r="C67">
            <v>2.87</v>
          </cell>
          <cell r="O67">
            <v>1.29</v>
          </cell>
          <cell r="AA67">
            <v>0.76500000000000001</v>
          </cell>
          <cell r="AM67">
            <v>1.2E-2</v>
          </cell>
          <cell r="AY67">
            <v>1.0999999999999999E-2</v>
          </cell>
        </row>
        <row r="68">
          <cell r="C68">
            <v>5.0000000000000044E-2</v>
          </cell>
          <cell r="O68">
            <v>1.0000000000000009E-2</v>
          </cell>
          <cell r="AA68">
            <v>1.5000000000000012E-2</v>
          </cell>
          <cell r="AM68" t="e">
            <v>#DIV/0!</v>
          </cell>
          <cell r="AY68">
            <v>8.0000000000000002E-3</v>
          </cell>
        </row>
        <row r="69">
          <cell r="C69">
            <v>1.125</v>
          </cell>
          <cell r="O69">
            <v>0.77500000000000002</v>
          </cell>
          <cell r="AA69">
            <v>0.69</v>
          </cell>
          <cell r="AM69">
            <v>0.1</v>
          </cell>
          <cell r="AY69">
            <v>6.5000000000000002E-2</v>
          </cell>
        </row>
        <row r="70">
          <cell r="C70">
            <v>4.9999999999998934E-3</v>
          </cell>
          <cell r="O70">
            <v>5.0000000000000044E-3</v>
          </cell>
          <cell r="AA70">
            <v>1.9999999999999962E-2</v>
          </cell>
          <cell r="AM70">
            <v>1.0000000000000002E-2</v>
          </cell>
          <cell r="AY70">
            <v>0</v>
          </cell>
        </row>
        <row r="71">
          <cell r="C71">
            <v>1.1299999999999999</v>
          </cell>
          <cell r="AA71">
            <v>0.7</v>
          </cell>
          <cell r="AY71">
            <v>7.6999999999999999E-2</v>
          </cell>
        </row>
        <row r="73">
          <cell r="C73">
            <v>130000</v>
          </cell>
          <cell r="AA73">
            <v>107500</v>
          </cell>
          <cell r="AY73">
            <v>210000</v>
          </cell>
        </row>
        <row r="74">
          <cell r="C74">
            <v>34999.999999999993</v>
          </cell>
          <cell r="AA74">
            <v>17499.999999999996</v>
          </cell>
          <cell r="AY74">
            <v>19999.999999999996</v>
          </cell>
        </row>
        <row r="78">
          <cell r="C78" t="str">
            <v>12:12</v>
          </cell>
        </row>
        <row r="80">
          <cell r="C80">
            <v>0</v>
          </cell>
          <cell r="O80">
            <v>6</v>
          </cell>
          <cell r="AY80">
            <v>24</v>
          </cell>
        </row>
        <row r="88">
          <cell r="C88">
            <v>7.51</v>
          </cell>
          <cell r="O88">
            <v>9.5</v>
          </cell>
          <cell r="AA88">
            <v>10.53</v>
          </cell>
          <cell r="AM88">
            <v>10.23</v>
          </cell>
          <cell r="AY88">
            <v>9.9600000000000009</v>
          </cell>
        </row>
        <row r="92">
          <cell r="C92">
            <v>2.87</v>
          </cell>
          <cell r="O92">
            <v>1.06</v>
          </cell>
          <cell r="AA92">
            <v>2.1000000000000001E-2</v>
          </cell>
          <cell r="AM92">
            <v>1.0999999999999999E-2</v>
          </cell>
          <cell r="AY92">
            <v>3.0000000000000001E-3</v>
          </cell>
        </row>
        <row r="93">
          <cell r="C93">
            <v>5.0000000000000044E-2</v>
          </cell>
          <cell r="O93">
            <v>4.0000000000000036E-2</v>
          </cell>
          <cell r="AA93" t="e">
            <v>#DIV/0!</v>
          </cell>
          <cell r="AM93" t="e">
            <v>#DIV/0!</v>
          </cell>
          <cell r="AY93">
            <v>2.9999999999999996E-3</v>
          </cell>
        </row>
        <row r="94">
          <cell r="C94">
            <v>1.125</v>
          </cell>
          <cell r="O94">
            <v>0.71</v>
          </cell>
          <cell r="AA94">
            <v>0.125</v>
          </cell>
          <cell r="AM94">
            <v>5.6000000000000001E-2</v>
          </cell>
          <cell r="AY94">
            <v>6.4000000000000001E-2</v>
          </cell>
        </row>
        <row r="95">
          <cell r="C95">
            <v>4.9999999999998934E-3</v>
          </cell>
          <cell r="O95">
            <v>1.0000000000000009E-2</v>
          </cell>
          <cell r="AA95">
            <v>5.0000000000000044E-3</v>
          </cell>
          <cell r="AM95">
            <v>1.0000000000000009E-3</v>
          </cell>
          <cell r="AY95">
            <v>1.0000000000000009E-3</v>
          </cell>
        </row>
        <row r="96">
          <cell r="C96">
            <v>1.1299999999999999</v>
          </cell>
          <cell r="AA96">
            <v>0.14000000000000001</v>
          </cell>
          <cell r="AY96">
            <v>7.5999999999999998E-2</v>
          </cell>
        </row>
        <row r="98">
          <cell r="C98">
            <v>130000</v>
          </cell>
          <cell r="AA98">
            <v>417500</v>
          </cell>
          <cell r="AY98">
            <v>267500</v>
          </cell>
        </row>
        <row r="99">
          <cell r="C99">
            <v>34999.999999999993</v>
          </cell>
          <cell r="AA99">
            <v>277499.99999999994</v>
          </cell>
          <cell r="AY99">
            <v>27499.999999999996</v>
          </cell>
        </row>
        <row r="176">
          <cell r="E176">
            <v>1.5</v>
          </cell>
          <cell r="F176">
            <v>3</v>
          </cell>
          <cell r="G176">
            <v>6</v>
          </cell>
          <cell r="H176">
            <v>12</v>
          </cell>
        </row>
        <row r="177">
          <cell r="D177" t="str">
            <v>6 h</v>
          </cell>
          <cell r="E177">
            <v>2.42</v>
          </cell>
          <cell r="F177">
            <v>2.11</v>
          </cell>
          <cell r="G177">
            <v>1.29</v>
          </cell>
          <cell r="H177">
            <v>1.06</v>
          </cell>
          <cell r="L177">
            <v>0.87</v>
          </cell>
          <cell r="M177">
            <v>0.87</v>
          </cell>
          <cell r="N177">
            <v>0.78</v>
          </cell>
          <cell r="O177">
            <v>0.71</v>
          </cell>
        </row>
        <row r="179">
          <cell r="D179" t="str">
            <v>12 h</v>
          </cell>
          <cell r="E179">
            <v>1.1499999999999999</v>
          </cell>
          <cell r="F179">
            <v>1.25</v>
          </cell>
          <cell r="G179">
            <v>0.77</v>
          </cell>
          <cell r="H179">
            <v>0.02</v>
          </cell>
          <cell r="L179">
            <v>0.77</v>
          </cell>
          <cell r="M179">
            <v>0.77</v>
          </cell>
          <cell r="N179">
            <v>0.69</v>
          </cell>
          <cell r="O179">
            <v>0.13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448"/>
  <sheetViews>
    <sheetView tabSelected="1" zoomScale="80" zoomScaleNormal="80" workbookViewId="0"/>
  </sheetViews>
  <sheetFormatPr defaultColWidth="9.1796875" defaultRowHeight="12.5" x14ac:dyDescent="0.25"/>
  <cols>
    <col min="1" max="1" width="2.26953125" style="2" customWidth="1"/>
    <col min="2" max="2" width="5.54296875" style="2" customWidth="1"/>
    <col min="3" max="3" width="13.1796875" style="2" bestFit="1" customWidth="1"/>
    <col min="4" max="4" width="10.26953125" style="31" bestFit="1" customWidth="1"/>
    <col min="5" max="5" width="10.26953125" style="2" customWidth="1"/>
    <col min="6" max="6" width="12.1796875" style="2" bestFit="1" customWidth="1"/>
    <col min="7" max="11" width="9.1796875" style="9"/>
    <col min="12" max="12" width="13.1796875" style="2" bestFit="1" customWidth="1"/>
    <col min="13" max="13" width="10.26953125" style="2" bestFit="1" customWidth="1"/>
    <col min="14" max="14" width="12.1796875" style="2" bestFit="1" customWidth="1"/>
    <col min="15" max="18" width="9.1796875" style="2"/>
    <col min="19" max="19" width="10.26953125" style="2" bestFit="1" customWidth="1"/>
    <col min="20" max="24" width="9.1796875" style="2"/>
    <col min="25" max="26" width="10.26953125" style="68" bestFit="1" customWidth="1"/>
    <col min="27" max="27" width="9.1796875" style="68"/>
    <col min="28" max="28" width="10.26953125" style="68" bestFit="1" customWidth="1"/>
    <col min="29" max="31" width="9.1796875" style="9"/>
    <col min="32" max="32" width="13.1796875" style="2" bestFit="1" customWidth="1"/>
    <col min="33" max="33" width="10.26953125" style="2" bestFit="1" customWidth="1"/>
    <col min="34" max="34" width="12.1796875" style="2" bestFit="1" customWidth="1"/>
    <col min="35" max="40" width="9.1796875" style="68"/>
    <col min="41" max="16384" width="9.1796875" style="2"/>
  </cols>
  <sheetData>
    <row r="1" spans="1:40" s="1" customFormat="1" ht="18" x14ac:dyDescent="0.4">
      <c r="A1" s="1" t="s">
        <v>43</v>
      </c>
      <c r="D1" s="65"/>
      <c r="G1" s="66"/>
      <c r="H1" s="66"/>
      <c r="I1" s="66"/>
      <c r="J1" s="66"/>
      <c r="K1" s="66"/>
      <c r="Y1" s="67"/>
      <c r="Z1" s="67"/>
      <c r="AA1" s="67"/>
      <c r="AB1" s="67"/>
      <c r="AC1" s="66"/>
      <c r="AD1" s="66"/>
      <c r="AE1" s="66"/>
      <c r="AI1" s="67"/>
      <c r="AJ1" s="67"/>
      <c r="AK1" s="67"/>
      <c r="AL1" s="67"/>
      <c r="AM1" s="67"/>
      <c r="AN1" s="67"/>
    </row>
    <row r="2" spans="1:40" ht="13" thickBot="1" x14ac:dyDescent="0.3"/>
    <row r="3" spans="1:40" ht="13" x14ac:dyDescent="0.3">
      <c r="G3" s="72" t="s">
        <v>15</v>
      </c>
      <c r="H3" s="73"/>
      <c r="I3" s="73"/>
      <c r="J3" s="73"/>
      <c r="K3" s="74"/>
      <c r="L3" s="72" t="s">
        <v>16</v>
      </c>
      <c r="M3" s="73"/>
      <c r="N3" s="73"/>
      <c r="O3" s="73"/>
      <c r="P3" s="74"/>
      <c r="Q3" s="72" t="s">
        <v>17</v>
      </c>
      <c r="R3" s="73"/>
      <c r="S3" s="74"/>
      <c r="T3" s="72" t="s">
        <v>0</v>
      </c>
      <c r="U3" s="73"/>
      <c r="V3" s="73"/>
      <c r="W3" s="73"/>
      <c r="X3" s="74"/>
      <c r="Y3" s="121" t="s">
        <v>14</v>
      </c>
      <c r="Z3" s="122"/>
      <c r="AA3" s="122"/>
      <c r="AB3" s="123"/>
      <c r="AI3" s="2"/>
      <c r="AJ3" s="2"/>
      <c r="AK3" s="2"/>
      <c r="AL3" s="2"/>
      <c r="AM3" s="2"/>
      <c r="AN3" s="2"/>
    </row>
    <row r="4" spans="1:40" ht="13" x14ac:dyDescent="0.3">
      <c r="F4" s="6"/>
      <c r="G4" s="75" t="s">
        <v>13</v>
      </c>
      <c r="H4" s="64"/>
      <c r="I4" s="64"/>
      <c r="J4" s="64"/>
      <c r="K4" s="76"/>
      <c r="L4" s="75" t="str">
        <f>G4</f>
        <v xml:space="preserve">Time (h) </v>
      </c>
      <c r="M4" s="64"/>
      <c r="N4" s="64"/>
      <c r="O4" s="64"/>
      <c r="P4" s="76"/>
      <c r="Q4" s="75" t="str">
        <f>G4</f>
        <v xml:space="preserve">Time (h) </v>
      </c>
      <c r="R4" s="64"/>
      <c r="S4" s="76"/>
      <c r="T4" s="75" t="str">
        <f>G4</f>
        <v xml:space="preserve">Time (h) </v>
      </c>
      <c r="U4" s="64"/>
      <c r="V4" s="64"/>
      <c r="W4" s="64"/>
      <c r="X4" s="76"/>
      <c r="Y4" s="124" t="str">
        <f>G4</f>
        <v xml:space="preserve">Time (h) </v>
      </c>
      <c r="Z4" s="125"/>
      <c r="AA4" s="125"/>
      <c r="AB4" s="126"/>
      <c r="AI4" s="2"/>
      <c r="AJ4" s="2"/>
      <c r="AK4" s="2"/>
      <c r="AL4" s="2"/>
      <c r="AM4" s="2"/>
      <c r="AN4" s="2"/>
    </row>
    <row r="5" spans="1:40" s="63" customFormat="1" ht="23.5" customHeight="1" thickBot="1" x14ac:dyDescent="0.4">
      <c r="C5" s="59" t="s">
        <v>1</v>
      </c>
      <c r="D5" s="59" t="s">
        <v>2</v>
      </c>
      <c r="E5" s="59" t="s">
        <v>3</v>
      </c>
      <c r="F5" s="59" t="s">
        <v>4</v>
      </c>
      <c r="G5" s="77">
        <v>0</v>
      </c>
      <c r="H5" s="32">
        <v>3</v>
      </c>
      <c r="I5" s="32">
        <v>7</v>
      </c>
      <c r="J5" s="32">
        <v>10</v>
      </c>
      <c r="K5" s="78">
        <v>24</v>
      </c>
      <c r="L5" s="77">
        <f>G5</f>
        <v>0</v>
      </c>
      <c r="M5" s="32">
        <f>H5</f>
        <v>3</v>
      </c>
      <c r="N5" s="32">
        <f>I5</f>
        <v>7</v>
      </c>
      <c r="O5" s="32">
        <f>J5</f>
        <v>10</v>
      </c>
      <c r="P5" s="78">
        <f>K5</f>
        <v>24</v>
      </c>
      <c r="Q5" s="77">
        <f>G5</f>
        <v>0</v>
      </c>
      <c r="R5" s="32">
        <f>I5</f>
        <v>7</v>
      </c>
      <c r="S5" s="78">
        <f>K5</f>
        <v>24</v>
      </c>
      <c r="T5" s="77">
        <f>G5</f>
        <v>0</v>
      </c>
      <c r="U5" s="32">
        <f>H5</f>
        <v>3</v>
      </c>
      <c r="V5" s="32">
        <f>I5</f>
        <v>7</v>
      </c>
      <c r="W5" s="32">
        <f>J5</f>
        <v>10</v>
      </c>
      <c r="X5" s="78">
        <f>K5</f>
        <v>24</v>
      </c>
      <c r="Y5" s="32">
        <f>G5</f>
        <v>0</v>
      </c>
      <c r="Z5" s="32">
        <f>I5</f>
        <v>7</v>
      </c>
      <c r="AA5" s="32">
        <f>J5</f>
        <v>10</v>
      </c>
      <c r="AB5" s="130">
        <f>K5</f>
        <v>24</v>
      </c>
      <c r="AC5" s="69"/>
      <c r="AD5" s="69"/>
      <c r="AE5" s="70"/>
    </row>
    <row r="6" spans="1:40" x14ac:dyDescent="0.25">
      <c r="B6" s="131" t="s">
        <v>19</v>
      </c>
      <c r="C6" s="21" t="s">
        <v>18</v>
      </c>
      <c r="D6" s="21">
        <v>0</v>
      </c>
      <c r="E6" s="21">
        <v>100</v>
      </c>
      <c r="F6" s="21" t="s">
        <v>6</v>
      </c>
      <c r="G6" s="134">
        <v>2.75</v>
      </c>
      <c r="H6" s="22">
        <v>2.36</v>
      </c>
      <c r="I6" s="22">
        <v>2.35</v>
      </c>
      <c r="J6" s="22">
        <v>2.37</v>
      </c>
      <c r="K6" s="135">
        <v>2.25</v>
      </c>
      <c r="L6" s="134">
        <v>1.08</v>
      </c>
      <c r="M6" s="22">
        <v>0.98</v>
      </c>
      <c r="N6" s="22">
        <v>0.96</v>
      </c>
      <c r="O6" s="22">
        <v>0.99</v>
      </c>
      <c r="P6" s="135">
        <v>0.92</v>
      </c>
      <c r="Q6" s="134">
        <v>1.1299999999999999</v>
      </c>
      <c r="R6" s="22">
        <v>1</v>
      </c>
      <c r="S6" s="135">
        <v>0.94</v>
      </c>
      <c r="T6" s="134">
        <v>7.86</v>
      </c>
      <c r="U6" s="22">
        <v>7.92</v>
      </c>
      <c r="V6" s="22">
        <v>7.99</v>
      </c>
      <c r="W6" s="22">
        <v>8.14</v>
      </c>
      <c r="X6" s="135">
        <v>8.33</v>
      </c>
      <c r="Y6" s="136">
        <v>105000</v>
      </c>
      <c r="Z6" s="23">
        <f>(49/100)*10^6*2/10</f>
        <v>98000</v>
      </c>
      <c r="AA6" s="23"/>
      <c r="AB6" s="137">
        <f>(35/100)*10^6*2/10</f>
        <v>70000</v>
      </c>
      <c r="AI6" s="2"/>
      <c r="AJ6" s="2"/>
      <c r="AK6" s="2"/>
      <c r="AL6" s="2"/>
      <c r="AM6" s="2"/>
      <c r="AN6" s="2"/>
    </row>
    <row r="7" spans="1:40" x14ac:dyDescent="0.25">
      <c r="B7" s="132"/>
      <c r="C7" s="24"/>
      <c r="D7" s="24"/>
      <c r="E7" s="24"/>
      <c r="F7" s="24"/>
      <c r="G7" s="138">
        <v>2.75</v>
      </c>
      <c r="H7" s="25">
        <v>2.25</v>
      </c>
      <c r="I7" s="25">
        <v>2.4300000000000002</v>
      </c>
      <c r="J7" s="25">
        <v>2.2690000000000001</v>
      </c>
      <c r="K7" s="139">
        <v>2.46</v>
      </c>
      <c r="L7" s="138">
        <v>1.08</v>
      </c>
      <c r="M7" s="25">
        <v>0.97</v>
      </c>
      <c r="N7" s="25">
        <v>0.96</v>
      </c>
      <c r="O7" s="25">
        <v>0.98</v>
      </c>
      <c r="P7" s="139">
        <v>0.92</v>
      </c>
      <c r="Q7" s="138">
        <v>1.1200000000000001</v>
      </c>
      <c r="R7" s="25">
        <v>1</v>
      </c>
      <c r="S7" s="139">
        <v>0.94</v>
      </c>
      <c r="T7" s="138">
        <v>7.86</v>
      </c>
      <c r="U7" s="25">
        <v>7.92</v>
      </c>
      <c r="V7" s="25">
        <v>7.99</v>
      </c>
      <c r="W7" s="25">
        <v>8.14</v>
      </c>
      <c r="X7" s="139">
        <v>8.33</v>
      </c>
      <c r="Y7" s="140">
        <v>154000</v>
      </c>
      <c r="Z7" s="26">
        <f>(47/100)*10^6*2/10</f>
        <v>94000</v>
      </c>
      <c r="AA7" s="26"/>
      <c r="AB7" s="141">
        <f>(43/100)*10^6*2/10</f>
        <v>86000</v>
      </c>
      <c r="AI7" s="2"/>
      <c r="AJ7" s="2"/>
      <c r="AK7" s="2"/>
      <c r="AL7" s="2"/>
      <c r="AM7" s="2"/>
      <c r="AN7" s="2"/>
    </row>
    <row r="8" spans="1:40" x14ac:dyDescent="0.25">
      <c r="B8" s="132"/>
      <c r="C8" s="24"/>
      <c r="D8" s="24"/>
      <c r="E8" s="24"/>
      <c r="F8" s="27" t="s">
        <v>7</v>
      </c>
      <c r="G8" s="138">
        <f>AVERAGE(G6:G7)</f>
        <v>2.75</v>
      </c>
      <c r="H8" s="25">
        <f>AVERAGE(H6:H7)</f>
        <v>2.3049999999999997</v>
      </c>
      <c r="I8" s="25">
        <f>AVERAGE(I6:I7)</f>
        <v>2.39</v>
      </c>
      <c r="J8" s="46">
        <f>AVERAGE(J6:J7)</f>
        <v>2.3195000000000001</v>
      </c>
      <c r="K8" s="139">
        <f>AVERAGE(K6:K7)</f>
        <v>2.355</v>
      </c>
      <c r="L8" s="138">
        <f>AVERAGE(L6:L7)</f>
        <v>1.08</v>
      </c>
      <c r="M8" s="25">
        <f>AVERAGE(M6:M7)</f>
        <v>0.97499999999999998</v>
      </c>
      <c r="N8" s="25">
        <f>AVERAGE(N6:N7)</f>
        <v>0.96</v>
      </c>
      <c r="O8" s="46">
        <f>AVERAGE(O6:O7)</f>
        <v>0.98499999999999999</v>
      </c>
      <c r="P8" s="139">
        <f>AVERAGE(P6:P7)</f>
        <v>0.92</v>
      </c>
      <c r="Q8" s="138">
        <f>AVERAGE(Q6:Q7)</f>
        <v>1.125</v>
      </c>
      <c r="R8" s="25">
        <f>AVERAGE(R6:R7)</f>
        <v>1</v>
      </c>
      <c r="S8" s="139">
        <f>AVERAGE(S6:S7)</f>
        <v>0.94</v>
      </c>
      <c r="T8" s="138">
        <f>AVERAGE(T6:T7)</f>
        <v>7.86</v>
      </c>
      <c r="U8" s="25">
        <f>AVERAGE(U6:U7)</f>
        <v>7.92</v>
      </c>
      <c r="V8" s="25">
        <f>AVERAGE(V6:V7)</f>
        <v>7.99</v>
      </c>
      <c r="W8" s="25">
        <f>AVERAGE(W6:W7)</f>
        <v>8.14</v>
      </c>
      <c r="X8" s="139">
        <f>AVERAGE(X6:X7)</f>
        <v>8.33</v>
      </c>
      <c r="Y8" s="140">
        <f>AVERAGE(Y6:Y7)</f>
        <v>129500</v>
      </c>
      <c r="Z8" s="26">
        <f>AVERAGE(Z6:Z7)</f>
        <v>96000</v>
      </c>
      <c r="AA8" s="26"/>
      <c r="AB8" s="141">
        <f>AVERAGE(AB6:AB7)</f>
        <v>78000</v>
      </c>
      <c r="AI8" s="2"/>
      <c r="AJ8" s="2"/>
      <c r="AK8" s="2"/>
      <c r="AL8" s="2"/>
      <c r="AM8" s="2"/>
      <c r="AN8" s="2"/>
    </row>
    <row r="9" spans="1:40" x14ac:dyDescent="0.25">
      <c r="B9" s="132"/>
      <c r="C9" s="142"/>
      <c r="D9" s="142"/>
      <c r="E9" s="142"/>
      <c r="F9" s="28" t="s">
        <v>8</v>
      </c>
      <c r="G9" s="143">
        <f>(STDEV(G6:G7))/(SQRT(COUNT(G6:G7)))</f>
        <v>0</v>
      </c>
      <c r="H9" s="29">
        <f>(STDEV(H6:H7))/(SQRT(COUNT(H6:H7)))</f>
        <v>5.4999999999999931E-2</v>
      </c>
      <c r="I9" s="29">
        <f>(STDEV(I6:I7))/(SQRT(COUNT(I6:I7)))</f>
        <v>4.0000000000000036E-2</v>
      </c>
      <c r="J9" s="29">
        <f>(STDEV(J6:J7))/(SQRT(COUNT(J6:J7)))</f>
        <v>5.0499999999999982E-2</v>
      </c>
      <c r="K9" s="144">
        <f>(STDEV(K6:K7))/(SQRT(COUNT(K6:K7)))</f>
        <v>0.10499999999999997</v>
      </c>
      <c r="L9" s="143">
        <f>(STDEV(L6:L7))/(SQRT(COUNT(L6:L7)))</f>
        <v>0</v>
      </c>
      <c r="M9" s="29">
        <f>(STDEV(M6:M7))/(SQRT(COUNT(M6:M7)))</f>
        <v>5.0000000000000044E-3</v>
      </c>
      <c r="N9" s="29">
        <f>(STDEV(N6:N7))/(SQRT(COUNT(N6:N7)))</f>
        <v>0</v>
      </c>
      <c r="O9" s="29">
        <f>(STDEV(O6:O7))/(SQRT(COUNT(O6:O7)))</f>
        <v>5.0000000000000044E-3</v>
      </c>
      <c r="P9" s="144">
        <f>(STDEV(P6:P7))/(SQRT(COUNT(P6:P7)))</f>
        <v>0</v>
      </c>
      <c r="Q9" s="143">
        <f>(STDEV(Q6:Q7))/(SQRT(COUNT(Q6:Q7)))</f>
        <v>4.9999999999998934E-3</v>
      </c>
      <c r="R9" s="29">
        <f>(STDEV(R6:R7))/(SQRT(COUNT(R6:R7)))</f>
        <v>0</v>
      </c>
      <c r="S9" s="144">
        <f>(STDEV(S6:S7))/(SQRT(COUNT(S6:S7)))</f>
        <v>0</v>
      </c>
      <c r="T9" s="143">
        <f>(STDEV(T6:T7))/(SQRT(COUNT(T6:T7)))</f>
        <v>0</v>
      </c>
      <c r="U9" s="29">
        <f>(STDEV(U6:U7))/(SQRT(COUNT(U6:U7)))</f>
        <v>0</v>
      </c>
      <c r="V9" s="29">
        <f>(STDEV(V6:V7))/(SQRT(COUNT(V6:V7)))</f>
        <v>0</v>
      </c>
      <c r="W9" s="29">
        <f>(STDEV(W6:W7))/(SQRT(COUNT(W6:W7)))</f>
        <v>0</v>
      </c>
      <c r="X9" s="144">
        <f>(STDEV(X6:X7))/(SQRT(COUNT(X6:X7)))</f>
        <v>0</v>
      </c>
      <c r="Y9" s="145">
        <f>(STDEV(Y6:Y7))/(SQRT(COUNT(Y6:Y7)))</f>
        <v>24500</v>
      </c>
      <c r="Z9" s="30">
        <f>(STDEV(Z6:Z7))/(SQRT(COUNT(Z6:Z7)))</f>
        <v>2000</v>
      </c>
      <c r="AA9" s="30"/>
      <c r="AB9" s="146">
        <f>(STDEV(AB6:AB7))/(SQRT(COUNT(AB6:AB7)))</f>
        <v>8000</v>
      </c>
      <c r="AI9" s="2"/>
      <c r="AJ9" s="2"/>
      <c r="AK9" s="2"/>
      <c r="AL9" s="2"/>
      <c r="AM9" s="2"/>
      <c r="AN9" s="2"/>
    </row>
    <row r="10" spans="1:40" x14ac:dyDescent="0.25">
      <c r="B10" s="132"/>
      <c r="C10" s="7" t="s">
        <v>5</v>
      </c>
      <c r="D10" s="7">
        <v>50</v>
      </c>
      <c r="E10" s="7">
        <v>100</v>
      </c>
      <c r="F10" s="7" t="s">
        <v>6</v>
      </c>
      <c r="G10" s="99">
        <f>2*2.05</f>
        <v>4.0999999999999996</v>
      </c>
      <c r="H10" s="8">
        <v>2.56</v>
      </c>
      <c r="I10" s="8">
        <v>1.64</v>
      </c>
      <c r="J10" s="8">
        <v>0.78</v>
      </c>
      <c r="K10" s="100">
        <v>8.0000000000000002E-3</v>
      </c>
      <c r="L10" s="99">
        <v>0.97</v>
      </c>
      <c r="M10" s="8">
        <v>0.75</v>
      </c>
      <c r="N10" s="8">
        <v>0.42</v>
      </c>
      <c r="O10" s="8">
        <v>0.14000000000000001</v>
      </c>
      <c r="P10" s="100">
        <v>1.2999999999999999E-2</v>
      </c>
      <c r="Q10" s="99">
        <v>1</v>
      </c>
      <c r="R10" s="8">
        <v>0.46</v>
      </c>
      <c r="S10" s="100">
        <v>6.5000000000000002E-2</v>
      </c>
      <c r="T10" s="99">
        <v>7.43</v>
      </c>
      <c r="U10" s="8">
        <v>8.74</v>
      </c>
      <c r="V10" s="8">
        <v>9.5399999999999991</v>
      </c>
      <c r="W10" s="8">
        <v>10.130000000000001</v>
      </c>
      <c r="X10" s="100">
        <v>11.38</v>
      </c>
      <c r="Y10" s="101">
        <v>105000</v>
      </c>
      <c r="Z10" s="12"/>
      <c r="AA10" s="12">
        <f>(45/200)*10^6*5/10</f>
        <v>112500</v>
      </c>
      <c r="AB10" s="102">
        <f>(95/100)*10^6*2/10</f>
        <v>190000</v>
      </c>
      <c r="AI10" s="2"/>
      <c r="AJ10" s="2"/>
      <c r="AK10" s="2"/>
      <c r="AL10" s="2"/>
      <c r="AM10" s="2"/>
      <c r="AN10" s="2"/>
    </row>
    <row r="11" spans="1:40" x14ac:dyDescent="0.25">
      <c r="B11" s="132"/>
      <c r="C11" s="13"/>
      <c r="D11" s="13"/>
      <c r="E11" s="13"/>
      <c r="F11" s="13"/>
      <c r="G11" s="79">
        <f>2*2.05</f>
        <v>4.0999999999999996</v>
      </c>
      <c r="H11" s="9">
        <v>2.4300000000000002</v>
      </c>
      <c r="I11" s="9">
        <v>1.65</v>
      </c>
      <c r="J11" s="9">
        <v>0.62</v>
      </c>
      <c r="K11" s="80">
        <v>2E-3</v>
      </c>
      <c r="L11" s="79">
        <v>0.97</v>
      </c>
      <c r="M11" s="9">
        <v>0.75</v>
      </c>
      <c r="N11" s="9">
        <v>0.42</v>
      </c>
      <c r="O11" s="9">
        <v>0.14000000000000001</v>
      </c>
      <c r="P11" s="80">
        <v>1.2E-2</v>
      </c>
      <c r="Q11" s="79">
        <v>1</v>
      </c>
      <c r="R11" s="9"/>
      <c r="S11" s="80"/>
      <c r="T11" s="79"/>
      <c r="U11" s="9"/>
      <c r="V11" s="9"/>
      <c r="W11" s="9"/>
      <c r="X11" s="80"/>
      <c r="Y11" s="90">
        <v>154000</v>
      </c>
      <c r="Z11" s="5"/>
      <c r="AA11" s="5">
        <f>1.1*10^5</f>
        <v>110000.00000000001</v>
      </c>
      <c r="AB11" s="91">
        <f>2*10^5</f>
        <v>200000</v>
      </c>
      <c r="AI11" s="2"/>
      <c r="AJ11" s="2"/>
      <c r="AK11" s="2"/>
      <c r="AL11" s="2"/>
      <c r="AM11" s="2"/>
      <c r="AN11" s="2"/>
    </row>
    <row r="12" spans="1:40" x14ac:dyDescent="0.25">
      <c r="B12" s="132"/>
      <c r="C12" s="13"/>
      <c r="D12" s="13"/>
      <c r="E12" s="13"/>
      <c r="F12" s="14" t="s">
        <v>7</v>
      </c>
      <c r="G12" s="79">
        <f>AVERAGE(G10:G11)</f>
        <v>4.0999999999999996</v>
      </c>
      <c r="H12" s="9">
        <f>AVERAGE(H10:H11)*(2.09/2.5)</f>
        <v>2.08582</v>
      </c>
      <c r="I12" s="9">
        <f>AVERAGE(I10:I11)*(2.09/2.5)</f>
        <v>1.3752199999999999</v>
      </c>
      <c r="J12" s="20">
        <f>AVERAGE(J10:J11)*(2.09/2.5)</f>
        <v>0.58519999999999994</v>
      </c>
      <c r="K12" s="80">
        <f>AVERAGE(K10:K11)*(2.09/2.5)</f>
        <v>4.1799999999999997E-3</v>
      </c>
      <c r="L12" s="79">
        <f>AVERAGE(L10:L11)*(1.08/0.97)</f>
        <v>1.08</v>
      </c>
      <c r="M12" s="9">
        <f>AVERAGE(M10:M11)*(1.08/0.97)</f>
        <v>0.83505154639175261</v>
      </c>
      <c r="N12" s="9">
        <f>AVERAGE(N10:N11)*(1.08/0.97)</f>
        <v>0.46762886597938147</v>
      </c>
      <c r="O12" s="20">
        <f>AVERAGE(O10:O11)*(1.08/0.97)</f>
        <v>0.15587628865979383</v>
      </c>
      <c r="P12" s="80">
        <f>AVERAGE(P10:P11)*(1.08/0.97)</f>
        <v>1.3917525773195877E-2</v>
      </c>
      <c r="Q12" s="79">
        <f>AVERAGE(Q10:Q11)</f>
        <v>1</v>
      </c>
      <c r="R12" s="9">
        <f>AVERAGE(R10:R11)</f>
        <v>0.46</v>
      </c>
      <c r="S12" s="80">
        <f>AVERAGE(S10:S11)</f>
        <v>6.5000000000000002E-2</v>
      </c>
      <c r="T12" s="79">
        <f>AVERAGE(T10:T11)</f>
        <v>7.43</v>
      </c>
      <c r="U12" s="9">
        <f>AVERAGE(U10:U11)</f>
        <v>8.74</v>
      </c>
      <c r="V12" s="9">
        <f>AVERAGE(V10:V11)</f>
        <v>9.5399999999999991</v>
      </c>
      <c r="W12" s="9">
        <f>AVERAGE(W10:W11)</f>
        <v>10.130000000000001</v>
      </c>
      <c r="X12" s="80">
        <f>AVERAGE(X10:X11)</f>
        <v>11.38</v>
      </c>
      <c r="Y12" s="90">
        <f>AVERAGE(Y10:Y11)</f>
        <v>129500</v>
      </c>
      <c r="Z12" s="5"/>
      <c r="AA12" s="5">
        <f>AVERAGE(AA10:AA11)</f>
        <v>111250</v>
      </c>
      <c r="AB12" s="91">
        <f>AVERAGE(AB10:AB11)</f>
        <v>195000</v>
      </c>
      <c r="AI12" s="2"/>
      <c r="AJ12" s="2"/>
      <c r="AK12" s="2"/>
      <c r="AL12" s="2"/>
      <c r="AM12" s="2"/>
      <c r="AN12" s="2"/>
    </row>
    <row r="13" spans="1:40" x14ac:dyDescent="0.25">
      <c r="B13" s="132"/>
      <c r="C13" s="60"/>
      <c r="D13" s="60"/>
      <c r="E13" s="60"/>
      <c r="F13" s="16" t="s">
        <v>8</v>
      </c>
      <c r="G13" s="103">
        <f>(STDEV(G10:G11))/(SQRT(COUNT(G10:G11)))</f>
        <v>0</v>
      </c>
      <c r="H13" s="17">
        <f>(STDEV(H10:H11))/(SQRT(COUNT(H10:H11)))</f>
        <v>6.4999999999999947E-2</v>
      </c>
      <c r="I13" s="17">
        <f>(STDEV(I10:I11))/(SQRT(COUNT(I10:I11)))</f>
        <v>5.0000000000000044E-3</v>
      </c>
      <c r="J13" s="18">
        <f>(STDEV(J10:J11))/(SQRT(COUNT(J10:J11)))</f>
        <v>8.0000000000000793E-2</v>
      </c>
      <c r="K13" s="104">
        <f>(STDEV(K10:K11))/(SQRT(COUNT(K10:K11)))</f>
        <v>2.9999999999999996E-3</v>
      </c>
      <c r="L13" s="103">
        <f>(STDEV(L10:L11))/(SQRT(COUNT(L10:L11)))</f>
        <v>0</v>
      </c>
      <c r="M13" s="17">
        <f>(STDEV(M10:M11))/(SQRT(COUNT(M10:M11)))</f>
        <v>0</v>
      </c>
      <c r="N13" s="17">
        <f>(STDEV(N10:N11))/(SQRT(COUNT(N10:N11)))</f>
        <v>0</v>
      </c>
      <c r="O13" s="17">
        <f>(STDEV(O10:O11))/(SQRT(COUNT(O10:O11)))</f>
        <v>0</v>
      </c>
      <c r="P13" s="104">
        <f>(STDEV(P10:P11))/(SQRT(COUNT(P10:P11)))</f>
        <v>4.9999999999999958E-4</v>
      </c>
      <c r="Q13" s="103">
        <f>(STDEV(Q10:Q11))/(SQRT(COUNT(Q10:Q11)))</f>
        <v>0</v>
      </c>
      <c r="R13" s="17"/>
      <c r="S13" s="104"/>
      <c r="T13" s="103"/>
      <c r="U13" s="17"/>
      <c r="V13" s="17"/>
      <c r="W13" s="17"/>
      <c r="X13" s="104"/>
      <c r="Y13" s="105">
        <f>(STDEV(Y10:Y11))/(SQRT(COUNT(Y10:Y11)))</f>
        <v>24500</v>
      </c>
      <c r="Z13" s="19"/>
      <c r="AA13" s="19">
        <f>(STDEV(AA10:AA11))/(SQRT(COUNT(AA10:AA11)))</f>
        <v>1249.9999999999927</v>
      </c>
      <c r="AB13" s="106">
        <f>(STDEV(AB10:AB11))/(SQRT(COUNT(AB10:AB11)))</f>
        <v>4999.9999999999991</v>
      </c>
      <c r="AI13" s="2"/>
      <c r="AJ13" s="2"/>
      <c r="AK13" s="2"/>
      <c r="AL13" s="2"/>
      <c r="AM13" s="2"/>
      <c r="AN13" s="2"/>
    </row>
    <row r="14" spans="1:40" x14ac:dyDescent="0.25">
      <c r="B14" s="132"/>
      <c r="C14" s="7" t="s">
        <v>5</v>
      </c>
      <c r="D14" s="7">
        <v>200</v>
      </c>
      <c r="E14" s="7">
        <v>100</v>
      </c>
      <c r="F14" s="7" t="s">
        <v>6</v>
      </c>
      <c r="G14" s="99">
        <f>2*2.05</f>
        <v>4.0999999999999996</v>
      </c>
      <c r="H14" s="8">
        <v>2.56</v>
      </c>
      <c r="I14" s="8">
        <v>1.55</v>
      </c>
      <c r="J14" s="8">
        <v>0.6</v>
      </c>
      <c r="K14" s="100">
        <v>2E-3</v>
      </c>
      <c r="L14" s="99">
        <v>0.97</v>
      </c>
      <c r="M14" s="8">
        <v>0.76</v>
      </c>
      <c r="N14" s="8">
        <v>0.41</v>
      </c>
      <c r="O14" s="8">
        <v>0.14000000000000001</v>
      </c>
      <c r="P14" s="100">
        <v>1.0999999999999999E-2</v>
      </c>
      <c r="Q14" s="99">
        <v>1</v>
      </c>
      <c r="R14" s="8">
        <v>0.45</v>
      </c>
      <c r="S14" s="100">
        <v>6.4000000000000001E-2</v>
      </c>
      <c r="T14" s="99">
        <v>7.43</v>
      </c>
      <c r="U14" s="8">
        <v>8.73</v>
      </c>
      <c r="V14" s="8">
        <v>9.57</v>
      </c>
      <c r="W14" s="8">
        <v>10.14</v>
      </c>
      <c r="X14" s="100">
        <v>11.36</v>
      </c>
      <c r="Y14" s="101">
        <v>105000</v>
      </c>
      <c r="Z14" s="12"/>
      <c r="AA14" s="12">
        <f>(62/200)*10^6*5/10</f>
        <v>155000</v>
      </c>
      <c r="AB14" s="102">
        <f>(152/60)*10^6*2/10</f>
        <v>506666.66666666663</v>
      </c>
      <c r="AI14" s="2"/>
      <c r="AJ14" s="2"/>
      <c r="AK14" s="2"/>
      <c r="AL14" s="2"/>
      <c r="AM14" s="2"/>
      <c r="AN14" s="2"/>
    </row>
    <row r="15" spans="1:40" x14ac:dyDescent="0.25">
      <c r="B15" s="132"/>
      <c r="C15" s="13"/>
      <c r="D15" s="13"/>
      <c r="E15" s="13"/>
      <c r="F15" s="13"/>
      <c r="G15" s="79">
        <f>2*2.05</f>
        <v>4.0999999999999996</v>
      </c>
      <c r="H15" s="9">
        <v>2.4300000000000002</v>
      </c>
      <c r="I15" s="9">
        <v>1.53</v>
      </c>
      <c r="J15" s="9">
        <v>0.54</v>
      </c>
      <c r="K15" s="80">
        <v>2E-3</v>
      </c>
      <c r="L15" s="79">
        <v>0.97</v>
      </c>
      <c r="M15" s="9">
        <v>0.75</v>
      </c>
      <c r="N15" s="9">
        <v>0.41</v>
      </c>
      <c r="O15" s="9">
        <v>0.14000000000000001</v>
      </c>
      <c r="P15" s="80">
        <v>1.2999999999999999E-2</v>
      </c>
      <c r="Q15" s="79">
        <v>1</v>
      </c>
      <c r="R15" s="9"/>
      <c r="S15" s="80"/>
      <c r="T15" s="79"/>
      <c r="U15" s="9"/>
      <c r="V15" s="9"/>
      <c r="W15" s="9"/>
      <c r="X15" s="80"/>
      <c r="Y15" s="90">
        <v>154000</v>
      </c>
      <c r="Z15" s="5"/>
      <c r="AA15" s="5">
        <f>1.5*10^5</f>
        <v>150000</v>
      </c>
      <c r="AB15" s="91">
        <f>5.02*10^5</f>
        <v>501999.99999999994</v>
      </c>
      <c r="AI15" s="2"/>
      <c r="AJ15" s="2"/>
      <c r="AK15" s="2"/>
      <c r="AL15" s="2"/>
      <c r="AM15" s="2"/>
      <c r="AN15" s="2"/>
    </row>
    <row r="16" spans="1:40" x14ac:dyDescent="0.25">
      <c r="B16" s="132"/>
      <c r="C16" s="13"/>
      <c r="D16" s="13"/>
      <c r="E16" s="13"/>
      <c r="F16" s="14" t="s">
        <v>7</v>
      </c>
      <c r="G16" s="79">
        <f>AVERAGE(G14:G15)</f>
        <v>4.0999999999999996</v>
      </c>
      <c r="H16" s="9">
        <f>AVERAGE(H14:H15)*(2.09/2.5)</f>
        <v>2.08582</v>
      </c>
      <c r="I16" s="9">
        <f>AVERAGE(I14:I15)*(2.09/2.5)</f>
        <v>1.2874399999999999</v>
      </c>
      <c r="J16" s="20">
        <f>AVERAGE(J14:J15)*(2.09/2.5)</f>
        <v>0.47652000000000005</v>
      </c>
      <c r="K16" s="80">
        <f>AVERAGE(K14:K15)*(2.09/2.5)</f>
        <v>1.6719999999999999E-3</v>
      </c>
      <c r="L16" s="79">
        <f>AVERAGE(L14:L15)*(1.08/0.97)</f>
        <v>1.08</v>
      </c>
      <c r="M16" s="9">
        <f>AVERAGE(M14:M15)*(1.08/0.97)</f>
        <v>0.84061855670103092</v>
      </c>
      <c r="N16" s="9">
        <f>AVERAGE(N14:N15)*(1.08/0.97)</f>
        <v>0.45649484536082474</v>
      </c>
      <c r="O16" s="9">
        <f>AVERAGE(O14:O15)*(1.08/0.97)</f>
        <v>0.15587628865979383</v>
      </c>
      <c r="P16" s="80">
        <f>AVERAGE(P14:P15)*(1.08/0.97)</f>
        <v>1.3360824742268042E-2</v>
      </c>
      <c r="Q16" s="79">
        <f>AVERAGE(Q14:Q15)</f>
        <v>1</v>
      </c>
      <c r="R16" s="9">
        <f>AVERAGE(R14:R15)</f>
        <v>0.45</v>
      </c>
      <c r="S16" s="80">
        <f>AVERAGE(S14:S15)</f>
        <v>6.4000000000000001E-2</v>
      </c>
      <c r="T16" s="79">
        <f>AVERAGE(T14:T15)</f>
        <v>7.43</v>
      </c>
      <c r="U16" s="9">
        <f>AVERAGE(U14:U15)</f>
        <v>8.73</v>
      </c>
      <c r="V16" s="9">
        <f>AVERAGE(V14:V15)</f>
        <v>9.57</v>
      </c>
      <c r="W16" s="9">
        <f>AVERAGE(W14:W15)</f>
        <v>10.14</v>
      </c>
      <c r="X16" s="80">
        <f>AVERAGE(X14:X15)</f>
        <v>11.36</v>
      </c>
      <c r="Y16" s="90">
        <f>AVERAGE(Y14:Y15)</f>
        <v>129500</v>
      </c>
      <c r="Z16" s="5"/>
      <c r="AA16" s="5">
        <f>AVERAGE(AA14:AA15)</f>
        <v>152500</v>
      </c>
      <c r="AB16" s="91">
        <f>AVERAGE(AB14:AB15)</f>
        <v>504333.33333333326</v>
      </c>
      <c r="AI16" s="2"/>
      <c r="AJ16" s="2"/>
      <c r="AK16" s="2"/>
      <c r="AL16" s="2"/>
      <c r="AM16" s="2"/>
      <c r="AN16" s="2"/>
    </row>
    <row r="17" spans="2:40" x14ac:dyDescent="0.25">
      <c r="B17" s="132"/>
      <c r="C17" s="60"/>
      <c r="D17" s="60"/>
      <c r="E17" s="60"/>
      <c r="F17" s="16" t="s">
        <v>8</v>
      </c>
      <c r="G17" s="103">
        <f>(STDEV(G14:G15))/(SQRT(COUNT(G14:G15)))</f>
        <v>0</v>
      </c>
      <c r="H17" s="17">
        <f>(STDEV(H14:H15))/(SQRT(COUNT(H14:H15)))</f>
        <v>6.4999999999999947E-2</v>
      </c>
      <c r="I17" s="17">
        <f>(STDEV(I14:I15))/(SQRT(COUNT(I14:I15)))</f>
        <v>1.0000000000000009E-2</v>
      </c>
      <c r="J17" s="18">
        <f>(STDEV(J14:J15))/(SQRT(COUNT(J14:J15)))</f>
        <v>2.9999999999999971E-2</v>
      </c>
      <c r="K17" s="104">
        <f>(STDEV(K14:K15))/(SQRT(COUNT(K14:K15)))</f>
        <v>0</v>
      </c>
      <c r="L17" s="103">
        <f>(STDEV(L14:L15))/(SQRT(COUNT(L14:L15)))</f>
        <v>0</v>
      </c>
      <c r="M17" s="17">
        <f>(STDEV(M14:M15))/(SQRT(COUNT(M14:M15)))</f>
        <v>5.0000000000000044E-3</v>
      </c>
      <c r="N17" s="17">
        <f>(STDEV(N14:N15))/(SQRT(COUNT(N14:N15)))</f>
        <v>0</v>
      </c>
      <c r="O17" s="17">
        <f>(STDEV(O14:O15))/(SQRT(COUNT(O14:O15)))</f>
        <v>0</v>
      </c>
      <c r="P17" s="104">
        <f>(STDEV(P14:P15))/(SQRT(COUNT(P14:P15)))</f>
        <v>1E-3</v>
      </c>
      <c r="Q17" s="103">
        <f>(STDEV(Q14:Q15))/(SQRT(COUNT(Q14:Q15)))</f>
        <v>0</v>
      </c>
      <c r="R17" s="17"/>
      <c r="S17" s="104"/>
      <c r="T17" s="103"/>
      <c r="U17" s="17"/>
      <c r="V17" s="17"/>
      <c r="W17" s="17"/>
      <c r="X17" s="104"/>
      <c r="Y17" s="105">
        <f>(STDEV(Y14:Y15))/(SQRT(COUNT(Y14:Y15)))</f>
        <v>24500</v>
      </c>
      <c r="Z17" s="19"/>
      <c r="AA17" s="19">
        <f>(STDEV(AA14:AA15))/(SQRT(COUNT(AA14:AA15)))</f>
        <v>2499.9999999999995</v>
      </c>
      <c r="AB17" s="106">
        <f>(STDEV(AB14:AB15))/(SQRT(COUNT(AB14:AB15)))</f>
        <v>2333.333333333343</v>
      </c>
      <c r="AI17" s="2"/>
      <c r="AJ17" s="2"/>
      <c r="AK17" s="2"/>
      <c r="AL17" s="2"/>
      <c r="AM17" s="2"/>
      <c r="AN17" s="2"/>
    </row>
    <row r="18" spans="2:40" x14ac:dyDescent="0.25">
      <c r="B18" s="132"/>
      <c r="C18" s="7" t="s">
        <v>5</v>
      </c>
      <c r="D18" s="7">
        <v>500</v>
      </c>
      <c r="E18" s="7">
        <v>100</v>
      </c>
      <c r="F18" s="7" t="s">
        <v>6</v>
      </c>
      <c r="G18" s="99">
        <f>2*2.05</f>
        <v>4.0999999999999996</v>
      </c>
      <c r="H18" s="8">
        <v>2.56</v>
      </c>
      <c r="I18" s="8">
        <v>1.1200000000000001</v>
      </c>
      <c r="J18" s="8">
        <v>0.17</v>
      </c>
      <c r="K18" s="100">
        <v>8.9999999999999993E-3</v>
      </c>
      <c r="L18" s="99">
        <v>0.97</v>
      </c>
      <c r="M18" s="8">
        <v>0.72</v>
      </c>
      <c r="N18" s="8">
        <v>0.14000000000000001</v>
      </c>
      <c r="O18" s="8">
        <v>2.5000000000000001E-2</v>
      </c>
      <c r="P18" s="100">
        <v>1.6E-2</v>
      </c>
      <c r="Q18" s="99">
        <v>1</v>
      </c>
      <c r="R18" s="8">
        <v>0.19</v>
      </c>
      <c r="S18" s="100">
        <v>7.1999999999999995E-2</v>
      </c>
      <c r="T18" s="99">
        <v>7.43</v>
      </c>
      <c r="U18" s="8">
        <v>8.94</v>
      </c>
      <c r="V18" s="8">
        <v>10.15</v>
      </c>
      <c r="W18" s="8">
        <v>10.91</v>
      </c>
      <c r="X18" s="100">
        <v>11.36</v>
      </c>
      <c r="Y18" s="101">
        <v>105000</v>
      </c>
      <c r="Z18" s="12"/>
      <c r="AA18" s="12">
        <f>(49/200)*10^6*5/10</f>
        <v>122500</v>
      </c>
      <c r="AB18" s="102">
        <f>(135/100)*10^6*2/10</f>
        <v>270000</v>
      </c>
      <c r="AI18" s="2"/>
      <c r="AJ18" s="2"/>
      <c r="AK18" s="2"/>
      <c r="AL18" s="2"/>
      <c r="AM18" s="2"/>
      <c r="AN18" s="2"/>
    </row>
    <row r="19" spans="2:40" x14ac:dyDescent="0.25">
      <c r="B19" s="132"/>
      <c r="C19" s="13"/>
      <c r="D19" s="13"/>
      <c r="E19" s="13"/>
      <c r="F19" s="13"/>
      <c r="G19" s="79">
        <f>2*2.05</f>
        <v>4.0999999999999996</v>
      </c>
      <c r="H19" s="9">
        <v>2.4300000000000002</v>
      </c>
      <c r="I19" s="9">
        <v>1.1100000000000001</v>
      </c>
      <c r="J19" s="9">
        <v>0.16</v>
      </c>
      <c r="K19" s="80">
        <v>4.0000000000000001E-3</v>
      </c>
      <c r="L19" s="79">
        <v>0.97</v>
      </c>
      <c r="M19" s="9">
        <v>0.73</v>
      </c>
      <c r="N19" s="9">
        <v>0.15</v>
      </c>
      <c r="O19" s="9">
        <v>2.1000000000000001E-2</v>
      </c>
      <c r="P19" s="80">
        <v>1.7999999999999999E-2</v>
      </c>
      <c r="Q19" s="79">
        <v>1</v>
      </c>
      <c r="R19" s="9"/>
      <c r="S19" s="80"/>
      <c r="T19" s="79"/>
      <c r="U19" s="9"/>
      <c r="V19" s="9"/>
      <c r="W19" s="9"/>
      <c r="X19" s="80"/>
      <c r="Y19" s="90">
        <v>154000</v>
      </c>
      <c r="Z19" s="5"/>
      <c r="AA19" s="5">
        <f>1.2*10^5</f>
        <v>120000</v>
      </c>
      <c r="AB19" s="91">
        <f>2.68*10^5</f>
        <v>268000</v>
      </c>
      <c r="AI19" s="2"/>
      <c r="AJ19" s="2"/>
      <c r="AK19" s="2"/>
      <c r="AL19" s="2"/>
      <c r="AM19" s="2"/>
      <c r="AN19" s="2"/>
    </row>
    <row r="20" spans="2:40" x14ac:dyDescent="0.25">
      <c r="B20" s="132"/>
      <c r="C20" s="13"/>
      <c r="D20" s="13"/>
      <c r="E20" s="13"/>
      <c r="F20" s="14" t="s">
        <v>7</v>
      </c>
      <c r="G20" s="79">
        <f>AVERAGE(G18:G19)</f>
        <v>4.0999999999999996</v>
      </c>
      <c r="H20" s="9">
        <f>AVERAGE(H18:H19)*(2.09/2.5)</f>
        <v>2.08582</v>
      </c>
      <c r="I20" s="9">
        <f>AVERAGE(I18:I19)*(2.09/2.5)</f>
        <v>0.93214000000000019</v>
      </c>
      <c r="J20" s="20">
        <f>AVERAGE(J18:J19)*(2.09/2.5)</f>
        <v>0.13794000000000001</v>
      </c>
      <c r="K20" s="80">
        <f>AVERAGE(K18:K19)*(2.09/2.5)</f>
        <v>5.4339999999999996E-3</v>
      </c>
      <c r="L20" s="79">
        <f>AVERAGE(L18:L19)*(1.08/0.97)</f>
        <v>1.08</v>
      </c>
      <c r="M20" s="9">
        <f>AVERAGE(M18:M19)*(1.08/0.97)</f>
        <v>0.80721649484536084</v>
      </c>
      <c r="N20" s="9">
        <f>AVERAGE(N18:N19)*(1.08/0.97)</f>
        <v>0.1614432989690722</v>
      </c>
      <c r="O20" s="20">
        <f>AVERAGE(O18:O19)*(1.08/0.97)</f>
        <v>2.5608247422680412E-2</v>
      </c>
      <c r="P20" s="80">
        <f>AVERAGE(P18:P19)*(1.08/0.97)</f>
        <v>1.8927835051546393E-2</v>
      </c>
      <c r="Q20" s="79">
        <f>AVERAGE(Q18:Q19)</f>
        <v>1</v>
      </c>
      <c r="R20" s="9">
        <f>AVERAGE(R18:R19)</f>
        <v>0.19</v>
      </c>
      <c r="S20" s="80">
        <f>AVERAGE(S18:S19)</f>
        <v>7.1999999999999995E-2</v>
      </c>
      <c r="T20" s="79">
        <f>AVERAGE(T18:T19)</f>
        <v>7.43</v>
      </c>
      <c r="U20" s="9">
        <f>AVERAGE(U18:U19)</f>
        <v>8.94</v>
      </c>
      <c r="V20" s="9">
        <f>AVERAGE(V18:V19)</f>
        <v>10.15</v>
      </c>
      <c r="W20" s="9">
        <f>AVERAGE(W18:W19)</f>
        <v>10.91</v>
      </c>
      <c r="X20" s="80">
        <f>AVERAGE(X18:X19)</f>
        <v>11.36</v>
      </c>
      <c r="Y20" s="90">
        <f>AVERAGE(Y18:Y19)</f>
        <v>129500</v>
      </c>
      <c r="Z20" s="5"/>
      <c r="AA20" s="5">
        <f>AVERAGE(AA18:AA19)</f>
        <v>121250</v>
      </c>
      <c r="AB20" s="91">
        <f>AVERAGE(AB18:AB19)</f>
        <v>269000</v>
      </c>
      <c r="AI20" s="2"/>
      <c r="AJ20" s="2"/>
      <c r="AK20" s="2"/>
      <c r="AL20" s="2"/>
      <c r="AM20" s="2"/>
      <c r="AN20" s="2"/>
    </row>
    <row r="21" spans="2:40" x14ac:dyDescent="0.25">
      <c r="B21" s="132"/>
      <c r="C21" s="60"/>
      <c r="D21" s="60"/>
      <c r="E21" s="60"/>
      <c r="F21" s="16" t="s">
        <v>8</v>
      </c>
      <c r="G21" s="103">
        <f>(STDEV(G18:G19))/(SQRT(COUNT(G18:G19)))</f>
        <v>0</v>
      </c>
      <c r="H21" s="17">
        <f>(STDEV(H18:H19))/(SQRT(COUNT(H18:H19)))</f>
        <v>6.4999999999999947E-2</v>
      </c>
      <c r="I21" s="17">
        <f>(STDEV(I18:I19))/(SQRT(COUNT(I18:I19)))</f>
        <v>5.0000000000000044E-3</v>
      </c>
      <c r="J21" s="18">
        <f>(STDEV(J18:J19))/(SQRT(COUNT(J18:J19)))</f>
        <v>5.0000000000000044E-3</v>
      </c>
      <c r="K21" s="104">
        <f>(STDEV(K18:K19))/(SQRT(COUNT(K18:K19)))</f>
        <v>2.4999999999999988E-3</v>
      </c>
      <c r="L21" s="103">
        <f>(STDEV(L18:L19))/(SQRT(COUNT(L18:L19)))</f>
        <v>0</v>
      </c>
      <c r="M21" s="17">
        <f>(STDEV(M18:M19))/(SQRT(COUNT(M18:M19)))</f>
        <v>5.0000000000000044E-3</v>
      </c>
      <c r="N21" s="17">
        <f>(STDEV(N18:N19))/(SQRT(COUNT(N18:N19)))</f>
        <v>4.9999999999999906E-3</v>
      </c>
      <c r="O21" s="18">
        <f>(STDEV(O18:O19))/(SQRT(COUNT(O18:O19)))</f>
        <v>2E-3</v>
      </c>
      <c r="P21" s="104">
        <f>(STDEV(P18:P19))/(SQRT(COUNT(P18:P19)))</f>
        <v>9.9999999999999915E-4</v>
      </c>
      <c r="Q21" s="103">
        <f>(STDEV(Q18:Q19))/(SQRT(COUNT(Q18:Q19)))</f>
        <v>0</v>
      </c>
      <c r="R21" s="17"/>
      <c r="S21" s="104"/>
      <c r="T21" s="103"/>
      <c r="U21" s="17"/>
      <c r="V21" s="17"/>
      <c r="W21" s="17"/>
      <c r="X21" s="104"/>
      <c r="Y21" s="105">
        <f>(STDEV(Y18:Y19))/(SQRT(COUNT(Y18:Y19)))</f>
        <v>24500</v>
      </c>
      <c r="Z21" s="19"/>
      <c r="AA21" s="19">
        <f>(STDEV(AA18:AA19))/(SQRT(COUNT(AA18:AA19)))</f>
        <v>1249.9999999999998</v>
      </c>
      <c r="AB21" s="106">
        <f>(STDEV(AB18:AB19))/(SQRT(COUNT(AB18:AB19)))</f>
        <v>1000</v>
      </c>
      <c r="AI21" s="2"/>
      <c r="AJ21" s="2"/>
      <c r="AK21" s="2"/>
      <c r="AL21" s="2"/>
      <c r="AM21" s="2"/>
      <c r="AN21" s="2"/>
    </row>
    <row r="22" spans="2:40" x14ac:dyDescent="0.25">
      <c r="B22" s="132"/>
      <c r="C22" s="7" t="s">
        <v>11</v>
      </c>
      <c r="D22" s="7">
        <v>1000</v>
      </c>
      <c r="E22" s="7">
        <v>100</v>
      </c>
      <c r="F22" s="7" t="s">
        <v>6</v>
      </c>
      <c r="G22" s="99">
        <f>2*2.05</f>
        <v>4.0999999999999996</v>
      </c>
      <c r="H22" s="8">
        <v>2.56</v>
      </c>
      <c r="I22" s="8">
        <v>0.79</v>
      </c>
      <c r="J22" s="8">
        <v>0.06</v>
      </c>
      <c r="K22" s="100">
        <v>8.0000000000000002E-3</v>
      </c>
      <c r="L22" s="99">
        <v>0.97</v>
      </c>
      <c r="M22" s="8">
        <v>0.68</v>
      </c>
      <c r="N22" s="8">
        <v>7.0000000000000007E-2</v>
      </c>
      <c r="O22" s="8">
        <v>1.2999999999999999E-2</v>
      </c>
      <c r="P22" s="100">
        <v>1.7000000000000001E-2</v>
      </c>
      <c r="Q22" s="99">
        <v>1</v>
      </c>
      <c r="R22" s="8">
        <v>0.13</v>
      </c>
      <c r="S22" s="100">
        <v>6.9000000000000006E-2</v>
      </c>
      <c r="T22" s="99">
        <v>7.43</v>
      </c>
      <c r="U22" s="8">
        <v>9.1</v>
      </c>
      <c r="V22" s="8">
        <v>10.55</v>
      </c>
      <c r="W22" s="8">
        <v>11.05</v>
      </c>
      <c r="X22" s="100">
        <v>11.32</v>
      </c>
      <c r="Y22" s="101">
        <v>105000</v>
      </c>
      <c r="Z22" s="12"/>
      <c r="AA22" s="12">
        <f>(62/200)*10^6*5/10</f>
        <v>155000</v>
      </c>
      <c r="AB22" s="102">
        <f>(167/80)*10^6*2/10</f>
        <v>417500</v>
      </c>
      <c r="AI22" s="2"/>
      <c r="AJ22" s="2"/>
      <c r="AK22" s="2"/>
      <c r="AL22" s="2"/>
      <c r="AM22" s="2"/>
      <c r="AN22" s="2"/>
    </row>
    <row r="23" spans="2:40" x14ac:dyDescent="0.25">
      <c r="B23" s="132"/>
      <c r="C23" s="13"/>
      <c r="D23" s="13"/>
      <c r="E23" s="13"/>
      <c r="F23" s="13"/>
      <c r="G23" s="79">
        <f>2*2.05</f>
        <v>4.0999999999999996</v>
      </c>
      <c r="H23" s="9">
        <v>2.4300000000000002</v>
      </c>
      <c r="I23" s="9">
        <v>0.79</v>
      </c>
      <c r="J23" s="9">
        <v>0.03</v>
      </c>
      <c r="K23" s="80">
        <v>7.0000000000000001E-3</v>
      </c>
      <c r="L23" s="79">
        <v>0.97</v>
      </c>
      <c r="M23" s="9">
        <v>0.69</v>
      </c>
      <c r="N23" s="9">
        <v>0.08</v>
      </c>
      <c r="O23" s="9">
        <v>1.6E-2</v>
      </c>
      <c r="P23" s="80">
        <v>1.7999999999999999E-2</v>
      </c>
      <c r="Q23" s="79">
        <v>1</v>
      </c>
      <c r="R23" s="9"/>
      <c r="S23" s="80"/>
      <c r="T23" s="79"/>
      <c r="U23" s="9"/>
      <c r="V23" s="9"/>
      <c r="W23" s="9"/>
      <c r="X23" s="80"/>
      <c r="Y23" s="90">
        <v>154000</v>
      </c>
      <c r="Z23" s="5"/>
      <c r="AA23" s="5">
        <f>1.54*10^5</f>
        <v>154000</v>
      </c>
      <c r="AB23" s="91">
        <f>4.1*10^5</f>
        <v>409999.99999999994</v>
      </c>
      <c r="AI23" s="2"/>
      <c r="AJ23" s="2"/>
      <c r="AK23" s="2"/>
      <c r="AL23" s="2"/>
      <c r="AM23" s="2"/>
      <c r="AN23" s="2"/>
    </row>
    <row r="24" spans="2:40" x14ac:dyDescent="0.25">
      <c r="B24" s="132"/>
      <c r="C24" s="13"/>
      <c r="D24" s="13"/>
      <c r="E24" s="13"/>
      <c r="F24" s="14" t="s">
        <v>7</v>
      </c>
      <c r="G24" s="79">
        <f>AVERAGE(G22:G23)</f>
        <v>4.0999999999999996</v>
      </c>
      <c r="H24" s="9">
        <f>AVERAGE(H22:H23)*(2.09/2.5)</f>
        <v>2.08582</v>
      </c>
      <c r="I24" s="9">
        <f>AVERAGE(I22:I23)*(2.09/2.5)</f>
        <v>0.66044000000000003</v>
      </c>
      <c r="J24" s="20">
        <f>AVERAGE(J22:J23)*(2.09/2.5)</f>
        <v>3.7619999999999994E-2</v>
      </c>
      <c r="K24" s="80">
        <f>AVERAGE(K22:K23)*(2.09/2.5)</f>
        <v>6.2699999999999995E-3</v>
      </c>
      <c r="L24" s="79">
        <f>AVERAGE(L22:L23)*(1.08/0.97)</f>
        <v>1.08</v>
      </c>
      <c r="M24" s="9">
        <f>AVERAGE(M22:M23)*(1.08/0.97)</f>
        <v>0.76268041237113415</v>
      </c>
      <c r="N24" s="9">
        <f>AVERAGE(N22:N23)*(1.08/0.97)</f>
        <v>8.3505154639175266E-2</v>
      </c>
      <c r="O24" s="20">
        <f>AVERAGE(O22:O23)*(1.08/0.97)</f>
        <v>1.6144329896907218E-2</v>
      </c>
      <c r="P24" s="80">
        <f>AVERAGE(P22:P23)*(1.08/0.97)</f>
        <v>1.9484536082474229E-2</v>
      </c>
      <c r="Q24" s="79">
        <f>AVERAGE(Q22:Q23)</f>
        <v>1</v>
      </c>
      <c r="R24" s="9">
        <f>AVERAGE(R22:R23)</f>
        <v>0.13</v>
      </c>
      <c r="S24" s="80">
        <f>AVERAGE(S22:S23)</f>
        <v>6.9000000000000006E-2</v>
      </c>
      <c r="T24" s="79">
        <f>AVERAGE(T22:T23)</f>
        <v>7.43</v>
      </c>
      <c r="U24" s="9">
        <f>AVERAGE(U22:U23)</f>
        <v>9.1</v>
      </c>
      <c r="V24" s="9">
        <f>AVERAGE(V22:V23)</f>
        <v>10.55</v>
      </c>
      <c r="W24" s="9">
        <f>AVERAGE(W22:W23)</f>
        <v>11.05</v>
      </c>
      <c r="X24" s="80">
        <f>AVERAGE(X22:X23)</f>
        <v>11.32</v>
      </c>
      <c r="Y24" s="90">
        <f>AVERAGE(Y22:Y23)</f>
        <v>129500</v>
      </c>
      <c r="Z24" s="5"/>
      <c r="AA24" s="5">
        <f>AVERAGE(AA22:AA23)</f>
        <v>154500</v>
      </c>
      <c r="AB24" s="91">
        <f>AVERAGE(AB22:AB23)</f>
        <v>413750</v>
      </c>
      <c r="AI24" s="2"/>
      <c r="AJ24" s="2"/>
      <c r="AK24" s="2"/>
      <c r="AL24" s="2"/>
      <c r="AM24" s="2"/>
      <c r="AN24" s="2"/>
    </row>
    <row r="25" spans="2:40" x14ac:dyDescent="0.25">
      <c r="B25" s="132"/>
      <c r="C25" s="60"/>
      <c r="D25" s="60"/>
      <c r="E25" s="60"/>
      <c r="F25" s="16" t="s">
        <v>8</v>
      </c>
      <c r="G25" s="103">
        <f>(STDEV(G22:G23))/(SQRT(COUNT(G22:G23)))</f>
        <v>0</v>
      </c>
      <c r="H25" s="17">
        <f>(STDEV(H22:H23))/(SQRT(COUNT(H22:H23)))</f>
        <v>6.4999999999999947E-2</v>
      </c>
      <c r="I25" s="17">
        <f>(STDEV(I22:I23))/(SQRT(COUNT(I22:I23)))</f>
        <v>0</v>
      </c>
      <c r="J25" s="18">
        <f>(STDEV(J22:J23))/(SQRT(COUNT(J22:J23)))</f>
        <v>1.4999999999999998E-2</v>
      </c>
      <c r="K25" s="104">
        <f>(STDEV(K22:K23))/(SQRT(COUNT(K22:K23)))</f>
        <v>5.0000000000000001E-4</v>
      </c>
      <c r="L25" s="103">
        <f>(STDEV(L22:L23))/(SQRT(COUNT(L22:L23)))</f>
        <v>0</v>
      </c>
      <c r="M25" s="17">
        <f>(STDEV(M22:M23))/(SQRT(COUNT(M22:M23)))</f>
        <v>4.9999999999999489E-3</v>
      </c>
      <c r="N25" s="17">
        <f>(STDEV(N22:N23))/(SQRT(COUNT(N22:N23)))</f>
        <v>4.9999999999999975E-3</v>
      </c>
      <c r="O25" s="18">
        <f>(STDEV(O22:O23))/(SQRT(COUNT(O22:O23)))</f>
        <v>1.5000000000000005E-3</v>
      </c>
      <c r="P25" s="104">
        <f>(STDEV(P22:P23))/(SQRT(COUNT(P22:P23)))</f>
        <v>4.999999999999986E-4</v>
      </c>
      <c r="Q25" s="103">
        <f>(STDEV(Q22:Q23))/(SQRT(COUNT(Q22:Q23)))</f>
        <v>0</v>
      </c>
      <c r="R25" s="17"/>
      <c r="S25" s="104"/>
      <c r="T25" s="103"/>
      <c r="U25" s="17"/>
      <c r="V25" s="17"/>
      <c r="W25" s="17"/>
      <c r="X25" s="104"/>
      <c r="Y25" s="105">
        <f>(STDEV(Y22:Y23))/(SQRT(COUNT(Y22:Y23)))</f>
        <v>24500</v>
      </c>
      <c r="Z25" s="19"/>
      <c r="AA25" s="19">
        <f>(STDEV(AA22:AA23))/(SQRT(COUNT(AA22:AA23)))</f>
        <v>500</v>
      </c>
      <c r="AB25" s="106">
        <f>(STDEV(AB22:AB23))/(SQRT(COUNT(AB22:AB23)))</f>
        <v>3750.0000000000291</v>
      </c>
      <c r="AI25" s="2"/>
      <c r="AJ25" s="2"/>
      <c r="AK25" s="2"/>
      <c r="AL25" s="2"/>
      <c r="AM25" s="2"/>
      <c r="AN25" s="2"/>
    </row>
    <row r="26" spans="2:40" x14ac:dyDescent="0.25">
      <c r="B26" s="132"/>
      <c r="C26" s="33" t="s">
        <v>9</v>
      </c>
      <c r="D26" s="33">
        <v>50</v>
      </c>
      <c r="E26" s="33">
        <v>100</v>
      </c>
      <c r="F26" s="33" t="s">
        <v>6</v>
      </c>
      <c r="G26" s="107">
        <v>2.75</v>
      </c>
      <c r="H26" s="34">
        <v>2.08</v>
      </c>
      <c r="I26" s="34">
        <v>1.68</v>
      </c>
      <c r="J26" s="34">
        <v>1.0900000000000001</v>
      </c>
      <c r="K26" s="108">
        <v>2.3E-2</v>
      </c>
      <c r="L26" s="107">
        <v>1.08</v>
      </c>
      <c r="M26" s="34">
        <v>0.95</v>
      </c>
      <c r="N26" s="34">
        <v>0.86</v>
      </c>
      <c r="O26" s="34">
        <v>0.82</v>
      </c>
      <c r="P26" s="108">
        <v>2.9000000000000001E-2</v>
      </c>
      <c r="Q26" s="107">
        <v>1.1299999999999999</v>
      </c>
      <c r="R26" s="34">
        <v>0.9</v>
      </c>
      <c r="S26" s="108">
        <v>6.3E-2</v>
      </c>
      <c r="T26" s="107">
        <v>7.86</v>
      </c>
      <c r="U26" s="34">
        <v>8.36</v>
      </c>
      <c r="V26" s="34">
        <v>8.7899999999999991</v>
      </c>
      <c r="W26" s="34">
        <v>9.0399999999999991</v>
      </c>
      <c r="X26" s="108">
        <v>10.44</v>
      </c>
      <c r="Y26" s="109">
        <v>105000</v>
      </c>
      <c r="Z26" s="127"/>
      <c r="AA26" s="35">
        <f>(45/100)*10^6*2/10</f>
        <v>90000</v>
      </c>
      <c r="AB26" s="110">
        <f>(45/100)*10^6*2/10</f>
        <v>90000</v>
      </c>
      <c r="AI26" s="2"/>
      <c r="AJ26" s="2"/>
      <c r="AK26" s="2"/>
      <c r="AL26" s="2"/>
      <c r="AM26" s="2"/>
      <c r="AN26" s="2"/>
    </row>
    <row r="27" spans="2:40" x14ac:dyDescent="0.25">
      <c r="B27" s="132"/>
      <c r="C27" s="36"/>
      <c r="D27" s="36"/>
      <c r="E27" s="36"/>
      <c r="F27" s="36"/>
      <c r="G27" s="81">
        <v>2.75</v>
      </c>
      <c r="H27" s="37">
        <v>1.88</v>
      </c>
      <c r="I27" s="37">
        <v>1.71</v>
      </c>
      <c r="J27" s="37">
        <v>1.47</v>
      </c>
      <c r="K27" s="82">
        <v>2.3E-2</v>
      </c>
      <c r="L27" s="81">
        <v>1.08</v>
      </c>
      <c r="M27" s="37">
        <v>0.95</v>
      </c>
      <c r="N27" s="37">
        <v>0.85</v>
      </c>
      <c r="O27" s="37">
        <v>0.81</v>
      </c>
      <c r="P27" s="82">
        <v>2.5999999999999999E-2</v>
      </c>
      <c r="Q27" s="81">
        <v>1.1200000000000001</v>
      </c>
      <c r="R27" s="37">
        <v>0.9</v>
      </c>
      <c r="S27" s="82">
        <v>6.3E-2</v>
      </c>
      <c r="T27" s="81">
        <v>7.86</v>
      </c>
      <c r="U27" s="37">
        <v>8.36</v>
      </c>
      <c r="V27" s="37">
        <v>8.7899999999999991</v>
      </c>
      <c r="W27" s="37">
        <v>9.0399999999999991</v>
      </c>
      <c r="X27" s="82">
        <v>10.44</v>
      </c>
      <c r="Y27" s="92">
        <v>154000</v>
      </c>
      <c r="Z27" s="38"/>
      <c r="AA27" s="38">
        <f>(49/100)*10^6*2/10</f>
        <v>98000</v>
      </c>
      <c r="AB27" s="93">
        <f>(54/100)*10^6*2/10</f>
        <v>108000</v>
      </c>
      <c r="AI27" s="2"/>
      <c r="AJ27" s="2"/>
      <c r="AK27" s="2"/>
      <c r="AL27" s="2"/>
      <c r="AM27" s="2"/>
      <c r="AN27" s="2"/>
    </row>
    <row r="28" spans="2:40" x14ac:dyDescent="0.25">
      <c r="B28" s="132"/>
      <c r="C28" s="36"/>
      <c r="D28" s="36"/>
      <c r="E28" s="36"/>
      <c r="F28" s="39" t="s">
        <v>7</v>
      </c>
      <c r="G28" s="81">
        <f>AVERAGE(G26:G27)</f>
        <v>2.75</v>
      </c>
      <c r="H28" s="37">
        <f>AVERAGE(H26:H27)</f>
        <v>1.98</v>
      </c>
      <c r="I28" s="37">
        <f>AVERAGE(I26:I27)</f>
        <v>1.6949999999999998</v>
      </c>
      <c r="J28" s="40">
        <f>AVERAGE(J26:J27)</f>
        <v>1.28</v>
      </c>
      <c r="K28" s="82">
        <f>AVERAGE(K26:K27)</f>
        <v>2.3E-2</v>
      </c>
      <c r="L28" s="81">
        <f>AVERAGE(L26:L27)</f>
        <v>1.08</v>
      </c>
      <c r="M28" s="37">
        <f>AVERAGE(M26:M27)</f>
        <v>0.95</v>
      </c>
      <c r="N28" s="37">
        <f>AVERAGE(N26:N27)</f>
        <v>0.85499999999999998</v>
      </c>
      <c r="O28" s="40">
        <f>AVERAGE(O26:O27)</f>
        <v>0.81499999999999995</v>
      </c>
      <c r="P28" s="82">
        <f>AVERAGE(P26:P27)</f>
        <v>2.75E-2</v>
      </c>
      <c r="Q28" s="81">
        <f>AVERAGE(Q26:Q27)</f>
        <v>1.125</v>
      </c>
      <c r="R28" s="37">
        <f>AVERAGE(R26:R27)</f>
        <v>0.9</v>
      </c>
      <c r="S28" s="82">
        <f>AVERAGE(S26:S27)</f>
        <v>6.3E-2</v>
      </c>
      <c r="T28" s="81">
        <f>AVERAGE(T26:T27)</f>
        <v>7.86</v>
      </c>
      <c r="U28" s="37">
        <f>AVERAGE(U26:U27)</f>
        <v>8.36</v>
      </c>
      <c r="V28" s="37">
        <f>AVERAGE(V26:V27)</f>
        <v>8.7899999999999991</v>
      </c>
      <c r="W28" s="37">
        <f>AVERAGE(W26:W27)</f>
        <v>9.0399999999999991</v>
      </c>
      <c r="X28" s="82">
        <f>AVERAGE(X26:X27)</f>
        <v>10.44</v>
      </c>
      <c r="Y28" s="92">
        <f>AVERAGE(Y26:Y27)</f>
        <v>129500</v>
      </c>
      <c r="Z28" s="38"/>
      <c r="AA28" s="38">
        <f>AVERAGE(AA26:AA27)</f>
        <v>94000</v>
      </c>
      <c r="AB28" s="93">
        <f>AVERAGE(AB26:AB27)</f>
        <v>99000</v>
      </c>
      <c r="AC28" s="15"/>
      <c r="AI28" s="2"/>
      <c r="AJ28" s="2"/>
      <c r="AK28" s="2"/>
      <c r="AL28" s="2"/>
      <c r="AM28" s="2"/>
      <c r="AN28" s="2"/>
    </row>
    <row r="29" spans="2:40" x14ac:dyDescent="0.25">
      <c r="B29" s="132"/>
      <c r="C29" s="61"/>
      <c r="D29" s="61"/>
      <c r="E29" s="61"/>
      <c r="F29" s="41" t="s">
        <v>8</v>
      </c>
      <c r="G29" s="111">
        <f>(STDEV(G26:G27))/(SQRT(COUNT(G26:G27)))</f>
        <v>0</v>
      </c>
      <c r="H29" s="42">
        <f>(STDEV(H26:H27))/(SQRT(COUNT(H26:H27)))</f>
        <v>0.10000000000000009</v>
      </c>
      <c r="I29" s="42">
        <f>(STDEV(I26:I27))/(SQRT(COUNT(I26:I27)))</f>
        <v>1.5000000000000012E-2</v>
      </c>
      <c r="J29" s="43">
        <f>(STDEV(J26:J27))/(SQRT(COUNT(J26:J27)))</f>
        <v>0.19000000000000006</v>
      </c>
      <c r="K29" s="112">
        <f>(STDEV(K26:K27))/(SQRT(COUNT(K26:K27)))</f>
        <v>0</v>
      </c>
      <c r="L29" s="111">
        <f>(STDEV(L26:L27))/(SQRT(COUNT(L26:L27)))</f>
        <v>0</v>
      </c>
      <c r="M29" s="42">
        <f>(STDEV(M26:M27))/(SQRT(COUNT(M26:M27)))</f>
        <v>0</v>
      </c>
      <c r="N29" s="42">
        <f>(STDEV(N26:N27))/(SQRT(COUNT(N26:N27)))</f>
        <v>5.0000000000000044E-3</v>
      </c>
      <c r="O29" s="43">
        <f>(STDEV(O26:O27))/(SQRT(COUNT(O26:O27)))</f>
        <v>4.9999999999999489E-3</v>
      </c>
      <c r="P29" s="112">
        <f>(STDEV(P26:P27))/(SQRT(COUNT(P26:P27)))</f>
        <v>1.5000000000000013E-3</v>
      </c>
      <c r="Q29" s="111">
        <f>(STDEV(Q26:Q27))/(SQRT(COUNT(Q26:Q27)))</f>
        <v>4.9999999999998934E-3</v>
      </c>
      <c r="R29" s="42">
        <f>(STDEV(R26:R27))/(SQRT(COUNT(R26:R27)))</f>
        <v>0</v>
      </c>
      <c r="S29" s="112">
        <f>(STDEV(S26:S27))/(SQRT(COUNT(S26:S27)))</f>
        <v>0</v>
      </c>
      <c r="T29" s="111">
        <f>(STDEV(T26:T27))/(SQRT(COUNT(T26:T27)))</f>
        <v>0</v>
      </c>
      <c r="U29" s="42">
        <f>(STDEV(U26:U27))/(SQRT(COUNT(U26:U27)))</f>
        <v>0</v>
      </c>
      <c r="V29" s="42">
        <f>(STDEV(V26:V27))/(SQRT(COUNT(V26:V27)))</f>
        <v>0</v>
      </c>
      <c r="W29" s="42">
        <f>(STDEV(W26:W27))/(SQRT(COUNT(W26:W27)))</f>
        <v>0</v>
      </c>
      <c r="X29" s="112">
        <f>(STDEV(X26:X27))/(SQRT(COUNT(X26:X27)))</f>
        <v>0</v>
      </c>
      <c r="Y29" s="113">
        <f>(STDEV(Y26:Y27))/(SQRT(COUNT(Y26:Y27)))</f>
        <v>24500</v>
      </c>
      <c r="Z29" s="44"/>
      <c r="AA29" s="44">
        <f>(STDEV(AA26:AA27))/(SQRT(COUNT(AA26:AA27)))</f>
        <v>4000</v>
      </c>
      <c r="AB29" s="128">
        <f>(STDEV(AB26:AB27))/(SQRT(COUNT(AB26:AB27)))</f>
        <v>8999.9999999999982</v>
      </c>
      <c r="AI29" s="2"/>
      <c r="AJ29" s="2"/>
      <c r="AK29" s="2"/>
      <c r="AL29" s="2"/>
      <c r="AM29" s="2"/>
      <c r="AN29" s="2"/>
    </row>
    <row r="30" spans="2:40" x14ac:dyDescent="0.25">
      <c r="B30" s="132"/>
      <c r="C30" s="33" t="s">
        <v>9</v>
      </c>
      <c r="D30" s="33">
        <v>200</v>
      </c>
      <c r="E30" s="33">
        <v>100</v>
      </c>
      <c r="F30" s="33" t="s">
        <v>6</v>
      </c>
      <c r="G30" s="107">
        <v>3.1</v>
      </c>
      <c r="H30" s="34">
        <v>1.66</v>
      </c>
      <c r="I30" s="34">
        <v>0.85</v>
      </c>
      <c r="J30" s="34">
        <v>0.155</v>
      </c>
      <c r="K30" s="108">
        <v>8.9999999999999993E-3</v>
      </c>
      <c r="L30" s="107">
        <v>1.1299999999999999</v>
      </c>
      <c r="M30" s="34">
        <v>0.89</v>
      </c>
      <c r="N30" s="34">
        <v>0.34899999999999998</v>
      </c>
      <c r="O30" s="34">
        <v>0.112</v>
      </c>
      <c r="P30" s="108">
        <v>2.4E-2</v>
      </c>
      <c r="Q30" s="107">
        <v>1.1599999999999999</v>
      </c>
      <c r="R30" s="34">
        <v>0.38400000000000001</v>
      </c>
      <c r="S30" s="108">
        <v>4.5999999999999999E-2</v>
      </c>
      <c r="T30" s="107">
        <v>7.86</v>
      </c>
      <c r="U30" s="34">
        <v>8.74</v>
      </c>
      <c r="V30" s="34">
        <v>9.34</v>
      </c>
      <c r="W30" s="34">
        <v>9.9</v>
      </c>
      <c r="X30" s="108">
        <v>11.34</v>
      </c>
      <c r="Y30" s="109">
        <v>105000</v>
      </c>
      <c r="Z30" s="35">
        <f>(77/100)*10^6*2/10</f>
        <v>154000</v>
      </c>
      <c r="AA30" s="35"/>
      <c r="AB30" s="110">
        <f>(163/100)*10^6*2/10</f>
        <v>326000</v>
      </c>
      <c r="AC30" s="11"/>
      <c r="AI30" s="2"/>
      <c r="AJ30" s="2"/>
      <c r="AK30" s="2"/>
      <c r="AL30" s="2"/>
      <c r="AM30" s="2"/>
      <c r="AN30" s="2"/>
    </row>
    <row r="31" spans="2:40" x14ac:dyDescent="0.25">
      <c r="B31" s="132"/>
      <c r="C31" s="36"/>
      <c r="D31" s="36"/>
      <c r="E31" s="36"/>
      <c r="F31" s="36"/>
      <c r="G31" s="81">
        <v>3.05</v>
      </c>
      <c r="H31" s="37">
        <v>1.77</v>
      </c>
      <c r="I31" s="37">
        <v>0.85</v>
      </c>
      <c r="J31" s="37">
        <v>0.154</v>
      </c>
      <c r="K31" s="82">
        <v>2E-3</v>
      </c>
      <c r="L31" s="81">
        <v>1.1200000000000001</v>
      </c>
      <c r="M31" s="37">
        <v>0.88</v>
      </c>
      <c r="N31" s="37">
        <v>0.35399999999999998</v>
      </c>
      <c r="O31" s="37">
        <v>0.11</v>
      </c>
      <c r="P31" s="82">
        <v>2.7E-2</v>
      </c>
      <c r="Q31" s="81">
        <v>1.1399999999999999</v>
      </c>
      <c r="R31" s="37">
        <v>0.4</v>
      </c>
      <c r="S31" s="82">
        <v>4.5999999999999999E-2</v>
      </c>
      <c r="T31" s="81">
        <v>7.86</v>
      </c>
      <c r="U31" s="37">
        <v>8.74</v>
      </c>
      <c r="V31" s="37">
        <v>9.34</v>
      </c>
      <c r="W31" s="37">
        <v>9.9</v>
      </c>
      <c r="X31" s="82">
        <v>11.34</v>
      </c>
      <c r="Y31" s="92">
        <v>154000</v>
      </c>
      <c r="Z31" s="38">
        <f>(58/100)*10^6*2/10</f>
        <v>116000</v>
      </c>
      <c r="AA31" s="38"/>
      <c r="AB31" s="93">
        <f>(127/80)*10^6*2/10</f>
        <v>317500</v>
      </c>
      <c r="AC31" s="11"/>
      <c r="AI31" s="2"/>
      <c r="AJ31" s="2"/>
      <c r="AK31" s="2"/>
      <c r="AL31" s="2"/>
      <c r="AM31" s="2"/>
      <c r="AN31" s="2"/>
    </row>
    <row r="32" spans="2:40" x14ac:dyDescent="0.25">
      <c r="B32" s="132"/>
      <c r="C32" s="36"/>
      <c r="D32" s="36"/>
      <c r="E32" s="36"/>
      <c r="F32" s="45" t="s">
        <v>7</v>
      </c>
      <c r="G32" s="81">
        <f>AVERAGE(G30:G31)</f>
        <v>3.0750000000000002</v>
      </c>
      <c r="H32" s="37">
        <f>AVERAGE(H30:H31)</f>
        <v>1.7149999999999999</v>
      </c>
      <c r="I32" s="37">
        <f>AVERAGE(I30:I31)</f>
        <v>0.85</v>
      </c>
      <c r="J32" s="40">
        <f>AVERAGE(J30:J31)</f>
        <v>0.1545</v>
      </c>
      <c r="K32" s="82">
        <f>AVERAGE(K30:K31)</f>
        <v>5.4999999999999997E-3</v>
      </c>
      <c r="L32" s="89">
        <f>AVERAGE(L30:L31)</f>
        <v>1.125</v>
      </c>
      <c r="M32" s="37">
        <f>AVERAGE(M30:M31)</f>
        <v>0.88500000000000001</v>
      </c>
      <c r="N32" s="37">
        <f>AVERAGE(N30:N31)</f>
        <v>0.35149999999999998</v>
      </c>
      <c r="O32" s="40">
        <f>AVERAGE(O30:O31)</f>
        <v>0.111</v>
      </c>
      <c r="P32" s="82">
        <f>AVERAGE(P30:P31)</f>
        <v>2.5500000000000002E-2</v>
      </c>
      <c r="Q32" s="81">
        <f>AVERAGE(Q30:Q31)</f>
        <v>1.1499999999999999</v>
      </c>
      <c r="R32" s="37">
        <f>AVERAGE(R30:R31)</f>
        <v>0.39200000000000002</v>
      </c>
      <c r="S32" s="82">
        <f>AVERAGE(S30:S31)</f>
        <v>4.5999999999999999E-2</v>
      </c>
      <c r="T32" s="81">
        <f>AVERAGE(T30:T31)</f>
        <v>7.86</v>
      </c>
      <c r="U32" s="37">
        <f>AVERAGE(U30:U31)</f>
        <v>8.74</v>
      </c>
      <c r="V32" s="37">
        <f>AVERAGE(V30:V31)</f>
        <v>9.34</v>
      </c>
      <c r="W32" s="37">
        <f>AVERAGE(W30:W31)</f>
        <v>9.9</v>
      </c>
      <c r="X32" s="82">
        <f>AVERAGE(X30:X31)</f>
        <v>11.34</v>
      </c>
      <c r="Y32" s="92">
        <f>AVERAGE(Y30:Y31)</f>
        <v>129500</v>
      </c>
      <c r="Z32" s="38">
        <f>AVERAGE(Z30:Z31)</f>
        <v>135000</v>
      </c>
      <c r="AA32" s="38"/>
      <c r="AB32" s="93">
        <f>AVERAGE(AB30:AB31)</f>
        <v>321750</v>
      </c>
      <c r="AC32" s="11"/>
      <c r="AD32" s="11"/>
      <c r="AI32" s="2"/>
      <c r="AJ32" s="2"/>
      <c r="AK32" s="2"/>
      <c r="AL32" s="2"/>
      <c r="AM32" s="2"/>
      <c r="AN32" s="2"/>
    </row>
    <row r="33" spans="2:40" x14ac:dyDescent="0.25">
      <c r="B33" s="132"/>
      <c r="C33" s="61"/>
      <c r="D33" s="61"/>
      <c r="E33" s="61"/>
      <c r="F33" s="41" t="s">
        <v>8</v>
      </c>
      <c r="G33" s="111">
        <f>(STDEV(G30:G31))/(SQRT(COUNT(G30:G31)))</f>
        <v>2.500000000000013E-2</v>
      </c>
      <c r="H33" s="42">
        <f>(STDEV(H30:H31))/(SQRT(COUNT(H30:H31)))</f>
        <v>5.5000000000000049E-2</v>
      </c>
      <c r="I33" s="42">
        <f>(STDEV(I30:I31))/(SQRT(COUNT(I30:I31)))</f>
        <v>0</v>
      </c>
      <c r="J33" s="43">
        <f>(STDEV(J30:J31))/(SQRT(COUNT(J30:J31)))</f>
        <v>5.0000000000000044E-4</v>
      </c>
      <c r="K33" s="112">
        <f>(STDEV(K30:K31))/(SQRT(COUNT(K30:K31)))</f>
        <v>3.4999999999999996E-3</v>
      </c>
      <c r="L33" s="111">
        <f>(STDEV(L30:L31))/(SQRT(COUNT(L30:L31)))</f>
        <v>4.9999999999998934E-3</v>
      </c>
      <c r="M33" s="42">
        <f>(STDEV(M30:M31))/(SQRT(COUNT(M30:M31)))</f>
        <v>5.0000000000000044E-3</v>
      </c>
      <c r="N33" s="42">
        <f>(STDEV(N30:N31))/(SQRT(COUNT(N30:N31)))</f>
        <v>2.5000000000000022E-3</v>
      </c>
      <c r="O33" s="43">
        <f>(STDEV(O30:O31))/(SQRT(COUNT(O30:O31)))</f>
        <v>1.0000000000000009E-3</v>
      </c>
      <c r="P33" s="112">
        <f>(STDEV(P30:P31))/(SQRT(COUNT(P30:P31)))</f>
        <v>1.4999999999999996E-3</v>
      </c>
      <c r="Q33" s="111">
        <f>(STDEV(Q30:Q31))/(SQRT(COUNT(Q30:Q31)))</f>
        <v>1.0000000000000009E-2</v>
      </c>
      <c r="R33" s="42">
        <f>(STDEV(R30:R31))/(SQRT(COUNT(R30:R31)))</f>
        <v>8.0000000000000071E-3</v>
      </c>
      <c r="S33" s="112">
        <f>(STDEV(S30:S31))/(SQRT(COUNT(S30:S31)))</f>
        <v>0</v>
      </c>
      <c r="T33" s="111">
        <f>(STDEV(T30:T31))/(SQRT(COUNT(T30:T31)))</f>
        <v>0</v>
      </c>
      <c r="U33" s="42">
        <f>(STDEV(U30:U31))/(SQRT(COUNT(U30:U31)))</f>
        <v>0</v>
      </c>
      <c r="V33" s="42">
        <f>(STDEV(V30:V31))/(SQRT(COUNT(V30:V31)))</f>
        <v>0</v>
      </c>
      <c r="W33" s="42">
        <f>(STDEV(W30:W31))/(SQRT(COUNT(W30:W31)))</f>
        <v>0</v>
      </c>
      <c r="X33" s="112">
        <f>(STDEV(X30:X31))/(SQRT(COUNT(X30:X31)))</f>
        <v>0</v>
      </c>
      <c r="Y33" s="113">
        <f>(STDEV(Y30:Y31))/(SQRT(COUNT(Y30:Y31)))</f>
        <v>24500</v>
      </c>
      <c r="Z33" s="44">
        <f>(STDEV(Z30:Z31))/(SQRT(COUNT(Z30:Z31)))</f>
        <v>19000</v>
      </c>
      <c r="AA33" s="44"/>
      <c r="AB33" s="128">
        <f>(STDEV(AB30:AB31))/(SQRT(COUNT(AB30:AB31)))</f>
        <v>4250</v>
      </c>
      <c r="AC33" s="11"/>
      <c r="AI33" s="2"/>
      <c r="AJ33" s="2"/>
      <c r="AK33" s="2"/>
      <c r="AL33" s="2"/>
      <c r="AM33" s="2"/>
      <c r="AN33" s="2"/>
    </row>
    <row r="34" spans="2:40" x14ac:dyDescent="0.25">
      <c r="B34" s="132"/>
      <c r="C34" s="33" t="s">
        <v>9</v>
      </c>
      <c r="D34" s="33">
        <v>500</v>
      </c>
      <c r="E34" s="33">
        <v>100</v>
      </c>
      <c r="F34" s="33" t="s">
        <v>6</v>
      </c>
      <c r="G34" s="107">
        <v>2.75</v>
      </c>
      <c r="H34" s="34">
        <v>1.95</v>
      </c>
      <c r="I34" s="34">
        <v>1.1200000000000001</v>
      </c>
      <c r="J34" s="34">
        <v>0.44700000000000001</v>
      </c>
      <c r="K34" s="108">
        <v>7.0000000000000001E-3</v>
      </c>
      <c r="L34" s="107">
        <v>1.08</v>
      </c>
      <c r="M34" s="34">
        <v>0.91</v>
      </c>
      <c r="N34" s="34">
        <v>0.37</v>
      </c>
      <c r="O34" s="34">
        <v>8.5999999999999993E-2</v>
      </c>
      <c r="P34" s="108">
        <v>2.8000000000000001E-2</v>
      </c>
      <c r="Q34" s="107">
        <v>1.1299999999999999</v>
      </c>
      <c r="R34" s="34">
        <v>0.41</v>
      </c>
      <c r="S34" s="108">
        <v>4.9000000000000002E-2</v>
      </c>
      <c r="T34" s="107">
        <v>7.86</v>
      </c>
      <c r="U34" s="34">
        <v>8.74</v>
      </c>
      <c r="V34" s="34">
        <v>9.43</v>
      </c>
      <c r="W34" s="34">
        <v>10.02</v>
      </c>
      <c r="X34" s="108">
        <v>11.32</v>
      </c>
      <c r="Y34" s="109">
        <v>105000</v>
      </c>
      <c r="Z34" s="35"/>
      <c r="AA34" s="35">
        <f>(67/100)*10^6*2/10</f>
        <v>134000</v>
      </c>
      <c r="AB34" s="110">
        <f>(91/100)*10^6*2/10</f>
        <v>182000</v>
      </c>
      <c r="AI34" s="2"/>
      <c r="AJ34" s="2"/>
      <c r="AK34" s="2"/>
      <c r="AL34" s="2"/>
      <c r="AM34" s="2"/>
      <c r="AN34" s="2"/>
    </row>
    <row r="35" spans="2:40" x14ac:dyDescent="0.25">
      <c r="B35" s="132"/>
      <c r="C35" s="36"/>
      <c r="D35" s="36"/>
      <c r="E35" s="36"/>
      <c r="F35" s="36"/>
      <c r="G35" s="81">
        <v>2.75</v>
      </c>
      <c r="H35" s="37">
        <v>2.02</v>
      </c>
      <c r="I35" s="37">
        <v>1.1599999999999999</v>
      </c>
      <c r="J35" s="37">
        <v>0.35099999999999998</v>
      </c>
      <c r="K35" s="82">
        <v>4.0000000000000001E-3</v>
      </c>
      <c r="L35" s="81">
        <v>1.08</v>
      </c>
      <c r="M35" s="37">
        <v>0.91</v>
      </c>
      <c r="N35" s="37">
        <v>0.37</v>
      </c>
      <c r="O35" s="37">
        <v>9.0999999999999998E-2</v>
      </c>
      <c r="P35" s="82">
        <v>2.4E-2</v>
      </c>
      <c r="Q35" s="81">
        <v>1.1200000000000001</v>
      </c>
      <c r="R35" s="37">
        <v>0.41</v>
      </c>
      <c r="S35" s="82">
        <v>4.9000000000000002E-2</v>
      </c>
      <c r="T35" s="81">
        <v>7.86</v>
      </c>
      <c r="U35" s="37">
        <v>8.74</v>
      </c>
      <c r="V35" s="37">
        <v>9.43</v>
      </c>
      <c r="W35" s="37">
        <v>10.02</v>
      </c>
      <c r="X35" s="82">
        <v>11.32</v>
      </c>
      <c r="Y35" s="92">
        <v>154000</v>
      </c>
      <c r="Z35" s="38"/>
      <c r="AA35" s="38">
        <f>(82/100)*10^6*2/10</f>
        <v>164000</v>
      </c>
      <c r="AB35" s="93">
        <f>(100/100)*10^6*2/10</f>
        <v>200000</v>
      </c>
      <c r="AI35" s="2"/>
      <c r="AJ35" s="2"/>
      <c r="AK35" s="2"/>
      <c r="AL35" s="2"/>
      <c r="AM35" s="2"/>
      <c r="AN35" s="2"/>
    </row>
    <row r="36" spans="2:40" x14ac:dyDescent="0.25">
      <c r="B36" s="132"/>
      <c r="C36" s="36"/>
      <c r="D36" s="36"/>
      <c r="E36" s="36"/>
      <c r="F36" s="39" t="s">
        <v>7</v>
      </c>
      <c r="G36" s="81">
        <f>AVERAGE(G34:G35)</f>
        <v>2.75</v>
      </c>
      <c r="H36" s="37">
        <f>AVERAGE(H34:H35)</f>
        <v>1.9849999999999999</v>
      </c>
      <c r="I36" s="37">
        <f>AVERAGE(I34:I35)</f>
        <v>1.1400000000000001</v>
      </c>
      <c r="J36" s="40">
        <f>AVERAGE(J34:J35)</f>
        <v>0.39900000000000002</v>
      </c>
      <c r="K36" s="82">
        <f>AVERAGE(K34:K35)</f>
        <v>5.4999999999999997E-3</v>
      </c>
      <c r="L36" s="81">
        <f>AVERAGE(L34:L35)</f>
        <v>1.08</v>
      </c>
      <c r="M36" s="37">
        <f>AVERAGE(M34:M35)</f>
        <v>0.91</v>
      </c>
      <c r="N36" s="37">
        <f>AVERAGE(N34:N35)</f>
        <v>0.37</v>
      </c>
      <c r="O36" s="40">
        <f>AVERAGE(O34:O35)</f>
        <v>8.8499999999999995E-2</v>
      </c>
      <c r="P36" s="82">
        <f>AVERAGE(P34:P35)</f>
        <v>2.6000000000000002E-2</v>
      </c>
      <c r="Q36" s="81">
        <f>AVERAGE(Q34:Q35)</f>
        <v>1.125</v>
      </c>
      <c r="R36" s="37">
        <f>AVERAGE(R34:R35)</f>
        <v>0.41</v>
      </c>
      <c r="S36" s="82">
        <f>AVERAGE(S34:S35)</f>
        <v>4.9000000000000002E-2</v>
      </c>
      <c r="T36" s="81">
        <f>AVERAGE(T34:T35)</f>
        <v>7.86</v>
      </c>
      <c r="U36" s="37">
        <f>AVERAGE(U34:U35)</f>
        <v>8.74</v>
      </c>
      <c r="V36" s="37">
        <f>AVERAGE(V34:V35)</f>
        <v>9.43</v>
      </c>
      <c r="W36" s="37">
        <f>AVERAGE(W34:W35)</f>
        <v>10.02</v>
      </c>
      <c r="X36" s="82">
        <f>AVERAGE(X34:X35)</f>
        <v>11.32</v>
      </c>
      <c r="Y36" s="92">
        <f>AVERAGE(Y34:Y35)</f>
        <v>129500</v>
      </c>
      <c r="Z36" s="38"/>
      <c r="AA36" s="38">
        <f>AVERAGE(AA34:AA35)</f>
        <v>149000</v>
      </c>
      <c r="AB36" s="93">
        <f>AVERAGE(AB34:AB35)</f>
        <v>191000</v>
      </c>
      <c r="AI36" s="2"/>
      <c r="AJ36" s="2"/>
      <c r="AK36" s="2"/>
      <c r="AL36" s="2"/>
      <c r="AM36" s="2"/>
      <c r="AN36" s="2"/>
    </row>
    <row r="37" spans="2:40" x14ac:dyDescent="0.25">
      <c r="B37" s="132"/>
      <c r="C37" s="61"/>
      <c r="D37" s="61"/>
      <c r="E37" s="61"/>
      <c r="F37" s="41" t="s">
        <v>8</v>
      </c>
      <c r="G37" s="111">
        <f>(STDEV(G34:G35))/(SQRT(COUNT(G34:G35)))</f>
        <v>0</v>
      </c>
      <c r="H37" s="42">
        <f>(STDEV(H34:H35))/(SQRT(COUNT(H34:H35)))</f>
        <v>3.5000000000000024E-2</v>
      </c>
      <c r="I37" s="42">
        <f>(STDEV(I34:I35))/(SQRT(COUNT(I34:I35)))</f>
        <v>1.9999999999999907E-2</v>
      </c>
      <c r="J37" s="43">
        <f>(STDEV(J34:J35))/(SQRT(COUNT(J34:J35)))</f>
        <v>4.8000000000000001E-2</v>
      </c>
      <c r="K37" s="112">
        <f>(STDEV(K34:K35))/(SQRT(COUNT(K34:K35)))</f>
        <v>1.4999999999999998E-3</v>
      </c>
      <c r="L37" s="111">
        <f>(STDEV(L34:L35))/(SQRT(COUNT(L34:L35)))</f>
        <v>0</v>
      </c>
      <c r="M37" s="42">
        <f>(STDEV(M34:M35))/(SQRT(COUNT(M34:M35)))</f>
        <v>0</v>
      </c>
      <c r="N37" s="42">
        <f>(STDEV(N34:N35))/(SQRT(COUNT(N34:N35)))</f>
        <v>0</v>
      </c>
      <c r="O37" s="43">
        <f>(STDEV(O34:O35))/(SQRT(COUNT(O34:O35)))</f>
        <v>2.5000000000000022E-3</v>
      </c>
      <c r="P37" s="112">
        <f>(STDEV(P34:P35))/(SQRT(COUNT(P34:P35)))</f>
        <v>2E-3</v>
      </c>
      <c r="Q37" s="111">
        <f>(STDEV(Q34:Q35))/(SQRT(COUNT(Q34:Q35)))</f>
        <v>4.9999999999998934E-3</v>
      </c>
      <c r="R37" s="42">
        <f>(STDEV(R34:R35))/(SQRT(COUNT(R34:R35)))</f>
        <v>0</v>
      </c>
      <c r="S37" s="112">
        <f>(STDEV(S34:S35))/(SQRT(COUNT(S34:S35)))</f>
        <v>0</v>
      </c>
      <c r="T37" s="111">
        <f>(STDEV(T34:T35))/(SQRT(COUNT(T34:T35)))</f>
        <v>0</v>
      </c>
      <c r="U37" s="42">
        <f>(STDEV(U34:U35))/(SQRT(COUNT(U34:U35)))</f>
        <v>0</v>
      </c>
      <c r="V37" s="42">
        <f>(STDEV(V34:V35))/(SQRT(COUNT(V34:V35)))</f>
        <v>0</v>
      </c>
      <c r="W37" s="42">
        <f>(STDEV(W34:W35))/(SQRT(COUNT(W34:W35)))</f>
        <v>0</v>
      </c>
      <c r="X37" s="112">
        <f>(STDEV(X34:X35))/(SQRT(COUNT(X34:X35)))</f>
        <v>0</v>
      </c>
      <c r="Y37" s="113">
        <f>(STDEV(Y34:Y35))/(SQRT(COUNT(Y34:Y35)))</f>
        <v>24500</v>
      </c>
      <c r="Z37" s="44"/>
      <c r="AA37" s="44">
        <f>(STDEV(AA34:AA35))/(SQRT(COUNT(AA34:AA35)))</f>
        <v>14999.999999999998</v>
      </c>
      <c r="AB37" s="128">
        <f>(STDEV(AB34:AB35))/(SQRT(COUNT(AB34:AB35)))</f>
        <v>8999.9999999999982</v>
      </c>
      <c r="AI37" s="2"/>
      <c r="AJ37" s="2"/>
      <c r="AK37" s="2"/>
      <c r="AL37" s="2"/>
      <c r="AM37" s="2"/>
      <c r="AN37" s="2"/>
    </row>
    <row r="38" spans="2:40" x14ac:dyDescent="0.25">
      <c r="B38" s="132"/>
      <c r="C38" s="33" t="s">
        <v>9</v>
      </c>
      <c r="D38" s="33">
        <v>1000</v>
      </c>
      <c r="E38" s="33">
        <v>100</v>
      </c>
      <c r="F38" s="33" t="s">
        <v>6</v>
      </c>
      <c r="G38" s="107">
        <v>2.75</v>
      </c>
      <c r="H38" s="34">
        <v>2</v>
      </c>
      <c r="I38" s="34">
        <v>1.1000000000000001</v>
      </c>
      <c r="J38" s="34">
        <v>0.22900000000000001</v>
      </c>
      <c r="K38" s="108">
        <v>1.0999999999999999E-2</v>
      </c>
      <c r="L38" s="107">
        <v>1.08</v>
      </c>
      <c r="M38" s="34">
        <v>0.9</v>
      </c>
      <c r="N38" s="34">
        <v>0.33</v>
      </c>
      <c r="O38" s="34">
        <v>5.7000000000000002E-2</v>
      </c>
      <c r="P38" s="108">
        <v>3.6999999999999998E-2</v>
      </c>
      <c r="Q38" s="107">
        <v>1.1299999999999999</v>
      </c>
      <c r="R38" s="34">
        <v>0.34</v>
      </c>
      <c r="S38" s="108">
        <v>7.0000000000000007E-2</v>
      </c>
      <c r="T38" s="107">
        <v>7.86</v>
      </c>
      <c r="U38" s="34">
        <v>8.82</v>
      </c>
      <c r="V38" s="34">
        <v>9.51</v>
      </c>
      <c r="W38" s="34">
        <v>10.25</v>
      </c>
      <c r="X38" s="108">
        <v>11.34</v>
      </c>
      <c r="Y38" s="109">
        <v>105000</v>
      </c>
      <c r="Z38" s="35"/>
      <c r="AA38" s="35">
        <f>(64/100)*10^6*2/10</f>
        <v>128000</v>
      </c>
      <c r="AB38" s="110">
        <f>(83/100)*10^6*2/10</f>
        <v>166000</v>
      </c>
      <c r="AI38" s="2"/>
      <c r="AJ38" s="2"/>
      <c r="AK38" s="2"/>
      <c r="AL38" s="2"/>
      <c r="AM38" s="2"/>
      <c r="AN38" s="2"/>
    </row>
    <row r="39" spans="2:40" x14ac:dyDescent="0.25">
      <c r="B39" s="132"/>
      <c r="C39" s="36"/>
      <c r="D39" s="36"/>
      <c r="E39" s="36"/>
      <c r="F39" s="36"/>
      <c r="G39" s="81">
        <v>2.75</v>
      </c>
      <c r="H39" s="37">
        <v>1.96</v>
      </c>
      <c r="I39" s="37">
        <v>1.1000000000000001</v>
      </c>
      <c r="J39" s="37">
        <v>0.23400000000000001</v>
      </c>
      <c r="K39" s="82">
        <v>1.0999999999999999E-2</v>
      </c>
      <c r="L39" s="81">
        <v>1.08</v>
      </c>
      <c r="M39" s="37">
        <v>0.9</v>
      </c>
      <c r="N39" s="37">
        <v>0.28000000000000003</v>
      </c>
      <c r="O39" s="37">
        <v>0.06</v>
      </c>
      <c r="P39" s="82">
        <v>3.2000000000000001E-2</v>
      </c>
      <c r="Q39" s="81">
        <v>1.1200000000000001</v>
      </c>
      <c r="R39" s="37">
        <v>0.34</v>
      </c>
      <c r="S39" s="82">
        <v>7.0000000000000007E-2</v>
      </c>
      <c r="T39" s="81">
        <v>7.86</v>
      </c>
      <c r="U39" s="37">
        <v>8.82</v>
      </c>
      <c r="V39" s="37">
        <v>9.51</v>
      </c>
      <c r="W39" s="37">
        <v>10.25</v>
      </c>
      <c r="X39" s="82">
        <v>11.34</v>
      </c>
      <c r="Y39" s="92">
        <v>154000</v>
      </c>
      <c r="Z39" s="38"/>
      <c r="AA39" s="38">
        <f>(67/100)*10^6*2/10</f>
        <v>134000</v>
      </c>
      <c r="AB39" s="93">
        <f>(74/100)*10^6*2/10</f>
        <v>148000</v>
      </c>
      <c r="AI39" s="2"/>
      <c r="AJ39" s="2"/>
      <c r="AK39" s="2"/>
      <c r="AL39" s="2"/>
      <c r="AM39" s="2"/>
      <c r="AN39" s="2"/>
    </row>
    <row r="40" spans="2:40" x14ac:dyDescent="0.25">
      <c r="B40" s="132"/>
      <c r="C40" s="36"/>
      <c r="D40" s="36"/>
      <c r="E40" s="36"/>
      <c r="F40" s="39" t="s">
        <v>7</v>
      </c>
      <c r="G40" s="81">
        <f>AVERAGE(G38:G39)</f>
        <v>2.75</v>
      </c>
      <c r="H40" s="37">
        <f>AVERAGE(H38:H39)</f>
        <v>1.98</v>
      </c>
      <c r="I40" s="37">
        <f>AVERAGE(I38:I39)</f>
        <v>1.1000000000000001</v>
      </c>
      <c r="J40" s="40">
        <f>AVERAGE(J38:J39)</f>
        <v>0.23150000000000001</v>
      </c>
      <c r="K40" s="82">
        <f>AVERAGE(K38:K39)</f>
        <v>1.0999999999999999E-2</v>
      </c>
      <c r="L40" s="81">
        <f>AVERAGE(L38:L39)</f>
        <v>1.08</v>
      </c>
      <c r="M40" s="37">
        <f>AVERAGE(M38:M39)</f>
        <v>0.9</v>
      </c>
      <c r="N40" s="37">
        <f>AVERAGE(N38:N39)</f>
        <v>0.30500000000000005</v>
      </c>
      <c r="O40" s="40">
        <f>AVERAGE(O38:O39)</f>
        <v>5.8499999999999996E-2</v>
      </c>
      <c r="P40" s="82">
        <f>AVERAGE(P38:P39)</f>
        <v>3.4500000000000003E-2</v>
      </c>
      <c r="Q40" s="81">
        <f>AVERAGE(Q38:Q39)</f>
        <v>1.125</v>
      </c>
      <c r="R40" s="37">
        <f>AVERAGE(R38:R39)</f>
        <v>0.34</v>
      </c>
      <c r="S40" s="82">
        <f>AVERAGE(S38:S39)</f>
        <v>7.0000000000000007E-2</v>
      </c>
      <c r="T40" s="81">
        <f>AVERAGE(T38:T39)</f>
        <v>7.86</v>
      </c>
      <c r="U40" s="37">
        <f>AVERAGE(U38:U39)</f>
        <v>8.82</v>
      </c>
      <c r="V40" s="37">
        <f>AVERAGE(V38:V39)</f>
        <v>9.51</v>
      </c>
      <c r="W40" s="37">
        <f>AVERAGE(W38:W39)</f>
        <v>10.25</v>
      </c>
      <c r="X40" s="82">
        <f>AVERAGE(X38:X39)</f>
        <v>11.34</v>
      </c>
      <c r="Y40" s="92">
        <f>AVERAGE(Y38:Y39)</f>
        <v>129500</v>
      </c>
      <c r="Z40" s="38"/>
      <c r="AA40" s="38">
        <f>AVERAGE(AA38:AA39)</f>
        <v>131000</v>
      </c>
      <c r="AB40" s="93">
        <f>AVERAGE(AB38:AB39)</f>
        <v>157000</v>
      </c>
      <c r="AI40" s="2"/>
      <c r="AJ40" s="2"/>
      <c r="AK40" s="2"/>
      <c r="AL40" s="2"/>
      <c r="AM40" s="2"/>
      <c r="AN40" s="2"/>
    </row>
    <row r="41" spans="2:40" x14ac:dyDescent="0.25">
      <c r="B41" s="132"/>
      <c r="C41" s="61"/>
      <c r="D41" s="61"/>
      <c r="E41" s="61"/>
      <c r="F41" s="41" t="s">
        <v>8</v>
      </c>
      <c r="G41" s="111">
        <f>(STDEV(G38:G39))/(SQRT(COUNT(G38:G39)))</f>
        <v>0</v>
      </c>
      <c r="H41" s="42">
        <f>(STDEV(H38:H39))/(SQRT(COUNT(H38:H39)))</f>
        <v>2.0000000000000018E-2</v>
      </c>
      <c r="I41" s="42">
        <f>(STDEV(I38:I39))/(SQRT(COUNT(I38:I39)))</f>
        <v>0</v>
      </c>
      <c r="J41" s="43">
        <f>(STDEV(J38:J39))/(SQRT(COUNT(J38:J39)))</f>
        <v>2.5000000000000022E-3</v>
      </c>
      <c r="K41" s="112">
        <f>(STDEV(K38:K39))/(SQRT(COUNT(K38:K39)))</f>
        <v>0</v>
      </c>
      <c r="L41" s="111">
        <f>(STDEV(L38:L39))/(SQRT(COUNT(L38:L39)))</f>
        <v>0</v>
      </c>
      <c r="M41" s="42">
        <f>(STDEV(M38:M39))/(SQRT(COUNT(M38:M39)))</f>
        <v>0</v>
      </c>
      <c r="N41" s="42">
        <f>(STDEV(N38:N39))/(SQRT(COUNT(N38:N39)))</f>
        <v>2.4999999999999994E-2</v>
      </c>
      <c r="O41" s="43">
        <f>(STDEV(O38:O39))/(SQRT(COUNT(O38:O39)))</f>
        <v>1.4999999999999976E-3</v>
      </c>
      <c r="P41" s="112">
        <f>(STDEV(P38:P39))/(SQRT(COUNT(P38:P39)))</f>
        <v>2.4999999999999988E-3</v>
      </c>
      <c r="Q41" s="111">
        <f>(STDEV(Q38:Q39))/(SQRT(COUNT(Q38:Q39)))</f>
        <v>4.9999999999998934E-3</v>
      </c>
      <c r="R41" s="42">
        <f>(STDEV(R38:R39))/(SQRT(COUNT(R38:R39)))</f>
        <v>0</v>
      </c>
      <c r="S41" s="112">
        <f>(STDEV(S38:S39))/(SQRT(COUNT(S38:S39)))</f>
        <v>0</v>
      </c>
      <c r="T41" s="111">
        <f>(STDEV(T38:T39))/(SQRT(COUNT(T38:T39)))</f>
        <v>0</v>
      </c>
      <c r="U41" s="42">
        <f>(STDEV(U38:U39))/(SQRT(COUNT(U38:U39)))</f>
        <v>0</v>
      </c>
      <c r="V41" s="42">
        <f>(STDEV(V38:V39))/(SQRT(COUNT(V38:V39)))</f>
        <v>0</v>
      </c>
      <c r="W41" s="42">
        <f>(STDEV(W38:W39))/(SQRT(COUNT(W38:W39)))</f>
        <v>0</v>
      </c>
      <c r="X41" s="112">
        <f>(STDEV(X38:X39))/(SQRT(COUNT(X38:X39)))</f>
        <v>0</v>
      </c>
      <c r="Y41" s="113">
        <f>(STDEV(Y38:Y39))/(SQRT(COUNT(Y38:Y39)))</f>
        <v>24500</v>
      </c>
      <c r="Z41" s="44"/>
      <c r="AA41" s="44">
        <f>(STDEV(AA38:AA39))/(SQRT(COUNT(AA38:AA39)))</f>
        <v>2999.9999999999995</v>
      </c>
      <c r="AB41" s="128">
        <f>(STDEV(AB38:AB39))/(SQRT(COUNT(AB38:AB39)))</f>
        <v>8999.9999999999982</v>
      </c>
      <c r="AI41" s="2"/>
      <c r="AJ41" s="2"/>
      <c r="AK41" s="2"/>
      <c r="AL41" s="2"/>
      <c r="AM41" s="2"/>
      <c r="AN41" s="2"/>
    </row>
    <row r="42" spans="2:40" x14ac:dyDescent="0.25">
      <c r="B42" s="132"/>
      <c r="C42" s="47" t="s">
        <v>10</v>
      </c>
      <c r="D42" s="47">
        <v>50</v>
      </c>
      <c r="E42" s="47">
        <v>100</v>
      </c>
      <c r="F42" s="47" t="s">
        <v>6</v>
      </c>
      <c r="G42" s="114">
        <v>2.85</v>
      </c>
      <c r="H42" s="48">
        <v>2.09</v>
      </c>
      <c r="I42" s="48">
        <v>1.5</v>
      </c>
      <c r="J42" s="48">
        <v>1.25</v>
      </c>
      <c r="K42" s="115">
        <v>1.0999999999999999E-2</v>
      </c>
      <c r="L42" s="114">
        <v>1.08</v>
      </c>
      <c r="M42" s="48">
        <v>0.9</v>
      </c>
      <c r="N42" s="48">
        <v>0.85</v>
      </c>
      <c r="O42" s="48">
        <v>0.79</v>
      </c>
      <c r="P42" s="115">
        <v>4.5999999999999999E-2</v>
      </c>
      <c r="Q42" s="114">
        <v>1.1299999999999999</v>
      </c>
      <c r="R42" s="48">
        <v>0.88</v>
      </c>
      <c r="S42" s="115">
        <v>9.5000000000000001E-2</v>
      </c>
      <c r="T42" s="114">
        <v>7.86</v>
      </c>
      <c r="U42" s="48">
        <v>8.31</v>
      </c>
      <c r="V42" s="48">
        <v>8.7200000000000006</v>
      </c>
      <c r="W42" s="48">
        <v>8.9700000000000006</v>
      </c>
      <c r="X42" s="115">
        <v>10.29</v>
      </c>
      <c r="Y42" s="116">
        <v>105000</v>
      </c>
      <c r="Z42" s="49"/>
      <c r="AA42" s="49">
        <f>(33/100)*10^6*2/10</f>
        <v>66000</v>
      </c>
      <c r="AB42" s="117">
        <f>(56/100)*10^6*2/10</f>
        <v>112000</v>
      </c>
      <c r="AI42" s="2"/>
      <c r="AJ42" s="2"/>
      <c r="AK42" s="2"/>
      <c r="AL42" s="2"/>
      <c r="AM42" s="2"/>
      <c r="AN42" s="2"/>
    </row>
    <row r="43" spans="2:40" x14ac:dyDescent="0.25">
      <c r="B43" s="132"/>
      <c r="C43" s="50"/>
      <c r="D43" s="50"/>
      <c r="E43" s="50"/>
      <c r="F43" s="50"/>
      <c r="G43" s="83">
        <v>2.65</v>
      </c>
      <c r="H43" s="51">
        <v>2.1</v>
      </c>
      <c r="I43" s="51">
        <v>1.66</v>
      </c>
      <c r="J43" s="51">
        <v>1.23</v>
      </c>
      <c r="K43" s="84">
        <v>8.9999999999999993E-3</v>
      </c>
      <c r="L43" s="83">
        <v>1.08</v>
      </c>
      <c r="M43" s="51">
        <v>0.89</v>
      </c>
      <c r="N43" s="51">
        <v>0.84</v>
      </c>
      <c r="O43" s="51">
        <v>0.79</v>
      </c>
      <c r="P43" s="84">
        <v>4.8000000000000001E-2</v>
      </c>
      <c r="Q43" s="83">
        <v>1.1200000000000001</v>
      </c>
      <c r="R43" s="51">
        <v>0.88</v>
      </c>
      <c r="S43" s="84">
        <v>9.5000000000000001E-2</v>
      </c>
      <c r="T43" s="83"/>
      <c r="U43" s="51"/>
      <c r="V43" s="51"/>
      <c r="W43" s="51"/>
      <c r="X43" s="84"/>
      <c r="Y43" s="94">
        <v>154000</v>
      </c>
      <c r="Z43" s="52"/>
      <c r="AA43" s="52">
        <f>(49/100)*10^6*2/10</f>
        <v>98000</v>
      </c>
      <c r="AB43" s="95">
        <f>(65/100)*10^6*2/10</f>
        <v>130000</v>
      </c>
      <c r="AI43" s="2"/>
      <c r="AJ43" s="2"/>
      <c r="AK43" s="2"/>
      <c r="AL43" s="2"/>
      <c r="AM43" s="2"/>
      <c r="AN43" s="2"/>
    </row>
    <row r="44" spans="2:40" x14ac:dyDescent="0.25">
      <c r="B44" s="132"/>
      <c r="C44" s="50"/>
      <c r="D44" s="50"/>
      <c r="E44" s="50"/>
      <c r="F44" s="53" t="s">
        <v>7</v>
      </c>
      <c r="G44" s="83">
        <f>AVERAGE(G42:G43)</f>
        <v>2.75</v>
      </c>
      <c r="H44" s="51">
        <f>AVERAGE(H42:H43)</f>
        <v>2.0949999999999998</v>
      </c>
      <c r="I44" s="51">
        <f>AVERAGE(I42:I43)</f>
        <v>1.58</v>
      </c>
      <c r="J44" s="54">
        <f>AVERAGE(J42:J43)</f>
        <v>1.24</v>
      </c>
      <c r="K44" s="84">
        <f>AVERAGE(K42:K43)</f>
        <v>9.9999999999999985E-3</v>
      </c>
      <c r="L44" s="83">
        <f>AVERAGE(L42:L43)</f>
        <v>1.08</v>
      </c>
      <c r="M44" s="51">
        <f>AVERAGE(M42:M43)</f>
        <v>0.89500000000000002</v>
      </c>
      <c r="N44" s="51">
        <f>AVERAGE(N42:N43)</f>
        <v>0.84499999999999997</v>
      </c>
      <c r="O44" s="54">
        <f>AVERAGE(O42:O43)</f>
        <v>0.79</v>
      </c>
      <c r="P44" s="84">
        <f>AVERAGE(P42:P43)</f>
        <v>4.7E-2</v>
      </c>
      <c r="Q44" s="83">
        <f>AVERAGE(Q42:Q43)</f>
        <v>1.125</v>
      </c>
      <c r="R44" s="51">
        <f>AVERAGE(R42:R43)</f>
        <v>0.88</v>
      </c>
      <c r="S44" s="84">
        <f>AVERAGE(S42:S43)</f>
        <v>9.5000000000000001E-2</v>
      </c>
      <c r="T44" s="83">
        <f>AVERAGE(T42:T43)</f>
        <v>7.86</v>
      </c>
      <c r="U44" s="51">
        <f>AVERAGE(U42:U43)</f>
        <v>8.31</v>
      </c>
      <c r="V44" s="51">
        <f>AVERAGE(V42:V43)</f>
        <v>8.7200000000000006</v>
      </c>
      <c r="W44" s="51">
        <f>AVERAGE(W42:W43)</f>
        <v>8.9700000000000006</v>
      </c>
      <c r="X44" s="84">
        <f>AVERAGE(X42:X43)</f>
        <v>10.29</v>
      </c>
      <c r="Y44" s="94">
        <f>AVERAGE(Y42:Y43)</f>
        <v>129500</v>
      </c>
      <c r="Z44" s="52"/>
      <c r="AA44" s="52">
        <f>AVERAGE(AA42:AA43)</f>
        <v>82000</v>
      </c>
      <c r="AB44" s="95">
        <f>AVERAGE(AB42:AB43)</f>
        <v>121000</v>
      </c>
      <c r="AI44" s="2"/>
      <c r="AJ44" s="2"/>
      <c r="AK44" s="2"/>
      <c r="AL44" s="2"/>
      <c r="AM44" s="2"/>
      <c r="AN44" s="2"/>
    </row>
    <row r="45" spans="2:40" x14ac:dyDescent="0.25">
      <c r="B45" s="132"/>
      <c r="C45" s="62"/>
      <c r="D45" s="62"/>
      <c r="E45" s="62"/>
      <c r="F45" s="55" t="s">
        <v>8</v>
      </c>
      <c r="G45" s="118">
        <f>(STDEV(G42:G43))/(SQRT(COUNT(G42:G43)))</f>
        <v>0.10000000000000009</v>
      </c>
      <c r="H45" s="56">
        <f>(STDEV(H42:H43))/(SQRT(COUNT(H42:H43)))</f>
        <v>5.0000000000001155E-3</v>
      </c>
      <c r="I45" s="56">
        <f>(STDEV(I42:I43))/(SQRT(COUNT(I42:I43)))</f>
        <v>7.999999999999996E-2</v>
      </c>
      <c r="J45" s="57">
        <f>(STDEV(J42:J43))/(SQRT(COUNT(J42:J43)))</f>
        <v>1.0000000000000009E-2</v>
      </c>
      <c r="K45" s="119">
        <f>(STDEV(K42:K43))/(SQRT(COUNT(K42:K43)))</f>
        <v>1E-3</v>
      </c>
      <c r="L45" s="118">
        <f>(STDEV(L42:L43))/(SQRT(COUNT(L42:L43)))</f>
        <v>0</v>
      </c>
      <c r="M45" s="56">
        <f>(STDEV(M42:M43))/(SQRT(COUNT(M42:M43)))</f>
        <v>5.0000000000000044E-3</v>
      </c>
      <c r="N45" s="56">
        <f>(STDEV(N42:N43))/(SQRT(COUNT(N42:N43)))</f>
        <v>5.0000000000000044E-3</v>
      </c>
      <c r="O45" s="57">
        <f>(STDEV(O42:O43))/(SQRT(COUNT(O42:O43)))</f>
        <v>0</v>
      </c>
      <c r="P45" s="119">
        <f>(STDEV(P42:P43))/(SQRT(COUNT(P42:P43)))</f>
        <v>1.0000000000000009E-3</v>
      </c>
      <c r="Q45" s="118">
        <f>(STDEV(Q42:Q43))/(SQRT(COUNT(Q42:Q43)))</f>
        <v>4.9999999999998934E-3</v>
      </c>
      <c r="R45" s="56">
        <f>(STDEV(R42:R43))/(SQRT(COUNT(R42:R43)))</f>
        <v>0</v>
      </c>
      <c r="S45" s="119">
        <f>(STDEV(S42:S43))/(SQRT(COUNT(S42:S43)))</f>
        <v>0</v>
      </c>
      <c r="T45" s="118"/>
      <c r="U45" s="56"/>
      <c r="V45" s="56"/>
      <c r="W45" s="56"/>
      <c r="X45" s="119"/>
      <c r="Y45" s="120">
        <f>(STDEV(Y42:Y43))/(SQRT(COUNT(Y42:Y43)))</f>
        <v>24500</v>
      </c>
      <c r="Z45" s="58"/>
      <c r="AA45" s="58">
        <f>(STDEV(AA42:AA43))/(SQRT(COUNT(AA42:AA43)))</f>
        <v>16000</v>
      </c>
      <c r="AB45" s="129">
        <f>(STDEV(AB42:AB43))/(SQRT(COUNT(AB42:AB43)))</f>
        <v>8999.9999999999982</v>
      </c>
      <c r="AI45" s="2"/>
      <c r="AJ45" s="2"/>
      <c r="AK45" s="2"/>
      <c r="AL45" s="2"/>
      <c r="AM45" s="2"/>
      <c r="AN45" s="2"/>
    </row>
    <row r="46" spans="2:40" x14ac:dyDescent="0.25">
      <c r="B46" s="132"/>
      <c r="C46" s="47" t="s">
        <v>10</v>
      </c>
      <c r="D46" s="47">
        <v>200</v>
      </c>
      <c r="E46" s="47">
        <v>100</v>
      </c>
      <c r="F46" s="47" t="s">
        <v>6</v>
      </c>
      <c r="G46" s="114">
        <v>3.1</v>
      </c>
      <c r="H46" s="48">
        <v>1.68</v>
      </c>
      <c r="I46" s="48">
        <v>0.66</v>
      </c>
      <c r="J46" s="48">
        <v>0</v>
      </c>
      <c r="K46" s="115">
        <v>2E-3</v>
      </c>
      <c r="L46" s="114">
        <v>1.1299999999999999</v>
      </c>
      <c r="M46" s="48">
        <v>0.85</v>
      </c>
      <c r="N46" s="48">
        <v>0.32200000000000001</v>
      </c>
      <c r="O46" s="48">
        <v>0.1</v>
      </c>
      <c r="P46" s="115">
        <v>1.6E-2</v>
      </c>
      <c r="Q46" s="114">
        <v>1.1599999999999999</v>
      </c>
      <c r="R46" s="48">
        <v>0.35799999999999998</v>
      </c>
      <c r="S46" s="115">
        <v>4.2000000000000003E-2</v>
      </c>
      <c r="T46" s="114">
        <v>7.86</v>
      </c>
      <c r="U46" s="48">
        <v>8.74</v>
      </c>
      <c r="V46" s="48">
        <v>9.35</v>
      </c>
      <c r="W46" s="48">
        <v>9.94</v>
      </c>
      <c r="X46" s="115">
        <v>11.3</v>
      </c>
      <c r="Y46" s="116">
        <v>105000</v>
      </c>
      <c r="Z46" s="49">
        <f>(68/100)*10^6*2/10</f>
        <v>136000</v>
      </c>
      <c r="AA46" s="49"/>
      <c r="AB46" s="117">
        <f>(169/100)*10^6*2/10</f>
        <v>338000</v>
      </c>
      <c r="AC46" s="11"/>
      <c r="AI46" s="2"/>
      <c r="AJ46" s="2"/>
      <c r="AK46" s="2"/>
      <c r="AL46" s="2"/>
      <c r="AM46" s="2"/>
      <c r="AN46" s="2"/>
    </row>
    <row r="47" spans="2:40" x14ac:dyDescent="0.25">
      <c r="B47" s="132"/>
      <c r="C47" s="50"/>
      <c r="D47" s="50"/>
      <c r="E47" s="50"/>
      <c r="F47" s="50"/>
      <c r="G47" s="83">
        <v>3.05</v>
      </c>
      <c r="H47" s="51">
        <v>1.49</v>
      </c>
      <c r="I47" s="51">
        <v>0.66</v>
      </c>
      <c r="J47" s="51">
        <v>0</v>
      </c>
      <c r="K47" s="84">
        <v>0</v>
      </c>
      <c r="L47" s="83">
        <v>1.1200000000000001</v>
      </c>
      <c r="M47" s="51">
        <v>0.85</v>
      </c>
      <c r="N47" s="51">
        <v>0.318</v>
      </c>
      <c r="O47" s="51">
        <v>0.10199999999999999</v>
      </c>
      <c r="P47" s="84">
        <v>1.7999999999999999E-2</v>
      </c>
      <c r="Q47" s="83">
        <v>1.1399999999999999</v>
      </c>
      <c r="R47" s="51">
        <v>0.35799999999999998</v>
      </c>
      <c r="S47" s="84">
        <v>4.2000000000000003E-2</v>
      </c>
      <c r="T47" s="83">
        <v>7.86</v>
      </c>
      <c r="U47" s="51">
        <v>8.74</v>
      </c>
      <c r="V47" s="51">
        <v>9.35</v>
      </c>
      <c r="W47" s="51">
        <v>9.94</v>
      </c>
      <c r="X47" s="84">
        <v>11.3</v>
      </c>
      <c r="Y47" s="94">
        <v>154000</v>
      </c>
      <c r="Z47" s="52">
        <f>(62/100)*10^6*2/10</f>
        <v>124000</v>
      </c>
      <c r="AA47" s="52"/>
      <c r="AB47" s="95">
        <f>(150/100)*10^6*2/10</f>
        <v>300000</v>
      </c>
      <c r="AC47" s="11"/>
      <c r="AI47" s="2"/>
      <c r="AJ47" s="2"/>
      <c r="AK47" s="2"/>
      <c r="AL47" s="2"/>
      <c r="AM47" s="2"/>
      <c r="AN47" s="2"/>
    </row>
    <row r="48" spans="2:40" x14ac:dyDescent="0.25">
      <c r="B48" s="132"/>
      <c r="C48" s="50"/>
      <c r="D48" s="50"/>
      <c r="E48" s="50"/>
      <c r="F48" s="53" t="s">
        <v>7</v>
      </c>
      <c r="G48" s="83">
        <f>AVERAGE(G46:G47)</f>
        <v>3.0750000000000002</v>
      </c>
      <c r="H48" s="51">
        <f>AVERAGE(H46:H47)</f>
        <v>1.585</v>
      </c>
      <c r="I48" s="51">
        <f>AVERAGE(I46:I47)</f>
        <v>0.66</v>
      </c>
      <c r="J48" s="51">
        <f>AVERAGE(J46:J47)</f>
        <v>0</v>
      </c>
      <c r="K48" s="84">
        <f>AVERAGE(K46:K47)</f>
        <v>1E-3</v>
      </c>
      <c r="L48" s="83">
        <f>AVERAGE(L46:L47)</f>
        <v>1.125</v>
      </c>
      <c r="M48" s="51">
        <f>AVERAGE(M46:M47)</f>
        <v>0.85</v>
      </c>
      <c r="N48" s="51">
        <f>AVERAGE(N46:N47)</f>
        <v>0.32</v>
      </c>
      <c r="O48" s="54">
        <f>AVERAGE(O46:O47)</f>
        <v>0.10100000000000001</v>
      </c>
      <c r="P48" s="84">
        <f>AVERAGE(P46:P47)</f>
        <v>1.7000000000000001E-2</v>
      </c>
      <c r="Q48" s="83">
        <f>AVERAGE(Q46:Q47)</f>
        <v>1.1499999999999999</v>
      </c>
      <c r="R48" s="51">
        <f>AVERAGE(R46:R47)</f>
        <v>0.35799999999999998</v>
      </c>
      <c r="S48" s="84">
        <f>AVERAGE(S46:S47)</f>
        <v>4.2000000000000003E-2</v>
      </c>
      <c r="T48" s="83">
        <f>AVERAGE(T46:T47)</f>
        <v>7.86</v>
      </c>
      <c r="U48" s="51">
        <f>AVERAGE(U46:U47)</f>
        <v>8.74</v>
      </c>
      <c r="V48" s="51">
        <f>AVERAGE(V46:V47)</f>
        <v>9.35</v>
      </c>
      <c r="W48" s="51">
        <f>AVERAGE(W46:W47)</f>
        <v>9.94</v>
      </c>
      <c r="X48" s="84">
        <f>AVERAGE(X46:X47)</f>
        <v>11.3</v>
      </c>
      <c r="Y48" s="94">
        <f>AVERAGE(Y46:Y47)</f>
        <v>129500</v>
      </c>
      <c r="Z48" s="52">
        <f>AVERAGE(Z46:Z47)</f>
        <v>130000</v>
      </c>
      <c r="AA48" s="52"/>
      <c r="AB48" s="95">
        <f>AVERAGE(AB46:AB47)</f>
        <v>319000</v>
      </c>
      <c r="AC48" s="11"/>
      <c r="AD48" s="11"/>
      <c r="AI48" s="2"/>
      <c r="AJ48" s="2"/>
      <c r="AK48" s="2"/>
      <c r="AL48" s="2"/>
      <c r="AM48" s="2"/>
      <c r="AN48" s="2"/>
    </row>
    <row r="49" spans="2:40" x14ac:dyDescent="0.25">
      <c r="B49" s="132"/>
      <c r="C49" s="62"/>
      <c r="D49" s="62"/>
      <c r="E49" s="62"/>
      <c r="F49" s="55" t="s">
        <v>8</v>
      </c>
      <c r="G49" s="118">
        <f>(STDEV(G46:G47))/(SQRT(COUNT(G46:G47)))</f>
        <v>2.500000000000013E-2</v>
      </c>
      <c r="H49" s="56">
        <f>(STDEV(H46:H47))/(SQRT(COUNT(H46:H47)))</f>
        <v>9.4999999999999973E-2</v>
      </c>
      <c r="I49" s="56">
        <f>(STDEV(I46:I47))/(SQRT(COUNT(I46:I47)))</f>
        <v>0</v>
      </c>
      <c r="J49" s="56">
        <f>(STDEV(J46:J47))/(SQRT(COUNT(J46:J47)))</f>
        <v>0</v>
      </c>
      <c r="K49" s="119">
        <f>(STDEV(K46:K47))/(SQRT(COUNT(K46:K47)))</f>
        <v>1E-3</v>
      </c>
      <c r="L49" s="118">
        <f>(STDEV(L46:L47))/(SQRT(COUNT(L46:L47)))</f>
        <v>4.9999999999998934E-3</v>
      </c>
      <c r="M49" s="56">
        <f>(STDEV(M46:M47))/(SQRT(COUNT(M46:M47)))</f>
        <v>0</v>
      </c>
      <c r="N49" s="56">
        <f>(STDEV(N46:N47))/(SQRT(COUNT(N46:N47)))</f>
        <v>2.0000000000000018E-3</v>
      </c>
      <c r="O49" s="57">
        <f>(STDEV(O46:O47))/(SQRT(COUNT(O46:O47)))</f>
        <v>9.9999999999999395E-4</v>
      </c>
      <c r="P49" s="119">
        <f>(STDEV(P46:P47))/(SQRT(COUNT(P46:P47)))</f>
        <v>9.9999999999999915E-4</v>
      </c>
      <c r="Q49" s="118">
        <f>(STDEV(Q46:Q47))/(SQRT(COUNT(Q46:Q47)))</f>
        <v>1.0000000000000009E-2</v>
      </c>
      <c r="R49" s="56">
        <f>(STDEV(R46:R47))/(SQRT(COUNT(R46:R47)))</f>
        <v>0</v>
      </c>
      <c r="S49" s="119">
        <f>(STDEV(S46:S47))/(SQRT(COUNT(S46:S47)))</f>
        <v>0</v>
      </c>
      <c r="T49" s="118">
        <f>(STDEV(T46:T47))/(SQRT(COUNT(T46:T47)))</f>
        <v>0</v>
      </c>
      <c r="U49" s="56">
        <f>(STDEV(U46:U47))/(SQRT(COUNT(U46:U47)))</f>
        <v>0</v>
      </c>
      <c r="V49" s="56">
        <f>(STDEV(V46:V47))/(SQRT(COUNT(V46:V47)))</f>
        <v>0</v>
      </c>
      <c r="W49" s="56">
        <f>(STDEV(W46:W47))/(SQRT(COUNT(W46:W47)))</f>
        <v>0</v>
      </c>
      <c r="X49" s="119">
        <f>(STDEV(X46:X47))/(SQRT(COUNT(X46:X47)))</f>
        <v>0</v>
      </c>
      <c r="Y49" s="120">
        <f>(STDEV(Y46:Y47))/(SQRT(COUNT(Y46:Y47)))</f>
        <v>24500</v>
      </c>
      <c r="Z49" s="58">
        <f>(STDEV(Z46:Z47))/(SQRT(COUNT(Z46:Z47)))</f>
        <v>5999.9999999999991</v>
      </c>
      <c r="AA49" s="58"/>
      <c r="AB49" s="129">
        <f>(STDEV(AB46:AB47))/(SQRT(COUNT(AB46:AB47)))</f>
        <v>19000</v>
      </c>
      <c r="AC49" s="11"/>
      <c r="AI49" s="2"/>
      <c r="AJ49" s="2"/>
      <c r="AK49" s="2"/>
      <c r="AL49" s="2"/>
      <c r="AM49" s="2"/>
      <c r="AN49" s="2"/>
    </row>
    <row r="50" spans="2:40" x14ac:dyDescent="0.25">
      <c r="B50" s="132"/>
      <c r="C50" s="47" t="s">
        <v>10</v>
      </c>
      <c r="D50" s="47">
        <v>500</v>
      </c>
      <c r="E50" s="47">
        <v>100</v>
      </c>
      <c r="F50" s="47" t="s">
        <v>6</v>
      </c>
      <c r="G50" s="114">
        <v>2.85</v>
      </c>
      <c r="H50" s="48">
        <v>1.43</v>
      </c>
      <c r="I50" s="48">
        <v>0.81</v>
      </c>
      <c r="J50" s="48">
        <v>0.105</v>
      </c>
      <c r="K50" s="115">
        <v>0</v>
      </c>
      <c r="L50" s="114">
        <v>1.08</v>
      </c>
      <c r="M50" s="48">
        <v>0.84</v>
      </c>
      <c r="N50" s="48">
        <v>0.49</v>
      </c>
      <c r="O50" s="48">
        <v>0.109</v>
      </c>
      <c r="P50" s="115">
        <v>3.2000000000000001E-2</v>
      </c>
      <c r="Q50" s="114">
        <v>1.1299999999999999</v>
      </c>
      <c r="R50" s="48">
        <v>0.54</v>
      </c>
      <c r="S50" s="115">
        <v>7.0000000000000007E-2</v>
      </c>
      <c r="T50" s="114">
        <v>7.86</v>
      </c>
      <c r="U50" s="48">
        <v>8.75</v>
      </c>
      <c r="V50" s="48">
        <v>9.41</v>
      </c>
      <c r="W50" s="48">
        <v>10.029999999999999</v>
      </c>
      <c r="X50" s="115">
        <v>11.39</v>
      </c>
      <c r="Y50" s="116">
        <v>105000</v>
      </c>
      <c r="Z50" s="49"/>
      <c r="AA50" s="49">
        <f>(53/100)*10^6*2/10</f>
        <v>106000</v>
      </c>
      <c r="AB50" s="117">
        <f>(53/100)*10^6*2/10</f>
        <v>106000</v>
      </c>
      <c r="AI50" s="2"/>
      <c r="AJ50" s="2"/>
      <c r="AK50" s="2"/>
      <c r="AL50" s="2"/>
      <c r="AM50" s="2"/>
      <c r="AN50" s="2"/>
    </row>
    <row r="51" spans="2:40" x14ac:dyDescent="0.25">
      <c r="B51" s="132"/>
      <c r="C51" s="50"/>
      <c r="D51" s="50"/>
      <c r="E51" s="50"/>
      <c r="F51" s="50"/>
      <c r="G51" s="83">
        <v>2.65</v>
      </c>
      <c r="H51" s="51">
        <v>1.43</v>
      </c>
      <c r="I51" s="51">
        <v>0.81</v>
      </c>
      <c r="J51" s="51">
        <v>8.2000000000000003E-2</v>
      </c>
      <c r="K51" s="84">
        <v>3.0000000000000001E-3</v>
      </c>
      <c r="L51" s="83">
        <v>1.08</v>
      </c>
      <c r="M51" s="51">
        <v>0.83</v>
      </c>
      <c r="N51" s="51">
        <v>0.48</v>
      </c>
      <c r="O51" s="51">
        <v>0.111</v>
      </c>
      <c r="P51" s="84">
        <v>3.4000000000000002E-2</v>
      </c>
      <c r="Q51" s="83">
        <v>1.1200000000000001</v>
      </c>
      <c r="R51" s="51">
        <v>0.54</v>
      </c>
      <c r="S51" s="84">
        <v>7.0000000000000007E-2</v>
      </c>
      <c r="T51" s="83"/>
      <c r="U51" s="51"/>
      <c r="V51" s="51"/>
      <c r="W51" s="51"/>
      <c r="X51" s="84"/>
      <c r="Y51" s="94">
        <v>154000</v>
      </c>
      <c r="Z51" s="52"/>
      <c r="AA51" s="52">
        <f>(34/100)*10^6*2/10</f>
        <v>68000</v>
      </c>
      <c r="AB51" s="95">
        <f>(80/100)*10^6*2/10</f>
        <v>160000</v>
      </c>
      <c r="AI51" s="2"/>
      <c r="AJ51" s="2"/>
      <c r="AK51" s="2"/>
      <c r="AL51" s="2"/>
      <c r="AM51" s="2"/>
      <c r="AN51" s="2"/>
    </row>
    <row r="52" spans="2:40" x14ac:dyDescent="0.25">
      <c r="B52" s="132"/>
      <c r="C52" s="50"/>
      <c r="D52" s="50"/>
      <c r="E52" s="50"/>
      <c r="F52" s="53" t="s">
        <v>7</v>
      </c>
      <c r="G52" s="83">
        <f>AVERAGE(G50:G51)</f>
        <v>2.75</v>
      </c>
      <c r="H52" s="51">
        <f>AVERAGE(H50:H51)</f>
        <v>1.43</v>
      </c>
      <c r="I52" s="51">
        <f>AVERAGE(I50:I51)</f>
        <v>0.81</v>
      </c>
      <c r="J52" s="54">
        <f>AVERAGE(J50:J51)</f>
        <v>9.35E-2</v>
      </c>
      <c r="K52" s="84">
        <f>AVERAGE(K50:K51)</f>
        <v>1.5E-3</v>
      </c>
      <c r="L52" s="83">
        <f>AVERAGE(L50:L51)</f>
        <v>1.08</v>
      </c>
      <c r="M52" s="51">
        <f>AVERAGE(M50:M51)</f>
        <v>0.83499999999999996</v>
      </c>
      <c r="N52" s="51">
        <f>AVERAGE(N50:N51)</f>
        <v>0.48499999999999999</v>
      </c>
      <c r="O52" s="54">
        <f>AVERAGE(O50:O51)</f>
        <v>0.11</v>
      </c>
      <c r="P52" s="84">
        <f>AVERAGE(P50:P51)</f>
        <v>3.3000000000000002E-2</v>
      </c>
      <c r="Q52" s="83">
        <f>AVERAGE(Q50:Q51)</f>
        <v>1.125</v>
      </c>
      <c r="R52" s="51">
        <f>AVERAGE(R50:R51)</f>
        <v>0.54</v>
      </c>
      <c r="S52" s="84">
        <f>AVERAGE(S50:S51)</f>
        <v>7.0000000000000007E-2</v>
      </c>
      <c r="T52" s="83">
        <f>AVERAGE(T50:T51)</f>
        <v>7.86</v>
      </c>
      <c r="U52" s="51">
        <f>AVERAGE(U50:U51)</f>
        <v>8.75</v>
      </c>
      <c r="V52" s="51">
        <f>AVERAGE(V50:V51)</f>
        <v>9.41</v>
      </c>
      <c r="W52" s="51">
        <f>AVERAGE(W50:W51)</f>
        <v>10.029999999999999</v>
      </c>
      <c r="X52" s="84">
        <f>AVERAGE(X50:X51)</f>
        <v>11.39</v>
      </c>
      <c r="Y52" s="94">
        <f>AVERAGE(Y50:Y51)</f>
        <v>129500</v>
      </c>
      <c r="Z52" s="52"/>
      <c r="AA52" s="52">
        <f>AVERAGE(AA50:AA51)</f>
        <v>87000</v>
      </c>
      <c r="AB52" s="95">
        <f>AVERAGE(AB50:AB51)</f>
        <v>133000</v>
      </c>
      <c r="AI52" s="2"/>
      <c r="AJ52" s="2"/>
      <c r="AK52" s="2"/>
      <c r="AL52" s="2"/>
      <c r="AM52" s="2"/>
      <c r="AN52" s="2"/>
    </row>
    <row r="53" spans="2:40" x14ac:dyDescent="0.25">
      <c r="B53" s="132"/>
      <c r="C53" s="62"/>
      <c r="D53" s="62"/>
      <c r="E53" s="62"/>
      <c r="F53" s="55" t="s">
        <v>8</v>
      </c>
      <c r="G53" s="118">
        <f>(STDEV(G50:G51))/(SQRT(COUNT(G50:G51)))</f>
        <v>0.10000000000000009</v>
      </c>
      <c r="H53" s="56">
        <f>(STDEV(H50:H51))/(SQRT(COUNT(H50:H51)))</f>
        <v>0</v>
      </c>
      <c r="I53" s="56">
        <f>(STDEV(I50:I51))/(SQRT(COUNT(I50:I51)))</f>
        <v>0</v>
      </c>
      <c r="J53" s="57">
        <f>(STDEV(J50:J51))/(SQRT(COUNT(J50:J51)))</f>
        <v>1.1500000000000017E-2</v>
      </c>
      <c r="K53" s="119">
        <f>(STDEV(K50:K51))/(SQRT(COUNT(K50:K51)))</f>
        <v>1.4999999999999998E-3</v>
      </c>
      <c r="L53" s="118">
        <f>(STDEV(L50:L51))/(SQRT(COUNT(L50:L51)))</f>
        <v>0</v>
      </c>
      <c r="M53" s="56">
        <f>(STDEV(M50:M51))/(SQRT(COUNT(M50:M51)))</f>
        <v>5.0000000000000044E-3</v>
      </c>
      <c r="N53" s="56">
        <f>(STDEV(N50:N51))/(SQRT(COUNT(N50:N51)))</f>
        <v>5.0000000000000044E-3</v>
      </c>
      <c r="O53" s="57">
        <f>(STDEV(O50:O51))/(SQRT(COUNT(O50:O51)))</f>
        <v>1.0000000000000009E-3</v>
      </c>
      <c r="P53" s="119">
        <f>(STDEV(P50:P51))/(SQRT(COUNT(P50:P51)))</f>
        <v>1.0000000000000009E-3</v>
      </c>
      <c r="Q53" s="118">
        <f>(STDEV(Q50:Q51))/(SQRT(COUNT(Q50:Q51)))</f>
        <v>4.9999999999998934E-3</v>
      </c>
      <c r="R53" s="56">
        <f>(STDEV(R50:R51))/(SQRT(COUNT(R50:R51)))</f>
        <v>0</v>
      </c>
      <c r="S53" s="119">
        <f>(STDEV(S50:S51))/(SQRT(COUNT(S50:S51)))</f>
        <v>0</v>
      </c>
      <c r="T53" s="118"/>
      <c r="U53" s="56"/>
      <c r="V53" s="56"/>
      <c r="W53" s="56"/>
      <c r="X53" s="119"/>
      <c r="Y53" s="120">
        <f>(STDEV(Y50:Y51))/(SQRT(COUNT(Y50:Y51)))</f>
        <v>24500</v>
      </c>
      <c r="Z53" s="58"/>
      <c r="AA53" s="58">
        <f>(STDEV(AA50:AA51))/(SQRT(COUNT(AA50:AA51)))</f>
        <v>19000</v>
      </c>
      <c r="AB53" s="129">
        <f>(STDEV(AB50:AB51))/(SQRT(COUNT(AB50:AB51)))</f>
        <v>27000</v>
      </c>
      <c r="AI53" s="2"/>
      <c r="AJ53" s="2"/>
      <c r="AK53" s="2"/>
      <c r="AL53" s="2"/>
      <c r="AM53" s="2"/>
      <c r="AN53" s="2"/>
    </row>
    <row r="54" spans="2:40" x14ac:dyDescent="0.25">
      <c r="B54" s="132"/>
      <c r="C54" s="47" t="s">
        <v>10</v>
      </c>
      <c r="D54" s="47">
        <v>1000</v>
      </c>
      <c r="E54" s="47">
        <v>100</v>
      </c>
      <c r="F54" s="47" t="s">
        <v>6</v>
      </c>
      <c r="G54" s="114">
        <v>2.85</v>
      </c>
      <c r="H54" s="48">
        <v>1.6</v>
      </c>
      <c r="I54" s="48">
        <v>0.48</v>
      </c>
      <c r="J54" s="48">
        <v>0.01</v>
      </c>
      <c r="K54" s="115">
        <v>8.0000000000000002E-3</v>
      </c>
      <c r="L54" s="114">
        <v>1.08</v>
      </c>
      <c r="M54" s="48">
        <v>0.81</v>
      </c>
      <c r="N54" s="48">
        <v>0.28000000000000003</v>
      </c>
      <c r="O54" s="48">
        <v>3.7999999999999999E-2</v>
      </c>
      <c r="P54" s="115">
        <v>5.0999999999999997E-2</v>
      </c>
      <c r="Q54" s="114">
        <v>1.1299999999999999</v>
      </c>
      <c r="R54" s="48">
        <v>0.33</v>
      </c>
      <c r="S54" s="115">
        <v>8.2000000000000003E-2</v>
      </c>
      <c r="T54" s="114">
        <v>7.86</v>
      </c>
      <c r="U54" s="48">
        <v>8.8699999999999992</v>
      </c>
      <c r="V54" s="48">
        <v>9.64</v>
      </c>
      <c r="W54" s="48">
        <v>10.57</v>
      </c>
      <c r="X54" s="115">
        <v>11.3</v>
      </c>
      <c r="Y54" s="116">
        <v>105000</v>
      </c>
      <c r="Z54" s="49"/>
      <c r="AA54" s="49">
        <f>(52/100)*10^6*2/10</f>
        <v>104000</v>
      </c>
      <c r="AB54" s="117">
        <f>(49/100)*10^6*2/10</f>
        <v>98000</v>
      </c>
      <c r="AI54" s="2"/>
      <c r="AJ54" s="2"/>
      <c r="AK54" s="2"/>
      <c r="AL54" s="2"/>
      <c r="AM54" s="2"/>
      <c r="AN54" s="2"/>
    </row>
    <row r="55" spans="2:40" x14ac:dyDescent="0.25">
      <c r="B55" s="132"/>
      <c r="C55" s="50"/>
      <c r="D55" s="50"/>
      <c r="E55" s="50"/>
      <c r="F55" s="50"/>
      <c r="G55" s="83">
        <v>2.65</v>
      </c>
      <c r="H55" s="51">
        <v>1.55</v>
      </c>
      <c r="I55" s="51">
        <v>0.62</v>
      </c>
      <c r="J55" s="51">
        <v>3.0000000000000001E-3</v>
      </c>
      <c r="K55" s="84">
        <v>5.0000000000000001E-3</v>
      </c>
      <c r="L55" s="83">
        <v>1.08</v>
      </c>
      <c r="M55" s="51">
        <v>0.82</v>
      </c>
      <c r="N55" s="51">
        <v>0.27</v>
      </c>
      <c r="O55" s="51">
        <v>4.4999999999999998E-2</v>
      </c>
      <c r="P55" s="84">
        <v>5.0999999999999997E-2</v>
      </c>
      <c r="Q55" s="83">
        <v>1.1200000000000001</v>
      </c>
      <c r="R55" s="51">
        <v>0.33</v>
      </c>
      <c r="S55" s="84">
        <v>8.2000000000000003E-2</v>
      </c>
      <c r="T55" s="83"/>
      <c r="U55" s="51"/>
      <c r="V55" s="51"/>
      <c r="W55" s="51"/>
      <c r="X55" s="84"/>
      <c r="Y55" s="94">
        <v>154000</v>
      </c>
      <c r="Z55" s="52"/>
      <c r="AA55" s="52">
        <f>(48/100)*10^6*2/10</f>
        <v>96000</v>
      </c>
      <c r="AB55" s="95">
        <f>(77/100)*10^6*2/10</f>
        <v>154000</v>
      </c>
      <c r="AI55" s="2"/>
      <c r="AJ55" s="2"/>
      <c r="AK55" s="2"/>
      <c r="AL55" s="2"/>
      <c r="AM55" s="2"/>
      <c r="AN55" s="2"/>
    </row>
    <row r="56" spans="2:40" x14ac:dyDescent="0.25">
      <c r="B56" s="132"/>
      <c r="C56" s="50"/>
      <c r="D56" s="50"/>
      <c r="E56" s="50"/>
      <c r="F56" s="53" t="s">
        <v>7</v>
      </c>
      <c r="G56" s="83">
        <f>AVERAGE(G54:G55)</f>
        <v>2.75</v>
      </c>
      <c r="H56" s="51">
        <f>AVERAGE(H54:H55)</f>
        <v>1.5750000000000002</v>
      </c>
      <c r="I56" s="51">
        <f>AVERAGE(I54:I55)</f>
        <v>0.55000000000000004</v>
      </c>
      <c r="J56" s="54">
        <f>AVERAGE(J54:J55)</f>
        <v>6.5000000000000006E-3</v>
      </c>
      <c r="K56" s="84">
        <f>AVERAGE(K54:K55)</f>
        <v>6.5000000000000006E-3</v>
      </c>
      <c r="L56" s="83">
        <f>AVERAGE(L54:L55)</f>
        <v>1.08</v>
      </c>
      <c r="M56" s="51">
        <f>AVERAGE(M54:M55)</f>
        <v>0.81499999999999995</v>
      </c>
      <c r="N56" s="51">
        <f>AVERAGE(N54:N55)</f>
        <v>0.27500000000000002</v>
      </c>
      <c r="O56" s="54">
        <f>AVERAGE(O54:O55)</f>
        <v>4.1499999999999995E-2</v>
      </c>
      <c r="P56" s="84">
        <f>AVERAGE(P54:P55)</f>
        <v>5.0999999999999997E-2</v>
      </c>
      <c r="Q56" s="83">
        <f>AVERAGE(Q54:Q55)</f>
        <v>1.125</v>
      </c>
      <c r="R56" s="51">
        <f>AVERAGE(R54:R55)</f>
        <v>0.33</v>
      </c>
      <c r="S56" s="84">
        <f>AVERAGE(S54:S55)</f>
        <v>8.2000000000000003E-2</v>
      </c>
      <c r="T56" s="83">
        <f>AVERAGE(T54:T55)</f>
        <v>7.86</v>
      </c>
      <c r="U56" s="51">
        <f>AVERAGE(U54:U55)</f>
        <v>8.8699999999999992</v>
      </c>
      <c r="V56" s="51">
        <f>AVERAGE(V54:V55)</f>
        <v>9.64</v>
      </c>
      <c r="W56" s="51">
        <f>AVERAGE(W54:W55)</f>
        <v>10.57</v>
      </c>
      <c r="X56" s="84">
        <f>AVERAGE(X54:X55)</f>
        <v>11.3</v>
      </c>
      <c r="Y56" s="94">
        <f>AVERAGE(Y54:Y55)</f>
        <v>129500</v>
      </c>
      <c r="Z56" s="52"/>
      <c r="AA56" s="52">
        <f>AVERAGE(AA54:AA55)</f>
        <v>100000</v>
      </c>
      <c r="AB56" s="95">
        <f>AVERAGE(AB54:AB55)</f>
        <v>126000</v>
      </c>
      <c r="AI56" s="2"/>
      <c r="AJ56" s="2"/>
      <c r="AK56" s="2"/>
      <c r="AL56" s="2"/>
      <c r="AM56" s="2"/>
      <c r="AN56" s="2"/>
    </row>
    <row r="57" spans="2:40" ht="13" thickBot="1" x14ac:dyDescent="0.3">
      <c r="B57" s="133"/>
      <c r="C57" s="62"/>
      <c r="D57" s="62"/>
      <c r="E57" s="62"/>
      <c r="F57" s="55" t="s">
        <v>8</v>
      </c>
      <c r="G57" s="118">
        <f>(STDEV(G54:G55))/(SQRT(COUNT(G54:G55)))</f>
        <v>0.10000000000000009</v>
      </c>
      <c r="H57" s="56">
        <f>(STDEV(H54:H55))/(SQRT(COUNT(H54:H55)))</f>
        <v>2.5000000000000022E-2</v>
      </c>
      <c r="I57" s="56">
        <f>(STDEV(I54:I55))/(SQRT(COUNT(I54:I55)))</f>
        <v>6.9999999999999701E-2</v>
      </c>
      <c r="J57" s="57">
        <f>(STDEV(J54:J55))/(SQRT(COUNT(J54:J55)))</f>
        <v>3.4999999999999992E-3</v>
      </c>
      <c r="K57" s="119">
        <f>(STDEV(K54:K55))/(SQRT(COUNT(K54:K55)))</f>
        <v>1.4999999999999998E-3</v>
      </c>
      <c r="L57" s="118">
        <f>(STDEV(L54:L55))/(SQRT(COUNT(L54:L55)))</f>
        <v>0</v>
      </c>
      <c r="M57" s="56">
        <f>(STDEV(M54:M55))/(SQRT(COUNT(M54:M55)))</f>
        <v>4.9999999999999489E-3</v>
      </c>
      <c r="N57" s="56">
        <f>(STDEV(N54:N55))/(SQRT(COUNT(N54:N55)))</f>
        <v>5.0000000000000044E-3</v>
      </c>
      <c r="O57" s="57">
        <f>(STDEV(O54:O55))/(SQRT(COUNT(O54:O55)))</f>
        <v>3.4999999999999992E-3</v>
      </c>
      <c r="P57" s="119">
        <f>(STDEV(P54:P55))/(SQRT(COUNT(P54:P55)))</f>
        <v>0</v>
      </c>
      <c r="Q57" s="118">
        <f>(STDEV(Q54:Q55))/(SQRT(COUNT(Q54:Q55)))</f>
        <v>4.9999999999998934E-3</v>
      </c>
      <c r="R57" s="56">
        <f>(STDEV(R54:R55))/(SQRT(COUNT(R54:R55)))</f>
        <v>0</v>
      </c>
      <c r="S57" s="119">
        <f>(STDEV(S54:S55))/(SQRT(COUNT(S54:S55)))</f>
        <v>0</v>
      </c>
      <c r="T57" s="118"/>
      <c r="U57" s="56"/>
      <c r="V57" s="56"/>
      <c r="W57" s="56"/>
      <c r="X57" s="119"/>
      <c r="Y57" s="120">
        <f>(STDEV(Y54:Y55))/(SQRT(COUNT(Y54:Y55)))</f>
        <v>24500</v>
      </c>
      <c r="Z57" s="58"/>
      <c r="AA57" s="58">
        <f>(STDEV(AA54:AA55))/(SQRT(COUNT(AA54:AA55)))</f>
        <v>4000</v>
      </c>
      <c r="AB57" s="129">
        <f>(STDEV(AB54:AB55))/(SQRT(COUNT(AB54:AB55)))</f>
        <v>27999.999999999996</v>
      </c>
      <c r="AI57" s="2"/>
      <c r="AJ57" s="2"/>
      <c r="AK57" s="2"/>
      <c r="AL57" s="2"/>
      <c r="AM57" s="2"/>
      <c r="AN57" s="2"/>
    </row>
    <row r="58" spans="2:40" ht="12.5" customHeight="1" x14ac:dyDescent="0.25">
      <c r="B58" s="131" t="s">
        <v>20</v>
      </c>
      <c r="C58" s="7" t="s">
        <v>5</v>
      </c>
      <c r="D58" s="7">
        <v>200</v>
      </c>
      <c r="E58" s="7">
        <v>25</v>
      </c>
      <c r="F58" s="7">
        <v>500</v>
      </c>
      <c r="G58" s="99">
        <v>2.87</v>
      </c>
      <c r="H58" s="8">
        <v>2.19</v>
      </c>
      <c r="I58" s="8">
        <v>1.61</v>
      </c>
      <c r="J58" s="8">
        <v>1.33</v>
      </c>
      <c r="K58" s="100">
        <v>0.09</v>
      </c>
      <c r="L58" s="99">
        <v>1.0900000000000001</v>
      </c>
      <c r="M58" s="8">
        <v>0.88</v>
      </c>
      <c r="N58" s="8">
        <v>0.86</v>
      </c>
      <c r="O58" s="8">
        <v>0.8</v>
      </c>
      <c r="P58" s="100">
        <v>1.6E-2</v>
      </c>
      <c r="Q58" s="99">
        <v>1.1000000000000001</v>
      </c>
      <c r="R58" s="8">
        <v>0.88</v>
      </c>
      <c r="S58" s="100"/>
      <c r="T58" s="99">
        <v>7.7</v>
      </c>
      <c r="U58" s="8">
        <v>8.26</v>
      </c>
      <c r="V58" s="8">
        <v>8.59</v>
      </c>
      <c r="W58" s="8">
        <v>8.6199999999999992</v>
      </c>
      <c r="X58" s="100">
        <v>9.77</v>
      </c>
      <c r="Y58" s="101">
        <f>(22/100)*10^6*5/10</f>
        <v>110000</v>
      </c>
      <c r="Z58" s="12"/>
      <c r="AA58" s="12">
        <f>(31/100)*10^6*5/10</f>
        <v>155000</v>
      </c>
      <c r="AB58" s="102">
        <f>(29/100)*10^6*5/10</f>
        <v>145000</v>
      </c>
      <c r="AI58" s="2"/>
      <c r="AJ58" s="2"/>
      <c r="AK58" s="2"/>
      <c r="AL58" s="2"/>
      <c r="AM58" s="2"/>
      <c r="AN58" s="2"/>
    </row>
    <row r="59" spans="2:40" ht="14.5" customHeight="1" x14ac:dyDescent="0.25">
      <c r="B59" s="132"/>
      <c r="C59" s="13"/>
      <c r="D59" s="13"/>
      <c r="E59" s="13"/>
      <c r="F59" s="13"/>
      <c r="G59" s="79">
        <v>2.87</v>
      </c>
      <c r="H59" s="9">
        <v>2.79</v>
      </c>
      <c r="I59" s="9">
        <v>1.65</v>
      </c>
      <c r="J59" s="9">
        <v>1.42</v>
      </c>
      <c r="K59" s="80">
        <v>0.1</v>
      </c>
      <c r="L59" s="79">
        <v>1.0900000000000001</v>
      </c>
      <c r="M59" s="9">
        <v>0.9</v>
      </c>
      <c r="N59" s="9">
        <v>0.86</v>
      </c>
      <c r="O59" s="9">
        <v>0.81</v>
      </c>
      <c r="P59" s="80"/>
      <c r="Q59" s="79">
        <v>1.1000000000000001</v>
      </c>
      <c r="R59" s="9"/>
      <c r="S59" s="80"/>
      <c r="T59" s="79"/>
      <c r="U59" s="9"/>
      <c r="V59" s="9"/>
      <c r="W59" s="9"/>
      <c r="X59" s="80"/>
      <c r="Y59" s="90">
        <f>(24/100)*10^6*5/10</f>
        <v>120000</v>
      </c>
      <c r="Z59" s="5"/>
      <c r="AA59" s="5">
        <f>(25/100)*10^6*5/10</f>
        <v>125000</v>
      </c>
      <c r="AB59" s="91">
        <f>(31/100)*10^6*5/10</f>
        <v>155000</v>
      </c>
      <c r="AI59" s="2"/>
      <c r="AJ59" s="2"/>
      <c r="AK59" s="2"/>
      <c r="AL59" s="2"/>
      <c r="AM59" s="2"/>
      <c r="AN59" s="2"/>
    </row>
    <row r="60" spans="2:40" ht="14.5" customHeight="1" x14ac:dyDescent="0.25">
      <c r="B60" s="132"/>
      <c r="C60" s="13"/>
      <c r="D60" s="13"/>
      <c r="E60" s="13"/>
      <c r="F60" s="14" t="s">
        <v>7</v>
      </c>
      <c r="G60" s="85">
        <f>AVERAGE(G58:G59)</f>
        <v>2.87</v>
      </c>
      <c r="H60" s="9">
        <f>AVERAGE(H58:H59)</f>
        <v>2.4900000000000002</v>
      </c>
      <c r="I60" s="9">
        <f>AVERAGE(I58:I59)</f>
        <v>1.63</v>
      </c>
      <c r="J60" s="20">
        <f>AVERAGE(J58:J59)</f>
        <v>1.375</v>
      </c>
      <c r="K60" s="80">
        <f>AVERAGE(K58:K59)</f>
        <v>9.5000000000000001E-2</v>
      </c>
      <c r="L60" s="79">
        <f>AVERAGE(L58:L59)</f>
        <v>1.0900000000000001</v>
      </c>
      <c r="M60" s="9">
        <f>AVERAGE(M58:M59)</f>
        <v>0.89</v>
      </c>
      <c r="N60" s="9">
        <f>AVERAGE(N58:N59)</f>
        <v>0.86</v>
      </c>
      <c r="O60" s="20">
        <f>AVERAGE(O58:O59)</f>
        <v>0.80500000000000005</v>
      </c>
      <c r="P60" s="80">
        <f>AVERAGE(P58:P59)</f>
        <v>1.6E-2</v>
      </c>
      <c r="Q60" s="79">
        <f>AVERAGE(Q58:Q59)</f>
        <v>1.1000000000000001</v>
      </c>
      <c r="R60" s="9">
        <f>AVERAGE(R58:R59)</f>
        <v>0.88</v>
      </c>
      <c r="S60" s="80"/>
      <c r="T60" s="79">
        <f>AVERAGE(T58:T59)</f>
        <v>7.7</v>
      </c>
      <c r="U60" s="9">
        <f>AVERAGE(U58:U59)</f>
        <v>8.26</v>
      </c>
      <c r="V60" s="9">
        <f>AVERAGE(V58:V59)</f>
        <v>8.59</v>
      </c>
      <c r="W60" s="9">
        <f>AVERAGE(W58:W59)</f>
        <v>8.6199999999999992</v>
      </c>
      <c r="X60" s="80">
        <f>AVERAGE(X58:X59)</f>
        <v>9.77</v>
      </c>
      <c r="Y60" s="90">
        <f>AVERAGE(Y58:Y59)</f>
        <v>115000</v>
      </c>
      <c r="Z60" s="5"/>
      <c r="AA60" s="5">
        <f>AVERAGE(AA58:AA59)</f>
        <v>140000</v>
      </c>
      <c r="AB60" s="91">
        <f>AVERAGE(AB58:AB59)</f>
        <v>150000</v>
      </c>
      <c r="AI60" s="2"/>
      <c r="AJ60" s="2"/>
      <c r="AK60" s="2"/>
      <c r="AL60" s="2"/>
      <c r="AM60" s="2"/>
      <c r="AN60" s="2"/>
    </row>
    <row r="61" spans="2:40" ht="14.5" customHeight="1" x14ac:dyDescent="0.25">
      <c r="B61" s="132"/>
      <c r="C61" s="60"/>
      <c r="D61" s="60"/>
      <c r="E61" s="60"/>
      <c r="F61" s="16" t="s">
        <v>8</v>
      </c>
      <c r="G61" s="103">
        <f>(STDEV(G58:G59))/(SQRT(COUNT(G58:G59)))</f>
        <v>0</v>
      </c>
      <c r="H61" s="17">
        <f>(STDEV(H58:H59))/(SQRT(COUNT(H58:H59)))</f>
        <v>0.29999999999999977</v>
      </c>
      <c r="I61" s="17">
        <f>(STDEV(I58:I59))/(SQRT(COUNT(I58:I59)))</f>
        <v>1.9999999999999907E-2</v>
      </c>
      <c r="J61" s="17">
        <f>(STDEV(J58:J59))/(SQRT(COUNT(J58:J59)))</f>
        <v>4.4999999999999929E-2</v>
      </c>
      <c r="K61" s="104">
        <f>(STDEV(K58:K59))/(SQRT(COUNT(K58:K59)))</f>
        <v>5.0000000000000044E-3</v>
      </c>
      <c r="L61" s="103">
        <f>(STDEV(L58:L59))/(SQRT(COUNT(L58:L59)))</f>
        <v>0</v>
      </c>
      <c r="M61" s="17">
        <f>(STDEV(M58:M59))/(SQRT(COUNT(M58:M59)))</f>
        <v>1.0000000000000009E-2</v>
      </c>
      <c r="N61" s="17">
        <f>(STDEV(N58:N59))/(SQRT(COUNT(N58:N59)))</f>
        <v>0</v>
      </c>
      <c r="O61" s="17">
        <f>(STDEV(O58:O59))/(SQRT(COUNT(O58:O59)))</f>
        <v>5.0000000000000044E-3</v>
      </c>
      <c r="P61" s="104"/>
      <c r="Q61" s="103">
        <f>(STDEV(Q58:Q59))/(SQRT(COUNT(Q58:Q59)))</f>
        <v>0</v>
      </c>
      <c r="R61" s="17"/>
      <c r="S61" s="104"/>
      <c r="T61" s="103"/>
      <c r="U61" s="17"/>
      <c r="V61" s="17"/>
      <c r="W61" s="17"/>
      <c r="X61" s="104"/>
      <c r="Y61" s="105">
        <f>(STDEV(Y58:Y59))/(SQRT(COUNT(Y58:Y59)))</f>
        <v>4999.9999999999991</v>
      </c>
      <c r="Z61" s="19"/>
      <c r="AA61" s="19">
        <f>(STDEV(AA58:AA59))/(SQRT(COUNT(AA58:AA59)))</f>
        <v>14999.999999999998</v>
      </c>
      <c r="AB61" s="106">
        <f>(STDEV(AB58:AB59))/(SQRT(COUNT(AB58:AB59)))</f>
        <v>4999.9999999999991</v>
      </c>
      <c r="AI61" s="2"/>
      <c r="AJ61" s="2"/>
      <c r="AK61" s="2"/>
      <c r="AL61" s="2"/>
      <c r="AM61" s="2"/>
      <c r="AN61" s="2"/>
    </row>
    <row r="62" spans="2:40" ht="14.5" customHeight="1" x14ac:dyDescent="0.25">
      <c r="B62" s="132"/>
      <c r="C62" s="7" t="s">
        <v>5</v>
      </c>
      <c r="D62" s="7">
        <v>200</v>
      </c>
      <c r="E62" s="7">
        <v>50</v>
      </c>
      <c r="F62" s="7">
        <v>500</v>
      </c>
      <c r="G62" s="99">
        <v>2.87</v>
      </c>
      <c r="H62" s="8">
        <v>2.64</v>
      </c>
      <c r="I62" s="8">
        <v>1.35</v>
      </c>
      <c r="J62" s="8">
        <v>0.88</v>
      </c>
      <c r="K62" s="100">
        <v>7.0000000000000007E-2</v>
      </c>
      <c r="L62" s="99">
        <v>1.0900000000000001</v>
      </c>
      <c r="M62" s="8">
        <v>0.87</v>
      </c>
      <c r="N62" s="8">
        <v>0.77</v>
      </c>
      <c r="O62" s="8">
        <v>0.64</v>
      </c>
      <c r="P62" s="100">
        <v>0.02</v>
      </c>
      <c r="Q62" s="99">
        <v>1.1000000000000001</v>
      </c>
      <c r="R62" s="8">
        <v>0.81</v>
      </c>
      <c r="S62" s="100"/>
      <c r="T62" s="99">
        <v>7.7</v>
      </c>
      <c r="U62" s="8">
        <v>8.34</v>
      </c>
      <c r="V62" s="8">
        <v>8.8000000000000007</v>
      </c>
      <c r="W62" s="8">
        <v>9.01</v>
      </c>
      <c r="X62" s="100">
        <v>11.12</v>
      </c>
      <c r="Y62" s="101">
        <f>(22/100)*10^6*5/10</f>
        <v>110000</v>
      </c>
      <c r="Z62" s="12"/>
      <c r="AA62" s="12">
        <f>(23/100)*10^6*5/10</f>
        <v>115000</v>
      </c>
      <c r="AB62" s="102">
        <f>(22/100)*10^6*5/10</f>
        <v>110000</v>
      </c>
      <c r="AI62" s="2"/>
      <c r="AJ62" s="2"/>
      <c r="AK62" s="2"/>
      <c r="AL62" s="2"/>
      <c r="AM62" s="2"/>
      <c r="AN62" s="2"/>
    </row>
    <row r="63" spans="2:40" ht="14.5" customHeight="1" x14ac:dyDescent="0.25">
      <c r="B63" s="132"/>
      <c r="C63" s="13"/>
      <c r="D63" s="13"/>
      <c r="E63" s="13"/>
      <c r="F63" s="13"/>
      <c r="G63" s="79">
        <v>2.87</v>
      </c>
      <c r="H63" s="9">
        <v>2.78</v>
      </c>
      <c r="I63" s="9">
        <v>1.49</v>
      </c>
      <c r="J63" s="9">
        <v>0.89</v>
      </c>
      <c r="K63" s="80">
        <v>0.08</v>
      </c>
      <c r="L63" s="79">
        <v>1.0900000000000001</v>
      </c>
      <c r="M63" s="9">
        <v>0.88</v>
      </c>
      <c r="N63" s="9">
        <v>0.78</v>
      </c>
      <c r="O63" s="9">
        <v>0.64</v>
      </c>
      <c r="P63" s="80"/>
      <c r="Q63" s="79">
        <v>1.1000000000000001</v>
      </c>
      <c r="R63" s="9"/>
      <c r="S63" s="80"/>
      <c r="T63" s="79"/>
      <c r="U63" s="9"/>
      <c r="V63" s="9"/>
      <c r="W63" s="9"/>
      <c r="X63" s="80"/>
      <c r="Y63" s="90">
        <f>(24/100)*10^6*5/10</f>
        <v>120000</v>
      </c>
      <c r="Z63" s="5"/>
      <c r="AA63" s="5">
        <f>(20/100)*10^6*5/10</f>
        <v>100000</v>
      </c>
      <c r="AB63" s="91">
        <f>(34/100)*10^6*5/10</f>
        <v>170000</v>
      </c>
      <c r="AI63" s="2"/>
      <c r="AJ63" s="2"/>
      <c r="AK63" s="2"/>
      <c r="AL63" s="2"/>
      <c r="AM63" s="2"/>
      <c r="AN63" s="2"/>
    </row>
    <row r="64" spans="2:40" ht="14.5" customHeight="1" x14ac:dyDescent="0.25">
      <c r="B64" s="132"/>
      <c r="C64" s="13"/>
      <c r="D64" s="13"/>
      <c r="E64" s="13"/>
      <c r="F64" s="14" t="s">
        <v>7</v>
      </c>
      <c r="G64" s="79">
        <f>AVERAGE(G62:G63)</f>
        <v>2.87</v>
      </c>
      <c r="H64" s="9">
        <f>AVERAGE(H62:H63)</f>
        <v>2.71</v>
      </c>
      <c r="I64" s="9">
        <f>AVERAGE(I62:I63)</f>
        <v>1.42</v>
      </c>
      <c r="J64" s="20">
        <f>AVERAGE(J62:J63)</f>
        <v>0.88500000000000001</v>
      </c>
      <c r="K64" s="80">
        <f>AVERAGE(K62:K63)</f>
        <v>7.5000000000000011E-2</v>
      </c>
      <c r="L64" s="79">
        <f>AVERAGE(L62:L63)</f>
        <v>1.0900000000000001</v>
      </c>
      <c r="M64" s="9">
        <f>AVERAGE(M62:M63)</f>
        <v>0.875</v>
      </c>
      <c r="N64" s="9">
        <f>AVERAGE(N62:N63)</f>
        <v>0.77500000000000002</v>
      </c>
      <c r="O64" s="20">
        <f>AVERAGE(O62:O63)</f>
        <v>0.64</v>
      </c>
      <c r="P64" s="80">
        <f>AVERAGE(P62:P63)</f>
        <v>0.02</v>
      </c>
      <c r="Q64" s="79">
        <f>AVERAGE(Q62:Q63)</f>
        <v>1.1000000000000001</v>
      </c>
      <c r="R64" s="9">
        <f>AVERAGE(R62:R63)</f>
        <v>0.81</v>
      </c>
      <c r="S64" s="80"/>
      <c r="T64" s="79">
        <f>AVERAGE(T62:T63)</f>
        <v>7.7</v>
      </c>
      <c r="U64" s="9">
        <f>AVERAGE(U62:U63)</f>
        <v>8.34</v>
      </c>
      <c r="V64" s="9">
        <f>AVERAGE(V62:V63)</f>
        <v>8.8000000000000007</v>
      </c>
      <c r="W64" s="9">
        <f>AVERAGE(W62:W63)</f>
        <v>9.01</v>
      </c>
      <c r="X64" s="80">
        <f>AVERAGE(X62:X63)</f>
        <v>11.12</v>
      </c>
      <c r="Y64" s="90">
        <f>AVERAGE(Y62:Y63)</f>
        <v>115000</v>
      </c>
      <c r="Z64" s="5"/>
      <c r="AA64" s="5">
        <f>AVERAGE(AA62:AA63)</f>
        <v>107500</v>
      </c>
      <c r="AB64" s="91">
        <f>AVERAGE(AB62:AB63)</f>
        <v>140000</v>
      </c>
      <c r="AI64" s="2"/>
      <c r="AJ64" s="2"/>
      <c r="AK64" s="2"/>
      <c r="AL64" s="2"/>
      <c r="AM64" s="2"/>
      <c r="AN64" s="2"/>
    </row>
    <row r="65" spans="2:40" ht="14.5" customHeight="1" x14ac:dyDescent="0.25">
      <c r="B65" s="132"/>
      <c r="C65" s="60"/>
      <c r="D65" s="60"/>
      <c r="E65" s="60"/>
      <c r="F65" s="16" t="s">
        <v>8</v>
      </c>
      <c r="G65" s="103">
        <f>(STDEV(G62:G63))/(SQRT(COUNT(G62:G63)))</f>
        <v>0</v>
      </c>
      <c r="H65" s="17">
        <f>(STDEV(H62:H63))/(SQRT(COUNT(H62:H63)))</f>
        <v>6.999999999999984E-2</v>
      </c>
      <c r="I65" s="17">
        <f>(STDEV(I62:I63))/(SQRT(COUNT(I62:I63)))</f>
        <v>6.9999999999999937E-2</v>
      </c>
      <c r="J65" s="17">
        <f>(STDEV(J62:J63))/(SQRT(COUNT(J62:J63)))</f>
        <v>5.0000000000000044E-3</v>
      </c>
      <c r="K65" s="104">
        <f>(STDEV(K62:K63))/(SQRT(COUNT(K62:K63)))</f>
        <v>4.9999999999999975E-3</v>
      </c>
      <c r="L65" s="103">
        <f>(STDEV(L62:L63))/(SQRT(COUNT(L62:L63)))</f>
        <v>0</v>
      </c>
      <c r="M65" s="17">
        <f>(STDEV(M62:M63))/(SQRT(COUNT(M62:M63)))</f>
        <v>5.0000000000000044E-3</v>
      </c>
      <c r="N65" s="17">
        <f>(STDEV(N62:N63))/(SQRT(COUNT(N62:N63)))</f>
        <v>5.0000000000000044E-3</v>
      </c>
      <c r="O65" s="17">
        <f>(STDEV(O62:O63))/(SQRT(COUNT(O62:O63)))</f>
        <v>0</v>
      </c>
      <c r="P65" s="104"/>
      <c r="Q65" s="103">
        <f>(STDEV(Q62:Q63))/(SQRT(COUNT(Q62:Q63)))</f>
        <v>0</v>
      </c>
      <c r="R65" s="17"/>
      <c r="S65" s="104"/>
      <c r="T65" s="103"/>
      <c r="U65" s="17"/>
      <c r="V65" s="17"/>
      <c r="W65" s="17"/>
      <c r="X65" s="104"/>
      <c r="Y65" s="105">
        <f>(STDEV(Y62:Y63))/(SQRT(COUNT(Y62:Y63)))</f>
        <v>4999.9999999999991</v>
      </c>
      <c r="Z65" s="19"/>
      <c r="AA65" s="19">
        <f>(STDEV(AA62:AA63))/(SQRT(COUNT(AA62:AA63)))</f>
        <v>7499.9999999999991</v>
      </c>
      <c r="AB65" s="106">
        <f>(STDEV(AB62:AB63))/(SQRT(COUNT(AB62:AB63)))</f>
        <v>29999.999999999996</v>
      </c>
      <c r="AI65" s="2"/>
      <c r="AJ65" s="2"/>
      <c r="AK65" s="2"/>
      <c r="AL65" s="2"/>
      <c r="AM65" s="2"/>
      <c r="AN65" s="2"/>
    </row>
    <row r="66" spans="2:40" ht="14.5" customHeight="1" x14ac:dyDescent="0.25">
      <c r="B66" s="132"/>
      <c r="C66" s="7" t="s">
        <v>5</v>
      </c>
      <c r="D66" s="7">
        <v>200</v>
      </c>
      <c r="E66" s="7">
        <v>75</v>
      </c>
      <c r="F66" s="7">
        <v>500</v>
      </c>
      <c r="G66" s="99">
        <v>2.87</v>
      </c>
      <c r="H66" s="8">
        <v>2.0699999999999998</v>
      </c>
      <c r="I66" s="8">
        <v>1</v>
      </c>
      <c r="J66" s="8">
        <v>0.94</v>
      </c>
      <c r="K66" s="100">
        <v>0.05</v>
      </c>
      <c r="L66" s="99">
        <v>1.0900000000000001</v>
      </c>
      <c r="M66" s="8">
        <v>0.87</v>
      </c>
      <c r="N66" s="8">
        <v>0.69</v>
      </c>
      <c r="O66" s="8">
        <v>0.46</v>
      </c>
      <c r="P66" s="100">
        <v>0.01</v>
      </c>
      <c r="Q66" s="99">
        <v>1.1000000000000001</v>
      </c>
      <c r="R66" s="8">
        <v>0.73</v>
      </c>
      <c r="S66" s="100"/>
      <c r="T66" s="99">
        <v>7.7</v>
      </c>
      <c r="U66" s="8">
        <v>8.44</v>
      </c>
      <c r="V66" s="8">
        <v>8.9700000000000006</v>
      </c>
      <c r="W66" s="8">
        <v>9.2200000000000006</v>
      </c>
      <c r="X66" s="100">
        <v>11.36</v>
      </c>
      <c r="Y66" s="101">
        <f>(22/100)*10^6*5/10</f>
        <v>110000</v>
      </c>
      <c r="Z66" s="12"/>
      <c r="AA66" s="12">
        <f>(34/100)*10^6*5/10</f>
        <v>170000</v>
      </c>
      <c r="AB66" s="102">
        <f>(51/100)*10^6*5/10</f>
        <v>255000</v>
      </c>
      <c r="AI66" s="2"/>
      <c r="AJ66" s="2"/>
      <c r="AK66" s="2"/>
      <c r="AL66" s="2"/>
      <c r="AM66" s="2"/>
      <c r="AN66" s="2"/>
    </row>
    <row r="67" spans="2:40" ht="14.5" customHeight="1" x14ac:dyDescent="0.25">
      <c r="B67" s="132"/>
      <c r="C67" s="13"/>
      <c r="D67" s="13"/>
      <c r="E67" s="13"/>
      <c r="F67" s="13"/>
      <c r="G67" s="79">
        <v>2.87</v>
      </c>
      <c r="H67" s="9">
        <v>2.34</v>
      </c>
      <c r="I67" s="9">
        <v>1.08</v>
      </c>
      <c r="J67" s="9">
        <v>0.89</v>
      </c>
      <c r="K67" s="80">
        <v>0.06</v>
      </c>
      <c r="L67" s="79">
        <v>1.0900000000000001</v>
      </c>
      <c r="M67" s="9">
        <v>0.86</v>
      </c>
      <c r="N67" s="9">
        <v>0.62</v>
      </c>
      <c r="O67" s="9">
        <v>0.46</v>
      </c>
      <c r="P67" s="80"/>
      <c r="Q67" s="79">
        <v>1.1000000000000001</v>
      </c>
      <c r="R67" s="9"/>
      <c r="S67" s="80"/>
      <c r="T67" s="79"/>
      <c r="U67" s="9"/>
      <c r="V67" s="9"/>
      <c r="W67" s="9"/>
      <c r="X67" s="80"/>
      <c r="Y67" s="90">
        <f>(24/100)*10^6*5/10</f>
        <v>120000</v>
      </c>
      <c r="Z67" s="5"/>
      <c r="AA67" s="5">
        <f>(27/100)*10^6*5/10</f>
        <v>135000</v>
      </c>
      <c r="AB67" s="91">
        <f>(46/100)*10^6*5/10</f>
        <v>230000</v>
      </c>
      <c r="AI67" s="2"/>
      <c r="AJ67" s="2"/>
      <c r="AK67" s="2"/>
      <c r="AL67" s="2"/>
      <c r="AM67" s="2"/>
      <c r="AN67" s="2"/>
    </row>
    <row r="68" spans="2:40" ht="14.5" customHeight="1" x14ac:dyDescent="0.25">
      <c r="B68" s="132"/>
      <c r="C68" s="13"/>
      <c r="D68" s="13"/>
      <c r="E68" s="13"/>
      <c r="F68" s="14" t="s">
        <v>7</v>
      </c>
      <c r="G68" s="79">
        <f>AVERAGE(G66:G67)</f>
        <v>2.87</v>
      </c>
      <c r="H68" s="9">
        <f>AVERAGE(H66:H67)</f>
        <v>2.2050000000000001</v>
      </c>
      <c r="I68" s="9">
        <f>AVERAGE(I66:I67)</f>
        <v>1.04</v>
      </c>
      <c r="J68" s="20">
        <f>AVERAGE(J66:J67)</f>
        <v>0.91500000000000004</v>
      </c>
      <c r="K68" s="80">
        <f>AVERAGE(K66:K67)</f>
        <v>5.5E-2</v>
      </c>
      <c r="L68" s="79">
        <f>AVERAGE(L66:L67)</f>
        <v>1.0900000000000001</v>
      </c>
      <c r="M68" s="9">
        <f>AVERAGE(M66:M67)</f>
        <v>0.86499999999999999</v>
      </c>
      <c r="N68" s="9">
        <f>AVERAGE(N66:N67)</f>
        <v>0.65500000000000003</v>
      </c>
      <c r="O68" s="20">
        <f>AVERAGE(O66:O67)</f>
        <v>0.46</v>
      </c>
      <c r="P68" s="80">
        <f>AVERAGE(P66:P67)</f>
        <v>0.01</v>
      </c>
      <c r="Q68" s="79">
        <f>AVERAGE(Q66:Q67)</f>
        <v>1.1000000000000001</v>
      </c>
      <c r="R68" s="9">
        <f>AVERAGE(R66:R67)</f>
        <v>0.73</v>
      </c>
      <c r="S68" s="80"/>
      <c r="T68" s="79">
        <f>AVERAGE(T66:T67)</f>
        <v>7.7</v>
      </c>
      <c r="U68" s="9">
        <f>AVERAGE(U66:U67)</f>
        <v>8.44</v>
      </c>
      <c r="V68" s="9">
        <f>AVERAGE(V66:V67)</f>
        <v>8.9700000000000006</v>
      </c>
      <c r="W68" s="9">
        <f>AVERAGE(W66:W67)</f>
        <v>9.2200000000000006</v>
      </c>
      <c r="X68" s="80">
        <f>AVERAGE(X66:X67)</f>
        <v>11.36</v>
      </c>
      <c r="Y68" s="90">
        <f>AVERAGE(Y66:Y67)</f>
        <v>115000</v>
      </c>
      <c r="Z68" s="5"/>
      <c r="AA68" s="5">
        <f>AVERAGE(AA66:AA67)</f>
        <v>152500</v>
      </c>
      <c r="AB68" s="91">
        <f>AVERAGE(AB66:AB67)</f>
        <v>242500</v>
      </c>
      <c r="AI68" s="2"/>
      <c r="AJ68" s="2"/>
      <c r="AK68" s="2"/>
      <c r="AL68" s="2"/>
      <c r="AM68" s="2"/>
      <c r="AN68" s="2"/>
    </row>
    <row r="69" spans="2:40" ht="14.5" customHeight="1" x14ac:dyDescent="0.25">
      <c r="B69" s="132"/>
      <c r="C69" s="60"/>
      <c r="D69" s="60"/>
      <c r="E69" s="60"/>
      <c r="F69" s="16" t="s">
        <v>8</v>
      </c>
      <c r="G69" s="103">
        <f>(STDEV(G66:G67))/(SQRT(COUNT(G66:G67)))</f>
        <v>0</v>
      </c>
      <c r="H69" s="17">
        <f>(STDEV(H66:H67))/(SQRT(COUNT(H66:H67)))</f>
        <v>0.13500000000000001</v>
      </c>
      <c r="I69" s="17">
        <f>(STDEV(I66:I67))/(SQRT(COUNT(I66:I67)))</f>
        <v>4.0000000000000036E-2</v>
      </c>
      <c r="J69" s="17">
        <f>(STDEV(J66:J67))/(SQRT(COUNT(J66:J67)))</f>
        <v>2.4999999999999963E-2</v>
      </c>
      <c r="K69" s="104">
        <f>(STDEV(K66:K67))/(SQRT(COUNT(K66:K67)))</f>
        <v>4.9999999999999975E-3</v>
      </c>
      <c r="L69" s="103">
        <f>(STDEV(L66:L67))/(SQRT(COUNT(L66:L67)))</f>
        <v>0</v>
      </c>
      <c r="M69" s="17">
        <f>(STDEV(M66:M67))/(SQRT(COUNT(M66:M67)))</f>
        <v>5.0000000000000044E-3</v>
      </c>
      <c r="N69" s="17">
        <f>(STDEV(N66:N67))/(SQRT(COUNT(N66:N67)))</f>
        <v>3.4999999999999969E-2</v>
      </c>
      <c r="O69" s="17">
        <f>(STDEV(O66:O67))/(SQRT(COUNT(O66:O67)))</f>
        <v>0</v>
      </c>
      <c r="P69" s="104"/>
      <c r="Q69" s="103">
        <f>(STDEV(Q66:Q67))/(SQRT(COUNT(Q66:Q67)))</f>
        <v>0</v>
      </c>
      <c r="R69" s="17"/>
      <c r="S69" s="104"/>
      <c r="T69" s="103"/>
      <c r="U69" s="17"/>
      <c r="V69" s="17"/>
      <c r="W69" s="17"/>
      <c r="X69" s="104"/>
      <c r="Y69" s="105">
        <f>(STDEV(Y66:Y67))/(SQRT(COUNT(Y66:Y67)))</f>
        <v>4999.9999999999991</v>
      </c>
      <c r="Z69" s="19"/>
      <c r="AA69" s="19">
        <f>(STDEV(AA66:AA67))/(SQRT(COUNT(AA66:AA67)))</f>
        <v>17499.999999999996</v>
      </c>
      <c r="AB69" s="106">
        <f>(STDEV(AB66:AB67))/(SQRT(COUNT(AB66:AB67)))</f>
        <v>12500</v>
      </c>
      <c r="AI69" s="2"/>
      <c r="AJ69" s="2"/>
      <c r="AK69" s="2"/>
      <c r="AL69" s="2"/>
      <c r="AM69" s="2"/>
      <c r="AN69" s="2"/>
    </row>
    <row r="70" spans="2:40" ht="14.5" customHeight="1" x14ac:dyDescent="0.25">
      <c r="B70" s="132"/>
      <c r="C70" s="7" t="s">
        <v>5</v>
      </c>
      <c r="D70" s="7">
        <v>200</v>
      </c>
      <c r="E70" s="7">
        <v>100</v>
      </c>
      <c r="F70" s="7">
        <v>500</v>
      </c>
      <c r="G70" s="99">
        <v>2.87</v>
      </c>
      <c r="H70" s="8">
        <v>1.76</v>
      </c>
      <c r="I70" s="8">
        <v>0.73</v>
      </c>
      <c r="J70" s="8">
        <v>0.35</v>
      </c>
      <c r="K70" s="100">
        <v>2.1999999999999999E-2</v>
      </c>
      <c r="L70" s="99">
        <v>1.0900000000000001</v>
      </c>
      <c r="M70" s="8">
        <v>0.89</v>
      </c>
      <c r="N70" s="8">
        <v>0.5</v>
      </c>
      <c r="O70" s="8">
        <v>0.28000000000000003</v>
      </c>
      <c r="P70" s="100">
        <v>0.01</v>
      </c>
      <c r="Q70" s="99">
        <v>1.1000000000000001</v>
      </c>
      <c r="R70" s="8">
        <v>0.55000000000000004</v>
      </c>
      <c r="S70" s="100"/>
      <c r="T70" s="99">
        <v>7.7</v>
      </c>
      <c r="U70" s="8">
        <v>8.58</v>
      </c>
      <c r="V70" s="8">
        <v>9.15</v>
      </c>
      <c r="W70" s="8">
        <v>9.41</v>
      </c>
      <c r="X70" s="100">
        <v>11.13</v>
      </c>
      <c r="Y70" s="101">
        <f>(22/100)*10^6*5/10</f>
        <v>110000</v>
      </c>
      <c r="Z70" s="12"/>
      <c r="AA70" s="12">
        <f>(16/100)*10^6*5/10</f>
        <v>80000</v>
      </c>
      <c r="AB70" s="102">
        <f>(54/100)*10^6*5/10</f>
        <v>270000</v>
      </c>
      <c r="AI70" s="2"/>
      <c r="AJ70" s="2"/>
      <c r="AK70" s="2"/>
      <c r="AL70" s="2"/>
      <c r="AM70" s="2"/>
      <c r="AN70" s="2"/>
    </row>
    <row r="71" spans="2:40" ht="14.5" customHeight="1" x14ac:dyDescent="0.25">
      <c r="B71" s="132"/>
      <c r="C71" s="13"/>
      <c r="D71" s="13"/>
      <c r="E71" s="13"/>
      <c r="F71" s="13"/>
      <c r="G71" s="79">
        <v>2.87</v>
      </c>
      <c r="H71" s="9">
        <v>1.76</v>
      </c>
      <c r="I71" s="9">
        <v>0.9</v>
      </c>
      <c r="J71" s="9">
        <v>0.35</v>
      </c>
      <c r="K71" s="80">
        <v>1.9E-2</v>
      </c>
      <c r="L71" s="79">
        <v>1.0900000000000001</v>
      </c>
      <c r="M71" s="9">
        <v>0.87</v>
      </c>
      <c r="N71" s="9">
        <v>0.5</v>
      </c>
      <c r="O71" s="9">
        <v>0.27</v>
      </c>
      <c r="P71" s="80"/>
      <c r="Q71" s="79">
        <v>1.1000000000000001</v>
      </c>
      <c r="R71" s="9"/>
      <c r="S71" s="80"/>
      <c r="T71" s="79"/>
      <c r="U71" s="9"/>
      <c r="V71" s="9"/>
      <c r="W71" s="9"/>
      <c r="X71" s="80"/>
      <c r="Y71" s="90">
        <f>(24/100)*10^6*5/10</f>
        <v>120000</v>
      </c>
      <c r="Z71" s="5"/>
      <c r="AA71" s="5">
        <f>(20/100)*10^6*5/10</f>
        <v>100000</v>
      </c>
      <c r="AB71" s="91">
        <f>(37/100)*10^6*5/10</f>
        <v>185000</v>
      </c>
      <c r="AI71" s="2"/>
      <c r="AJ71" s="2"/>
      <c r="AK71" s="2"/>
      <c r="AL71" s="2"/>
      <c r="AM71" s="2"/>
      <c r="AN71" s="2"/>
    </row>
    <row r="72" spans="2:40" ht="14.5" customHeight="1" x14ac:dyDescent="0.25">
      <c r="B72" s="132"/>
      <c r="C72" s="13"/>
      <c r="D72" s="13"/>
      <c r="E72" s="13"/>
      <c r="F72" s="14" t="s">
        <v>7</v>
      </c>
      <c r="G72" s="79">
        <f>AVERAGE(G70:G71)</f>
        <v>2.87</v>
      </c>
      <c r="H72" s="9">
        <f>AVERAGE(H70:H71)</f>
        <v>1.76</v>
      </c>
      <c r="I72" s="9">
        <f>AVERAGE(I70:I71)</f>
        <v>0.81499999999999995</v>
      </c>
      <c r="J72" s="20">
        <f>AVERAGE(J70:J71)</f>
        <v>0.35</v>
      </c>
      <c r="K72" s="80">
        <f>AVERAGE(K70:K71)</f>
        <v>2.0499999999999997E-2</v>
      </c>
      <c r="L72" s="79">
        <f>AVERAGE(L70:L71)</f>
        <v>1.0900000000000001</v>
      </c>
      <c r="M72" s="9">
        <f>AVERAGE(M70:M71)</f>
        <v>0.88</v>
      </c>
      <c r="N72" s="9">
        <f>AVERAGE(N70:N71)</f>
        <v>0.5</v>
      </c>
      <c r="O72" s="20">
        <f>AVERAGE(O70:O71)</f>
        <v>0.27500000000000002</v>
      </c>
      <c r="P72" s="80">
        <f>AVERAGE(P70:P71)</f>
        <v>0.01</v>
      </c>
      <c r="Q72" s="79">
        <f>AVERAGE(Q70:Q71)</f>
        <v>1.1000000000000001</v>
      </c>
      <c r="R72" s="9">
        <f>AVERAGE(R70:R71)</f>
        <v>0.55000000000000004</v>
      </c>
      <c r="S72" s="80"/>
      <c r="T72" s="79">
        <f>AVERAGE(T70:T71)</f>
        <v>7.7</v>
      </c>
      <c r="U72" s="9">
        <f>AVERAGE(U70:U71)</f>
        <v>8.58</v>
      </c>
      <c r="V72" s="9">
        <f>AVERAGE(V70:V71)</f>
        <v>9.15</v>
      </c>
      <c r="W72" s="9">
        <f>AVERAGE(W70:W71)</f>
        <v>9.41</v>
      </c>
      <c r="X72" s="80">
        <f>AVERAGE(X70:X71)</f>
        <v>11.13</v>
      </c>
      <c r="Y72" s="90">
        <f>AVERAGE(Y70:Y71)</f>
        <v>115000</v>
      </c>
      <c r="Z72" s="5"/>
      <c r="AA72" s="5">
        <f>AVERAGE(AA70:AA71)</f>
        <v>90000</v>
      </c>
      <c r="AB72" s="91">
        <f>AVERAGE(AB70:AB71)</f>
        <v>227500</v>
      </c>
      <c r="AI72" s="2"/>
      <c r="AJ72" s="2"/>
      <c r="AK72" s="2"/>
      <c r="AL72" s="2"/>
      <c r="AM72" s="2"/>
      <c r="AN72" s="2"/>
    </row>
    <row r="73" spans="2:40" ht="14.5" customHeight="1" x14ac:dyDescent="0.25">
      <c r="B73" s="132"/>
      <c r="C73" s="60"/>
      <c r="D73" s="60"/>
      <c r="E73" s="60"/>
      <c r="F73" s="16" t="s">
        <v>8</v>
      </c>
      <c r="G73" s="103">
        <f>(STDEV(G70:G71))/(SQRT(COUNT(G70:G71)))</f>
        <v>0</v>
      </c>
      <c r="H73" s="17">
        <f>(STDEV(H70:H71))/(SQRT(COUNT(H70:H71)))</f>
        <v>0</v>
      </c>
      <c r="I73" s="17">
        <f>(STDEV(I70:I71))/(SQRT(COUNT(I70:I71)))</f>
        <v>8.5000000000000214E-2</v>
      </c>
      <c r="J73" s="17">
        <f>(STDEV(J70:J71))/(SQRT(COUNT(J70:J71)))</f>
        <v>0</v>
      </c>
      <c r="K73" s="104">
        <f>(STDEV(K70:K71))/(SQRT(COUNT(K70:K71)))</f>
        <v>1.4999999999999996E-3</v>
      </c>
      <c r="L73" s="103">
        <f>(STDEV(L70:L71))/(SQRT(COUNT(L70:L71)))</f>
        <v>0</v>
      </c>
      <c r="M73" s="17">
        <f>(STDEV(M70:M71))/(SQRT(COUNT(M70:M71)))</f>
        <v>1.0000000000000009E-2</v>
      </c>
      <c r="N73" s="17">
        <f>(STDEV(N70:N71))/(SQRT(COUNT(N70:N71)))</f>
        <v>0</v>
      </c>
      <c r="O73" s="17">
        <f>(STDEV(O70:O71))/(SQRT(COUNT(O70:O71)))</f>
        <v>5.0000000000000044E-3</v>
      </c>
      <c r="P73" s="104"/>
      <c r="Q73" s="103">
        <f>(STDEV(Q70:Q71))/(SQRT(COUNT(Q70:Q71)))</f>
        <v>0</v>
      </c>
      <c r="R73" s="17"/>
      <c r="S73" s="104"/>
      <c r="T73" s="103"/>
      <c r="U73" s="17"/>
      <c r="V73" s="17"/>
      <c r="W73" s="17"/>
      <c r="X73" s="104"/>
      <c r="Y73" s="105">
        <f>(STDEV(Y70:Y71))/(SQRT(COUNT(Y70:Y71)))</f>
        <v>4999.9999999999991</v>
      </c>
      <c r="Z73" s="19"/>
      <c r="AA73" s="19">
        <f>(STDEV(AA70:AA71))/(SQRT(COUNT(AA70:AA71)))</f>
        <v>9999.9999999999982</v>
      </c>
      <c r="AB73" s="106">
        <f>(STDEV(AB70:AB71))/(SQRT(COUNT(AB70:AB71)))</f>
        <v>42499.999999999993</v>
      </c>
      <c r="AI73" s="2"/>
      <c r="AJ73" s="2"/>
      <c r="AK73" s="2"/>
      <c r="AL73" s="2"/>
      <c r="AM73" s="2"/>
      <c r="AN73" s="2"/>
    </row>
    <row r="74" spans="2:40" ht="14.5" customHeight="1" x14ac:dyDescent="0.25">
      <c r="B74" s="132"/>
      <c r="C74" s="7" t="s">
        <v>5</v>
      </c>
      <c r="D74" s="7">
        <v>500</v>
      </c>
      <c r="E74" s="7">
        <v>25</v>
      </c>
      <c r="F74" s="7">
        <v>500</v>
      </c>
      <c r="G74" s="99">
        <v>2.87</v>
      </c>
      <c r="H74" s="8">
        <v>1.82</v>
      </c>
      <c r="I74" s="8">
        <v>0.96</v>
      </c>
      <c r="J74" s="8">
        <v>0.55000000000000004</v>
      </c>
      <c r="K74" s="100">
        <v>8.0000000000000002E-3</v>
      </c>
      <c r="L74" s="99">
        <v>1.0900000000000001</v>
      </c>
      <c r="M74" s="8">
        <v>0.9</v>
      </c>
      <c r="N74" s="8">
        <v>0.75</v>
      </c>
      <c r="O74" s="8">
        <v>0.71</v>
      </c>
      <c r="P74" s="100">
        <v>1.6E-2</v>
      </c>
      <c r="Q74" s="99">
        <v>1.1000000000000001</v>
      </c>
      <c r="R74" s="8">
        <v>0.79</v>
      </c>
      <c r="S74" s="100">
        <v>0.09</v>
      </c>
      <c r="T74" s="99">
        <v>7.7</v>
      </c>
      <c r="U74" s="8">
        <v>8.44</v>
      </c>
      <c r="V74" s="8">
        <v>9.1</v>
      </c>
      <c r="W74" s="8">
        <v>9.41</v>
      </c>
      <c r="X74" s="100">
        <v>11.44</v>
      </c>
      <c r="Y74" s="101">
        <f>(22/100)*10^6*5/10</f>
        <v>110000</v>
      </c>
      <c r="Z74" s="12"/>
      <c r="AA74" s="12">
        <f>(23/100)*10^6*5/10</f>
        <v>115000</v>
      </c>
      <c r="AB74" s="102">
        <f>(17/100)*10^6*5/10</f>
        <v>85000</v>
      </c>
      <c r="AI74" s="2"/>
      <c r="AJ74" s="2"/>
      <c r="AK74" s="2"/>
      <c r="AL74" s="2"/>
      <c r="AM74" s="2"/>
      <c r="AN74" s="2"/>
    </row>
    <row r="75" spans="2:40" ht="14.5" customHeight="1" x14ac:dyDescent="0.25">
      <c r="B75" s="132"/>
      <c r="C75" s="13"/>
      <c r="D75" s="13"/>
      <c r="E75" s="13"/>
      <c r="F75" s="13"/>
      <c r="G75" s="79">
        <v>2.87</v>
      </c>
      <c r="H75" s="9">
        <v>1.79</v>
      </c>
      <c r="I75" s="9">
        <v>0.91</v>
      </c>
      <c r="J75" s="9">
        <v>0.56999999999999995</v>
      </c>
      <c r="K75" s="80"/>
      <c r="L75" s="79">
        <v>1.0900000000000001</v>
      </c>
      <c r="M75" s="9">
        <v>0.89</v>
      </c>
      <c r="N75" s="9">
        <v>0.76</v>
      </c>
      <c r="O75" s="9">
        <v>0.7</v>
      </c>
      <c r="P75" s="80"/>
      <c r="Q75" s="79">
        <v>1.1000000000000001</v>
      </c>
      <c r="R75" s="9"/>
      <c r="S75" s="80"/>
      <c r="T75" s="79"/>
      <c r="U75" s="9"/>
      <c r="V75" s="9"/>
      <c r="W75" s="9"/>
      <c r="X75" s="80"/>
      <c r="Y75" s="90">
        <f>(24/100)*10^6*5/10</f>
        <v>120000</v>
      </c>
      <c r="Z75" s="5"/>
      <c r="AA75" s="5">
        <f>(33/100)*10^6*5/10</f>
        <v>165000</v>
      </c>
      <c r="AB75" s="91">
        <f>(26/100)*10^6*5/10</f>
        <v>130000</v>
      </c>
      <c r="AI75" s="2"/>
      <c r="AJ75" s="2"/>
      <c r="AK75" s="2"/>
      <c r="AL75" s="2"/>
      <c r="AM75" s="2"/>
      <c r="AN75" s="2"/>
    </row>
    <row r="76" spans="2:40" ht="14.5" customHeight="1" x14ac:dyDescent="0.25">
      <c r="B76" s="132"/>
      <c r="C76" s="13"/>
      <c r="D76" s="13"/>
      <c r="E76" s="13"/>
      <c r="F76" s="14" t="s">
        <v>7</v>
      </c>
      <c r="G76" s="79">
        <f>AVERAGE(G74:G75)</f>
        <v>2.87</v>
      </c>
      <c r="H76" s="9">
        <f>AVERAGE(H74:H75)</f>
        <v>1.8050000000000002</v>
      </c>
      <c r="I76" s="9">
        <f>AVERAGE(I74:I75)</f>
        <v>0.93500000000000005</v>
      </c>
      <c r="J76" s="20">
        <f>AVERAGE(J74:J75)</f>
        <v>0.56000000000000005</v>
      </c>
      <c r="K76" s="80">
        <f>AVERAGE(K74:K75)</f>
        <v>8.0000000000000002E-3</v>
      </c>
      <c r="L76" s="79">
        <f>AVERAGE(L74:L75)</f>
        <v>1.0900000000000001</v>
      </c>
      <c r="M76" s="9">
        <f>AVERAGE(M74:M75)</f>
        <v>0.89500000000000002</v>
      </c>
      <c r="N76" s="9">
        <f>AVERAGE(N74:N75)</f>
        <v>0.755</v>
      </c>
      <c r="O76" s="20">
        <f>AVERAGE(O74:O75)</f>
        <v>0.70499999999999996</v>
      </c>
      <c r="P76" s="80">
        <f>AVERAGE(P74:P75)</f>
        <v>1.6E-2</v>
      </c>
      <c r="Q76" s="79">
        <f>AVERAGE(Q74:Q75)</f>
        <v>1.1000000000000001</v>
      </c>
      <c r="R76" s="9">
        <f>AVERAGE(R74:R75)</f>
        <v>0.79</v>
      </c>
      <c r="S76" s="80">
        <f>AVERAGE(S74:S75)</f>
        <v>0.09</v>
      </c>
      <c r="T76" s="79">
        <f>AVERAGE(T74:T75)</f>
        <v>7.7</v>
      </c>
      <c r="U76" s="9">
        <f>AVERAGE(U74:U75)</f>
        <v>8.44</v>
      </c>
      <c r="V76" s="9">
        <f>AVERAGE(V74:V75)</f>
        <v>9.1</v>
      </c>
      <c r="W76" s="9">
        <f>AVERAGE(W74:W75)</f>
        <v>9.41</v>
      </c>
      <c r="X76" s="80">
        <f>AVERAGE(X74:X75)</f>
        <v>11.44</v>
      </c>
      <c r="Y76" s="90">
        <f>AVERAGE(Y74:Y75)</f>
        <v>115000</v>
      </c>
      <c r="Z76" s="5"/>
      <c r="AA76" s="5">
        <f>AVERAGE(AA74:AA75)</f>
        <v>140000</v>
      </c>
      <c r="AB76" s="91">
        <f>AVERAGE(AB74:AB75)</f>
        <v>107500</v>
      </c>
      <c r="AI76" s="2"/>
      <c r="AJ76" s="2"/>
      <c r="AK76" s="2"/>
      <c r="AL76" s="2"/>
      <c r="AM76" s="2"/>
      <c r="AN76" s="2"/>
    </row>
    <row r="77" spans="2:40" ht="14.5" customHeight="1" x14ac:dyDescent="0.25">
      <c r="B77" s="132"/>
      <c r="C77" s="60"/>
      <c r="D77" s="60"/>
      <c r="E77" s="60"/>
      <c r="F77" s="16" t="s">
        <v>8</v>
      </c>
      <c r="G77" s="103">
        <f>(STDEV(G74:G75))/(SQRT(COUNT(G74:G75)))</f>
        <v>0</v>
      </c>
      <c r="H77" s="17">
        <f>(STDEV(H74:H75))/(SQRT(COUNT(H74:H75)))</f>
        <v>1.5000000000000012E-2</v>
      </c>
      <c r="I77" s="17">
        <f>(STDEV(I74:I75))/(SQRT(COUNT(I74:I75)))</f>
        <v>2.4999999999999963E-2</v>
      </c>
      <c r="J77" s="17">
        <f>(STDEV(J74:J75))/(SQRT(COUNT(J74:J75)))</f>
        <v>9.9999999999999534E-3</v>
      </c>
      <c r="K77" s="104"/>
      <c r="L77" s="103">
        <f>(STDEV(L74:L75))/(SQRT(COUNT(L74:L75)))</f>
        <v>0</v>
      </c>
      <c r="M77" s="17">
        <f>(STDEV(M74:M75))/(SQRT(COUNT(M74:M75)))</f>
        <v>5.0000000000000044E-3</v>
      </c>
      <c r="N77" s="17">
        <f>(STDEV(N74:N75))/(SQRT(COUNT(N74:N75)))</f>
        <v>5.0000000000000044E-3</v>
      </c>
      <c r="O77" s="17">
        <f>(STDEV(O74:O75))/(SQRT(COUNT(O74:O75)))</f>
        <v>5.0000000000000044E-3</v>
      </c>
      <c r="P77" s="104"/>
      <c r="Q77" s="103">
        <f>(STDEV(Q74:Q75))/(SQRT(COUNT(Q74:Q75)))</f>
        <v>0</v>
      </c>
      <c r="R77" s="17"/>
      <c r="S77" s="104"/>
      <c r="T77" s="103"/>
      <c r="U77" s="17"/>
      <c r="V77" s="17"/>
      <c r="W77" s="17"/>
      <c r="X77" s="104"/>
      <c r="Y77" s="105">
        <f>(STDEV(Y74:Y75))/(SQRT(COUNT(Y74:Y75)))</f>
        <v>4999.9999999999991</v>
      </c>
      <c r="Z77" s="19"/>
      <c r="AA77" s="19">
        <f>(STDEV(AA74:AA75))/(SQRT(COUNT(AA74:AA75)))</f>
        <v>25000</v>
      </c>
      <c r="AB77" s="106">
        <f>(STDEV(AB74:AB75))/(SQRT(COUNT(AB74:AB75)))</f>
        <v>22499.999999999996</v>
      </c>
      <c r="AI77" s="2"/>
      <c r="AJ77" s="2"/>
      <c r="AK77" s="2"/>
      <c r="AL77" s="2"/>
      <c r="AM77" s="2"/>
      <c r="AN77" s="2"/>
    </row>
    <row r="78" spans="2:40" ht="14.5" customHeight="1" x14ac:dyDescent="0.25">
      <c r="B78" s="132"/>
      <c r="C78" s="7" t="s">
        <v>5</v>
      </c>
      <c r="D78" s="7">
        <v>500</v>
      </c>
      <c r="E78" s="7">
        <v>50</v>
      </c>
      <c r="F78" s="7">
        <v>500</v>
      </c>
      <c r="G78" s="99">
        <v>2.87</v>
      </c>
      <c r="H78" s="8">
        <v>1.83</v>
      </c>
      <c r="I78" s="8">
        <v>0.89</v>
      </c>
      <c r="J78" s="8">
        <v>0.32</v>
      </c>
      <c r="K78" s="100">
        <v>5.0000000000000001E-3</v>
      </c>
      <c r="L78" s="99">
        <v>1.0900000000000001</v>
      </c>
      <c r="M78" s="8">
        <v>0.9</v>
      </c>
      <c r="N78" s="8">
        <v>0.72</v>
      </c>
      <c r="O78" s="8">
        <v>0.41</v>
      </c>
      <c r="P78" s="100">
        <v>0.02</v>
      </c>
      <c r="Q78" s="99">
        <v>1.1000000000000001</v>
      </c>
      <c r="R78" s="8">
        <v>0.75</v>
      </c>
      <c r="S78" s="100">
        <v>9.9000000000000005E-2</v>
      </c>
      <c r="T78" s="99">
        <v>7.7</v>
      </c>
      <c r="U78" s="8">
        <v>8.58</v>
      </c>
      <c r="V78" s="8">
        <v>9.36</v>
      </c>
      <c r="W78" s="8">
        <v>9.75</v>
      </c>
      <c r="X78" s="100">
        <v>11.42</v>
      </c>
      <c r="Y78" s="101">
        <f>(22/100)*10^6*5/10</f>
        <v>110000</v>
      </c>
      <c r="Z78" s="12"/>
      <c r="AA78" s="12">
        <f>(31/100)*10^6*5/10</f>
        <v>155000</v>
      </c>
      <c r="AB78" s="102">
        <f>(18/100)*10^6*5/10</f>
        <v>90000</v>
      </c>
      <c r="AI78" s="2"/>
      <c r="AJ78" s="2"/>
      <c r="AK78" s="2"/>
      <c r="AL78" s="2"/>
      <c r="AM78" s="2"/>
      <c r="AN78" s="2"/>
    </row>
    <row r="79" spans="2:40" ht="14.5" customHeight="1" x14ac:dyDescent="0.25">
      <c r="B79" s="132"/>
      <c r="C79" s="13"/>
      <c r="D79" s="13"/>
      <c r="E79" s="13"/>
      <c r="F79" s="13"/>
      <c r="G79" s="79">
        <v>2.87</v>
      </c>
      <c r="H79" s="9">
        <v>1.81</v>
      </c>
      <c r="I79" s="9">
        <v>0.8</v>
      </c>
      <c r="J79" s="9">
        <v>0.37</v>
      </c>
      <c r="K79" s="80"/>
      <c r="L79" s="79">
        <v>1.0900000000000001</v>
      </c>
      <c r="M79" s="9">
        <v>0.9</v>
      </c>
      <c r="N79" s="9">
        <v>0.72</v>
      </c>
      <c r="O79" s="9">
        <v>0.41</v>
      </c>
      <c r="P79" s="80"/>
      <c r="Q79" s="79">
        <v>1.1000000000000001</v>
      </c>
      <c r="R79" s="9"/>
      <c r="S79" s="80"/>
      <c r="T79" s="79"/>
      <c r="U79" s="9"/>
      <c r="V79" s="9"/>
      <c r="W79" s="9"/>
      <c r="X79" s="80"/>
      <c r="Y79" s="90">
        <f>(24/100)*10^6*5/10</f>
        <v>120000</v>
      </c>
      <c r="Z79" s="5"/>
      <c r="AA79" s="5">
        <f>(36/100)*10^6*5/10</f>
        <v>180000</v>
      </c>
      <c r="AB79" s="91">
        <f>(30/100)*10^6*5/10</f>
        <v>150000</v>
      </c>
      <c r="AI79" s="2"/>
      <c r="AJ79" s="2"/>
      <c r="AK79" s="2"/>
      <c r="AL79" s="2"/>
      <c r="AM79" s="2"/>
      <c r="AN79" s="2"/>
    </row>
    <row r="80" spans="2:40" ht="14.5" customHeight="1" x14ac:dyDescent="0.25">
      <c r="B80" s="132"/>
      <c r="C80" s="13"/>
      <c r="D80" s="13"/>
      <c r="E80" s="13"/>
      <c r="F80" s="14" t="s">
        <v>7</v>
      </c>
      <c r="G80" s="79">
        <f>AVERAGE(G78:G79)</f>
        <v>2.87</v>
      </c>
      <c r="H80" s="9">
        <f>AVERAGE(H78:H79)</f>
        <v>1.82</v>
      </c>
      <c r="I80" s="9">
        <f>AVERAGE(I78:I79)</f>
        <v>0.84499999999999997</v>
      </c>
      <c r="J80" s="20">
        <f>AVERAGE(J78:J79)</f>
        <v>0.34499999999999997</v>
      </c>
      <c r="K80" s="80">
        <f>AVERAGE(K78:K79)</f>
        <v>5.0000000000000001E-3</v>
      </c>
      <c r="L80" s="79">
        <f>AVERAGE(L78:L79)</f>
        <v>1.0900000000000001</v>
      </c>
      <c r="M80" s="9">
        <f>AVERAGE(M78:M79)</f>
        <v>0.9</v>
      </c>
      <c r="N80" s="9">
        <f>AVERAGE(N78:N79)</f>
        <v>0.72</v>
      </c>
      <c r="O80" s="20">
        <f>AVERAGE(O78:O79)</f>
        <v>0.41</v>
      </c>
      <c r="P80" s="80">
        <f>AVERAGE(P78:P79)</f>
        <v>0.02</v>
      </c>
      <c r="Q80" s="79">
        <f>AVERAGE(Q78:Q79)</f>
        <v>1.1000000000000001</v>
      </c>
      <c r="R80" s="9">
        <f>AVERAGE(R78:R79)</f>
        <v>0.75</v>
      </c>
      <c r="S80" s="80">
        <f>AVERAGE(S78:S79)</f>
        <v>9.9000000000000005E-2</v>
      </c>
      <c r="T80" s="79">
        <f>AVERAGE(T78:T79)</f>
        <v>7.7</v>
      </c>
      <c r="U80" s="9">
        <f>AVERAGE(U78:U79)</f>
        <v>8.58</v>
      </c>
      <c r="V80" s="9">
        <f>AVERAGE(V78:V79)</f>
        <v>9.36</v>
      </c>
      <c r="W80" s="9">
        <f>AVERAGE(W78:W79)</f>
        <v>9.75</v>
      </c>
      <c r="X80" s="80">
        <f>AVERAGE(X78:X79)</f>
        <v>11.42</v>
      </c>
      <c r="Y80" s="90">
        <f>AVERAGE(Y78:Y79)</f>
        <v>115000</v>
      </c>
      <c r="Z80" s="5"/>
      <c r="AA80" s="5">
        <f>AVERAGE(AA78:AA79)</f>
        <v>167500</v>
      </c>
      <c r="AB80" s="91">
        <f>AVERAGE(AB78:AB79)</f>
        <v>120000</v>
      </c>
      <c r="AI80" s="2"/>
      <c r="AJ80" s="2"/>
      <c r="AK80" s="2"/>
      <c r="AL80" s="2"/>
      <c r="AM80" s="2"/>
      <c r="AN80" s="2"/>
    </row>
    <row r="81" spans="2:40" ht="14.5" customHeight="1" x14ac:dyDescent="0.25">
      <c r="B81" s="132"/>
      <c r="C81" s="60"/>
      <c r="D81" s="60"/>
      <c r="E81" s="60"/>
      <c r="F81" s="16" t="s">
        <v>8</v>
      </c>
      <c r="G81" s="103">
        <f>(STDEV(G78:G79))/(SQRT(COUNT(G78:G79)))</f>
        <v>0</v>
      </c>
      <c r="H81" s="17">
        <f>(STDEV(H78:H79))/(SQRT(COUNT(H78:H79)))</f>
        <v>1.0000000000000009E-2</v>
      </c>
      <c r="I81" s="17">
        <f>(STDEV(I78:I79))/(SQRT(COUNT(I78:I79)))</f>
        <v>4.4999999999999984E-2</v>
      </c>
      <c r="J81" s="17">
        <f>(STDEV(J78:J79))/(SQRT(COUNT(J78:J79)))</f>
        <v>2.4999999999999994E-2</v>
      </c>
      <c r="K81" s="104"/>
      <c r="L81" s="103">
        <f>(STDEV(L78:L79))/(SQRT(COUNT(L78:L79)))</f>
        <v>0</v>
      </c>
      <c r="M81" s="17">
        <f>(STDEV(M78:M79))/(SQRT(COUNT(M78:M79)))</f>
        <v>0</v>
      </c>
      <c r="N81" s="17">
        <f>(STDEV(N78:N79))/(SQRT(COUNT(N78:N79)))</f>
        <v>0</v>
      </c>
      <c r="O81" s="17">
        <f>(STDEV(O78:O79))/(SQRT(COUNT(O78:O79)))</f>
        <v>0</v>
      </c>
      <c r="P81" s="104"/>
      <c r="Q81" s="103">
        <f>(STDEV(Q78:Q79))/(SQRT(COUNT(Q78:Q79)))</f>
        <v>0</v>
      </c>
      <c r="R81" s="17"/>
      <c r="S81" s="104"/>
      <c r="T81" s="103"/>
      <c r="U81" s="17"/>
      <c r="V81" s="17"/>
      <c r="W81" s="17"/>
      <c r="X81" s="104"/>
      <c r="Y81" s="105">
        <f>(STDEV(Y78:Y79))/(SQRT(COUNT(Y78:Y79)))</f>
        <v>4999.9999999999991</v>
      </c>
      <c r="Z81" s="19"/>
      <c r="AA81" s="19">
        <f>(STDEV(AA78:AA79))/(SQRT(COUNT(AA78:AA79)))</f>
        <v>12500</v>
      </c>
      <c r="AB81" s="106">
        <f>(STDEV(AB78:AB79))/(SQRT(COUNT(AB78:AB79)))</f>
        <v>29999.999999999996</v>
      </c>
      <c r="AI81" s="2"/>
      <c r="AJ81" s="2"/>
      <c r="AK81" s="2"/>
      <c r="AL81" s="2"/>
      <c r="AM81" s="2"/>
      <c r="AN81" s="2"/>
    </row>
    <row r="82" spans="2:40" ht="14.5" customHeight="1" x14ac:dyDescent="0.25">
      <c r="B82" s="132"/>
      <c r="C82" s="7" t="s">
        <v>5</v>
      </c>
      <c r="D82" s="7">
        <v>500</v>
      </c>
      <c r="E82" s="7">
        <v>75</v>
      </c>
      <c r="F82" s="7">
        <v>500</v>
      </c>
      <c r="G82" s="99">
        <v>2.87</v>
      </c>
      <c r="H82" s="8">
        <v>1.81</v>
      </c>
      <c r="I82" s="8">
        <v>0.88</v>
      </c>
      <c r="J82" s="8">
        <v>0.27</v>
      </c>
      <c r="K82" s="100">
        <v>1.4E-2</v>
      </c>
      <c r="L82" s="99">
        <v>1.0900000000000001</v>
      </c>
      <c r="M82" s="8">
        <v>0.91</v>
      </c>
      <c r="N82" s="8">
        <v>0.7</v>
      </c>
      <c r="O82" s="8">
        <v>0.32</v>
      </c>
      <c r="P82" s="100">
        <v>0.01</v>
      </c>
      <c r="Q82" s="99">
        <v>1.1000000000000001</v>
      </c>
      <c r="R82" s="8">
        <v>0.73</v>
      </c>
      <c r="S82" s="100">
        <v>8.5000000000000006E-2</v>
      </c>
      <c r="T82" s="99">
        <v>7.7</v>
      </c>
      <c r="U82" s="8">
        <v>8.65</v>
      </c>
      <c r="V82" s="8">
        <v>9.42</v>
      </c>
      <c r="W82" s="8">
        <v>9.89</v>
      </c>
      <c r="X82" s="100">
        <v>11.42</v>
      </c>
      <c r="Y82" s="101">
        <f>(22/100)*10^6*5/10</f>
        <v>110000</v>
      </c>
      <c r="Z82" s="12"/>
      <c r="AA82" s="12">
        <f>(50/100)*10^6*5/10</f>
        <v>250000</v>
      </c>
      <c r="AB82" s="102">
        <f>(19/100)*10^6*5/10</f>
        <v>95000</v>
      </c>
      <c r="AI82" s="2"/>
      <c r="AJ82" s="2"/>
      <c r="AK82" s="2"/>
      <c r="AL82" s="2"/>
      <c r="AM82" s="2"/>
      <c r="AN82" s="2"/>
    </row>
    <row r="83" spans="2:40" ht="14.5" customHeight="1" x14ac:dyDescent="0.25">
      <c r="B83" s="132"/>
      <c r="C83" s="13"/>
      <c r="D83" s="13"/>
      <c r="E83" s="13"/>
      <c r="F83" s="13"/>
      <c r="G83" s="79">
        <v>2.87</v>
      </c>
      <c r="H83" s="9">
        <v>1.81</v>
      </c>
      <c r="I83" s="9">
        <v>0.93</v>
      </c>
      <c r="J83" s="9">
        <v>0.25</v>
      </c>
      <c r="K83" s="80"/>
      <c r="L83" s="79">
        <v>1.0900000000000001</v>
      </c>
      <c r="M83" s="9">
        <v>0.9</v>
      </c>
      <c r="N83" s="9">
        <v>0.71</v>
      </c>
      <c r="O83" s="9">
        <v>0.33</v>
      </c>
      <c r="P83" s="80"/>
      <c r="Q83" s="79">
        <v>1.1000000000000001</v>
      </c>
      <c r="R83" s="9"/>
      <c r="S83" s="80"/>
      <c r="T83" s="79"/>
      <c r="U83" s="9"/>
      <c r="V83" s="9"/>
      <c r="W83" s="9"/>
      <c r="X83" s="80"/>
      <c r="Y83" s="90">
        <f>(24/100)*10^6*5/10</f>
        <v>120000</v>
      </c>
      <c r="Z83" s="5"/>
      <c r="AA83" s="5">
        <f>(65/100)*10^6*5/10</f>
        <v>325000</v>
      </c>
      <c r="AB83" s="91">
        <f>(29/100)*10^6*5/10</f>
        <v>145000</v>
      </c>
      <c r="AI83" s="2"/>
      <c r="AJ83" s="2"/>
      <c r="AK83" s="2"/>
      <c r="AL83" s="2"/>
      <c r="AM83" s="2"/>
      <c r="AN83" s="2"/>
    </row>
    <row r="84" spans="2:40" ht="14.5" customHeight="1" x14ac:dyDescent="0.25">
      <c r="B84" s="132"/>
      <c r="C84" s="13"/>
      <c r="D84" s="13"/>
      <c r="E84" s="13"/>
      <c r="F84" s="14" t="s">
        <v>7</v>
      </c>
      <c r="G84" s="79">
        <f>AVERAGE(G82:G83)</f>
        <v>2.87</v>
      </c>
      <c r="H84" s="9">
        <f>AVERAGE(H82:H83)</f>
        <v>1.81</v>
      </c>
      <c r="I84" s="9">
        <f>AVERAGE(I82:I83)</f>
        <v>0.90500000000000003</v>
      </c>
      <c r="J84" s="20">
        <f>AVERAGE(J82:J83)</f>
        <v>0.26</v>
      </c>
      <c r="K84" s="80">
        <f>AVERAGE(K82:K83)</f>
        <v>1.4E-2</v>
      </c>
      <c r="L84" s="79">
        <f>AVERAGE(L82:L83)</f>
        <v>1.0900000000000001</v>
      </c>
      <c r="M84" s="9">
        <f>AVERAGE(M82:M83)</f>
        <v>0.90500000000000003</v>
      </c>
      <c r="N84" s="9">
        <f>AVERAGE(N82:N83)</f>
        <v>0.70499999999999996</v>
      </c>
      <c r="O84" s="20">
        <f>AVERAGE(O82:O83)</f>
        <v>0.32500000000000001</v>
      </c>
      <c r="P84" s="80">
        <f>AVERAGE(P82:P83)</f>
        <v>0.01</v>
      </c>
      <c r="Q84" s="79">
        <f>AVERAGE(Q82:Q83)</f>
        <v>1.1000000000000001</v>
      </c>
      <c r="R84" s="9">
        <f>AVERAGE(R82:R83)</f>
        <v>0.73</v>
      </c>
      <c r="S84" s="80">
        <f>AVERAGE(S82:S83)</f>
        <v>8.5000000000000006E-2</v>
      </c>
      <c r="T84" s="79">
        <f>AVERAGE(T82:T83)</f>
        <v>7.7</v>
      </c>
      <c r="U84" s="9">
        <f>AVERAGE(U82:U83)</f>
        <v>8.65</v>
      </c>
      <c r="V84" s="9">
        <f>AVERAGE(V82:V83)</f>
        <v>9.42</v>
      </c>
      <c r="W84" s="9">
        <f>AVERAGE(W82:W83)</f>
        <v>9.89</v>
      </c>
      <c r="X84" s="80">
        <f>AVERAGE(X82:X83)</f>
        <v>11.42</v>
      </c>
      <c r="Y84" s="90">
        <f>AVERAGE(Y82:Y83)</f>
        <v>115000</v>
      </c>
      <c r="Z84" s="5"/>
      <c r="AA84" s="5">
        <f>AVERAGE(AA82:AA83)</f>
        <v>287500</v>
      </c>
      <c r="AB84" s="91">
        <f>AVERAGE(AB82:AB83)</f>
        <v>120000</v>
      </c>
      <c r="AI84" s="2"/>
      <c r="AJ84" s="2"/>
      <c r="AK84" s="2"/>
      <c r="AL84" s="2"/>
      <c r="AM84" s="2"/>
      <c r="AN84" s="2"/>
    </row>
    <row r="85" spans="2:40" ht="14.5" customHeight="1" x14ac:dyDescent="0.25">
      <c r="B85" s="132"/>
      <c r="C85" s="60"/>
      <c r="D85" s="60"/>
      <c r="E85" s="60"/>
      <c r="F85" s="16" t="s">
        <v>8</v>
      </c>
      <c r="G85" s="103">
        <f>(STDEV(G82:G83))/(SQRT(COUNT(G82:G83)))</f>
        <v>0</v>
      </c>
      <c r="H85" s="17">
        <f>(STDEV(H82:H83))/(SQRT(COUNT(H82:H83)))</f>
        <v>0</v>
      </c>
      <c r="I85" s="17">
        <f>(STDEV(I82:I83))/(SQRT(COUNT(I82:I83)))</f>
        <v>2.5000000000000022E-2</v>
      </c>
      <c r="J85" s="17">
        <f>(STDEV(J82:J83))/(SQRT(COUNT(J82:J83)))</f>
        <v>1.0000000000000009E-2</v>
      </c>
      <c r="K85" s="104"/>
      <c r="L85" s="103">
        <f>(STDEV(L82:L83))/(SQRT(COUNT(L82:L83)))</f>
        <v>0</v>
      </c>
      <c r="M85" s="17">
        <f>(STDEV(M82:M83))/(SQRT(COUNT(M82:M83)))</f>
        <v>5.0000000000000044E-3</v>
      </c>
      <c r="N85" s="17">
        <f>(STDEV(N82:N83))/(SQRT(COUNT(N82:N83)))</f>
        <v>5.0000000000000044E-3</v>
      </c>
      <c r="O85" s="17">
        <f>(STDEV(O82:O83))/(SQRT(COUNT(O82:O83)))</f>
        <v>5.0000000000000044E-3</v>
      </c>
      <c r="P85" s="104"/>
      <c r="Q85" s="103">
        <f>(STDEV(Q82:Q83))/(SQRT(COUNT(Q82:Q83)))</f>
        <v>0</v>
      </c>
      <c r="R85" s="17"/>
      <c r="S85" s="104"/>
      <c r="T85" s="103"/>
      <c r="U85" s="17"/>
      <c r="V85" s="17"/>
      <c r="W85" s="17"/>
      <c r="X85" s="104"/>
      <c r="Y85" s="105">
        <f>(STDEV(Y82:Y83))/(SQRT(COUNT(Y82:Y83)))</f>
        <v>4999.9999999999991</v>
      </c>
      <c r="Z85" s="19"/>
      <c r="AA85" s="19">
        <f>(STDEV(AA82:AA83))/(SQRT(COUNT(AA82:AA83)))</f>
        <v>37499.999999999993</v>
      </c>
      <c r="AB85" s="106">
        <f>(STDEV(AB82:AB83))/(SQRT(COUNT(AB82:AB83)))</f>
        <v>25000</v>
      </c>
      <c r="AI85" s="2"/>
      <c r="AJ85" s="2"/>
      <c r="AK85" s="2"/>
      <c r="AL85" s="2"/>
      <c r="AM85" s="2"/>
      <c r="AN85" s="2"/>
    </row>
    <row r="86" spans="2:40" ht="14.5" customHeight="1" x14ac:dyDescent="0.25">
      <c r="B86" s="132"/>
      <c r="C86" s="7" t="s">
        <v>5</v>
      </c>
      <c r="D86" s="7">
        <v>500</v>
      </c>
      <c r="E86" s="7">
        <v>100</v>
      </c>
      <c r="F86" s="7">
        <v>500</v>
      </c>
      <c r="G86" s="99">
        <v>2.87</v>
      </c>
      <c r="H86" s="8">
        <v>1.73</v>
      </c>
      <c r="I86" s="8">
        <v>0.7</v>
      </c>
      <c r="J86" s="8">
        <v>0.02</v>
      </c>
      <c r="K86" s="100">
        <v>8.9999999999999993E-3</v>
      </c>
      <c r="L86" s="99">
        <v>1.0900000000000001</v>
      </c>
      <c r="M86" s="8">
        <v>0.9</v>
      </c>
      <c r="N86" s="8">
        <v>0.57999999999999996</v>
      </c>
      <c r="O86" s="8">
        <v>0.2</v>
      </c>
      <c r="P86" s="100">
        <v>0.01</v>
      </c>
      <c r="Q86" s="99">
        <v>1.1000000000000001</v>
      </c>
      <c r="R86" s="8">
        <v>0.63</v>
      </c>
      <c r="S86" s="100">
        <v>0.08</v>
      </c>
      <c r="T86" s="99">
        <v>7.7</v>
      </c>
      <c r="U86" s="8">
        <v>8.75</v>
      </c>
      <c r="V86" s="8">
        <v>9.59</v>
      </c>
      <c r="W86" s="8">
        <v>9.9499999999999993</v>
      </c>
      <c r="X86" s="100">
        <v>11.43</v>
      </c>
      <c r="Y86" s="101">
        <f>(22/100)*10^6*5/10</f>
        <v>110000</v>
      </c>
      <c r="Z86" s="12"/>
      <c r="AA86" s="12">
        <f>(51/100)*10^6*5/10</f>
        <v>255000</v>
      </c>
      <c r="AB86" s="102">
        <f>(30/100)*10^6*5/10</f>
        <v>150000</v>
      </c>
      <c r="AI86" s="2"/>
      <c r="AJ86" s="2"/>
      <c r="AK86" s="2"/>
      <c r="AL86" s="2"/>
      <c r="AM86" s="2"/>
      <c r="AN86" s="2"/>
    </row>
    <row r="87" spans="2:40" ht="14.5" customHeight="1" x14ac:dyDescent="0.25">
      <c r="B87" s="132"/>
      <c r="C87" s="13"/>
      <c r="D87" s="13"/>
      <c r="E87" s="13"/>
      <c r="F87" s="13"/>
      <c r="G87" s="79">
        <v>2.87</v>
      </c>
      <c r="H87" s="9">
        <v>1.74</v>
      </c>
      <c r="I87" s="9">
        <v>0.75</v>
      </c>
      <c r="J87" s="9">
        <v>0.02</v>
      </c>
      <c r="K87" s="80"/>
      <c r="L87" s="79">
        <v>1.0900000000000001</v>
      </c>
      <c r="M87" s="9">
        <v>0.89</v>
      </c>
      <c r="N87" s="9">
        <v>0.56999999999999995</v>
      </c>
      <c r="O87" s="9">
        <v>0.2</v>
      </c>
      <c r="P87" s="80"/>
      <c r="Q87" s="79">
        <v>1.1000000000000001</v>
      </c>
      <c r="R87" s="9"/>
      <c r="S87" s="80"/>
      <c r="T87" s="79"/>
      <c r="U87" s="9"/>
      <c r="V87" s="9"/>
      <c r="W87" s="9"/>
      <c r="X87" s="80"/>
      <c r="Y87" s="90">
        <f>(24/100)*10^6*5/10</f>
        <v>120000</v>
      </c>
      <c r="Z87" s="5"/>
      <c r="AA87" s="5">
        <f>(61/100)*10^6*5/10</f>
        <v>305000</v>
      </c>
      <c r="AB87" s="91">
        <f>(21/100)*10^6*5/10</f>
        <v>105000</v>
      </c>
      <c r="AI87" s="2"/>
      <c r="AJ87" s="2"/>
      <c r="AK87" s="2"/>
      <c r="AL87" s="2"/>
      <c r="AM87" s="2"/>
      <c r="AN87" s="2"/>
    </row>
    <row r="88" spans="2:40" ht="14.5" customHeight="1" x14ac:dyDescent="0.25">
      <c r="B88" s="132"/>
      <c r="C88" s="13"/>
      <c r="D88" s="13"/>
      <c r="E88" s="13"/>
      <c r="F88" s="14" t="s">
        <v>7</v>
      </c>
      <c r="G88" s="79">
        <f>AVERAGE(G86:G87)</f>
        <v>2.87</v>
      </c>
      <c r="H88" s="9">
        <f>AVERAGE(H86:H87)</f>
        <v>1.7349999999999999</v>
      </c>
      <c r="I88" s="9">
        <f>AVERAGE(I86:I87)</f>
        <v>0.72499999999999998</v>
      </c>
      <c r="J88" s="20">
        <f>AVERAGE(J86:J87)</f>
        <v>0.02</v>
      </c>
      <c r="K88" s="80">
        <f>AVERAGE(K86:K87)</f>
        <v>8.9999999999999993E-3</v>
      </c>
      <c r="L88" s="79">
        <f>AVERAGE(L86:L87)</f>
        <v>1.0900000000000001</v>
      </c>
      <c r="M88" s="9">
        <f>AVERAGE(M86:M87)</f>
        <v>0.89500000000000002</v>
      </c>
      <c r="N88" s="9">
        <f>AVERAGE(N86:N87)</f>
        <v>0.57499999999999996</v>
      </c>
      <c r="O88" s="20">
        <f>AVERAGE(O86:O87)</f>
        <v>0.2</v>
      </c>
      <c r="P88" s="80">
        <f>AVERAGE(P86:P87)</f>
        <v>0.01</v>
      </c>
      <c r="Q88" s="79">
        <f>AVERAGE(Q86:Q87)</f>
        <v>1.1000000000000001</v>
      </c>
      <c r="R88" s="9">
        <f>AVERAGE(R86:R87)</f>
        <v>0.63</v>
      </c>
      <c r="S88" s="80">
        <f>AVERAGE(S86:S87)</f>
        <v>0.08</v>
      </c>
      <c r="T88" s="79">
        <f>AVERAGE(T86:T87)</f>
        <v>7.7</v>
      </c>
      <c r="U88" s="9">
        <f>AVERAGE(U86:U87)</f>
        <v>8.75</v>
      </c>
      <c r="V88" s="9">
        <f>AVERAGE(V86:V87)</f>
        <v>9.59</v>
      </c>
      <c r="W88" s="9">
        <f>AVERAGE(W86:W87)</f>
        <v>9.9499999999999993</v>
      </c>
      <c r="X88" s="80">
        <f>AVERAGE(X86:X87)</f>
        <v>11.43</v>
      </c>
      <c r="Y88" s="90">
        <f>AVERAGE(Y86:Y87)</f>
        <v>115000</v>
      </c>
      <c r="Z88" s="5"/>
      <c r="AA88" s="5">
        <f>AVERAGE(AA86:AA87)</f>
        <v>280000</v>
      </c>
      <c r="AB88" s="91">
        <f>AVERAGE(AB86:AB87)</f>
        <v>127500</v>
      </c>
      <c r="AI88" s="2"/>
      <c r="AJ88" s="2"/>
      <c r="AK88" s="2"/>
      <c r="AL88" s="2"/>
      <c r="AM88" s="2"/>
      <c r="AN88" s="2"/>
    </row>
    <row r="89" spans="2:40" ht="14.5" customHeight="1" x14ac:dyDescent="0.25">
      <c r="B89" s="132"/>
      <c r="C89" s="60"/>
      <c r="D89" s="60"/>
      <c r="E89" s="60"/>
      <c r="F89" s="16" t="s">
        <v>8</v>
      </c>
      <c r="G89" s="103">
        <f>(STDEV(G86:G87))/(SQRT(COUNT(G86:G87)))</f>
        <v>0</v>
      </c>
      <c r="H89" s="17">
        <f>(STDEV(H86:H87))/(SQRT(COUNT(H86:H87)))</f>
        <v>5.0000000000000044E-3</v>
      </c>
      <c r="I89" s="17">
        <f>(STDEV(I86:I87))/(SQRT(COUNT(I86:I87)))</f>
        <v>2.5000000000000022E-2</v>
      </c>
      <c r="J89" s="17">
        <f>(STDEV(J86:J87))/(SQRT(COUNT(J86:J87)))</f>
        <v>0</v>
      </c>
      <c r="K89" s="104"/>
      <c r="L89" s="103">
        <f>(STDEV(L86:L87))/(SQRT(COUNT(L86:L87)))</f>
        <v>0</v>
      </c>
      <c r="M89" s="17">
        <f>(STDEV(M86:M87))/(SQRT(COUNT(M86:M87)))</f>
        <v>5.0000000000000044E-3</v>
      </c>
      <c r="N89" s="17">
        <f>(STDEV(N86:N87))/(SQRT(COUNT(N86:N87)))</f>
        <v>5.0000000000000044E-3</v>
      </c>
      <c r="O89" s="17">
        <f>(STDEV(O86:O87))/(SQRT(COUNT(O86:O87)))</f>
        <v>0</v>
      </c>
      <c r="P89" s="104"/>
      <c r="Q89" s="103">
        <f>(STDEV(Q86:Q87))/(SQRT(COUNT(Q86:Q87)))</f>
        <v>0</v>
      </c>
      <c r="R89" s="17"/>
      <c r="S89" s="104"/>
      <c r="T89" s="103"/>
      <c r="U89" s="17"/>
      <c r="V89" s="17"/>
      <c r="W89" s="17"/>
      <c r="X89" s="104"/>
      <c r="Y89" s="105">
        <f>(STDEV(Y86:Y87))/(SQRT(COUNT(Y86:Y87)))</f>
        <v>4999.9999999999991</v>
      </c>
      <c r="Z89" s="19"/>
      <c r="AA89" s="19">
        <f>(STDEV(AA86:AA87))/(SQRT(COUNT(AA86:AA87)))</f>
        <v>25000</v>
      </c>
      <c r="AB89" s="106">
        <f>(STDEV(AB86:AB87))/(SQRT(COUNT(AB86:AB87)))</f>
        <v>22499.999999999996</v>
      </c>
      <c r="AI89" s="2"/>
      <c r="AJ89" s="2"/>
      <c r="AK89" s="2"/>
      <c r="AL89" s="2"/>
      <c r="AM89" s="2"/>
      <c r="AN89" s="2"/>
    </row>
    <row r="90" spans="2:40" ht="14.5" customHeight="1" x14ac:dyDescent="0.25">
      <c r="B90" s="132"/>
      <c r="C90" s="7" t="s">
        <v>5</v>
      </c>
      <c r="D90" s="7">
        <v>500</v>
      </c>
      <c r="E90" s="7">
        <v>25</v>
      </c>
      <c r="F90" s="7">
        <v>500</v>
      </c>
      <c r="G90" s="99">
        <f>(3.2/2.87)*G74</f>
        <v>3.2</v>
      </c>
      <c r="H90" s="8">
        <f>(3.2/2.87)*H74</f>
        <v>2.0292682926829269</v>
      </c>
      <c r="I90" s="8">
        <f>(3.2/2.87)*I74</f>
        <v>1.070383275261324</v>
      </c>
      <c r="J90" s="8">
        <f>(3.2/2.87)*J74</f>
        <v>0.61324041811846697</v>
      </c>
      <c r="K90" s="100">
        <f>(3.2/2.87)*K74</f>
        <v>8.9198606271777003E-3</v>
      </c>
      <c r="L90" s="99">
        <f>(1.13/1.09)*L74</f>
        <v>1.1299999999999999</v>
      </c>
      <c r="M90" s="8">
        <f>(1.13/1.09)*M74</f>
        <v>0.93302752293577962</v>
      </c>
      <c r="N90" s="8">
        <f>(1.13/1.09)*N74</f>
        <v>0.77752293577981635</v>
      </c>
      <c r="O90" s="8">
        <f>(1.13/1.09)*O74</f>
        <v>0.73605504587155945</v>
      </c>
      <c r="P90" s="100">
        <f>(1.13/1.09)*P74</f>
        <v>1.6587155963302749E-2</v>
      </c>
      <c r="Q90" s="99">
        <v>1.1000000000000001</v>
      </c>
      <c r="R90" s="8">
        <v>0.79</v>
      </c>
      <c r="S90" s="100">
        <v>0.09</v>
      </c>
      <c r="T90" s="99">
        <v>7.7</v>
      </c>
      <c r="U90" s="8">
        <v>8.44</v>
      </c>
      <c r="V90" s="8">
        <v>9.1</v>
      </c>
      <c r="W90" s="8">
        <v>9.41</v>
      </c>
      <c r="X90" s="100">
        <v>11.44</v>
      </c>
      <c r="Y90" s="101">
        <f>(22/100)*10^6*5/10</f>
        <v>110000</v>
      </c>
      <c r="Z90" s="12"/>
      <c r="AA90" s="12">
        <f>(14/100)*10^6*5/10</f>
        <v>70000</v>
      </c>
      <c r="AB90" s="102">
        <f>(17/100)*10^6*5/10</f>
        <v>85000</v>
      </c>
      <c r="AI90" s="2"/>
      <c r="AJ90" s="2"/>
      <c r="AK90" s="2"/>
      <c r="AL90" s="2"/>
      <c r="AM90" s="2"/>
      <c r="AN90" s="2"/>
    </row>
    <row r="91" spans="2:40" ht="14.5" customHeight="1" x14ac:dyDescent="0.25">
      <c r="B91" s="132"/>
      <c r="C91" s="13"/>
      <c r="D91" s="13"/>
      <c r="E91" s="13"/>
      <c r="F91" s="13"/>
      <c r="G91" s="79">
        <f>(3.2/2.87)*G75</f>
        <v>3.2</v>
      </c>
      <c r="H91" s="9">
        <f>(3.2/2.87)*H75</f>
        <v>1.9958188153310104</v>
      </c>
      <c r="I91" s="9">
        <f>(3.2/2.87)*I75</f>
        <v>1.0146341463414634</v>
      </c>
      <c r="J91" s="9">
        <f>(3.2/2.87)*J75</f>
        <v>0.63554006968641108</v>
      </c>
      <c r="K91" s="80">
        <f>(3.2/2.87)*K75</f>
        <v>0</v>
      </c>
      <c r="L91" s="79">
        <f>(1.13/1.09)*L75</f>
        <v>1.1299999999999999</v>
      </c>
      <c r="M91" s="9">
        <f>(1.13/1.09)*M75</f>
        <v>0.92266055045871542</v>
      </c>
      <c r="N91" s="9">
        <f>(1.13/1.09)*N75</f>
        <v>0.78788990825688054</v>
      </c>
      <c r="O91" s="9">
        <f>(1.13/1.09)*O75</f>
        <v>0.72568807339449526</v>
      </c>
      <c r="P91" s="80">
        <f>(1.13/1.09)*P75</f>
        <v>0</v>
      </c>
      <c r="Q91" s="79">
        <v>1.1000000000000001</v>
      </c>
      <c r="R91" s="9"/>
      <c r="S91" s="80"/>
      <c r="T91" s="79"/>
      <c r="U91" s="9"/>
      <c r="V91" s="9"/>
      <c r="W91" s="9"/>
      <c r="X91" s="80"/>
      <c r="Y91" s="90">
        <f>(24/100)*10^6*5/10</f>
        <v>120000</v>
      </c>
      <c r="Z91" s="5"/>
      <c r="AA91" s="5">
        <f>(20/100)*10^6*5/10</f>
        <v>100000</v>
      </c>
      <c r="AB91" s="91">
        <f>(26/100)*10^6*5/10</f>
        <v>130000</v>
      </c>
      <c r="AI91" s="2"/>
      <c r="AJ91" s="2"/>
      <c r="AK91" s="2"/>
      <c r="AL91" s="2"/>
      <c r="AM91" s="2"/>
      <c r="AN91" s="2"/>
    </row>
    <row r="92" spans="2:40" ht="14.5" customHeight="1" x14ac:dyDescent="0.25">
      <c r="B92" s="132"/>
      <c r="C92" s="13"/>
      <c r="D92" s="13"/>
      <c r="E92" s="13"/>
      <c r="F92" s="14" t="s">
        <v>7</v>
      </c>
      <c r="G92" s="79">
        <f>AVERAGE(G90:G91)</f>
        <v>3.2</v>
      </c>
      <c r="H92" s="9">
        <f>AVERAGE(H90:H91)</f>
        <v>2.0125435540069687</v>
      </c>
      <c r="I92" s="9">
        <f>AVERAGE(I90:I91)</f>
        <v>1.0425087108013937</v>
      </c>
      <c r="J92" s="9">
        <f>AVERAGE(J90:J91)</f>
        <v>0.62439024390243902</v>
      </c>
      <c r="K92" s="80">
        <f>AVERAGE(K90:K91)</f>
        <v>4.4599303135888502E-3</v>
      </c>
      <c r="L92" s="79">
        <f>AVERAGE(L90:L91)</f>
        <v>1.1299999999999999</v>
      </c>
      <c r="M92" s="9">
        <f>AVERAGE(M90:M91)</f>
        <v>0.92784403669724758</v>
      </c>
      <c r="N92" s="9">
        <f>AVERAGE(N90:N91)</f>
        <v>0.78270642201834839</v>
      </c>
      <c r="O92" s="9">
        <f>AVERAGE(O90:O91)</f>
        <v>0.7308715596330273</v>
      </c>
      <c r="P92" s="80">
        <f>AVERAGE(P90:P91)</f>
        <v>8.2935779816513747E-3</v>
      </c>
      <c r="Q92" s="79">
        <f>AVERAGE(Q90:Q91)</f>
        <v>1.1000000000000001</v>
      </c>
      <c r="R92" s="9">
        <f>AVERAGE(R90:R91)</f>
        <v>0.79</v>
      </c>
      <c r="S92" s="80">
        <f>AVERAGE(S90:S91)</f>
        <v>0.09</v>
      </c>
      <c r="T92" s="79">
        <f>AVERAGE(T90:T91)</f>
        <v>7.7</v>
      </c>
      <c r="U92" s="9">
        <f>AVERAGE(U90:U91)</f>
        <v>8.44</v>
      </c>
      <c r="V92" s="9">
        <f>AVERAGE(V90:V91)</f>
        <v>9.1</v>
      </c>
      <c r="W92" s="9">
        <f>AVERAGE(W90:W91)</f>
        <v>9.41</v>
      </c>
      <c r="X92" s="80">
        <f>AVERAGE(X90:X91)</f>
        <v>11.44</v>
      </c>
      <c r="Y92" s="90">
        <f>AVERAGE(Y90:Y91)</f>
        <v>115000</v>
      </c>
      <c r="Z92" s="5"/>
      <c r="AA92" s="5">
        <f>AVERAGE(AA90:AA91)</f>
        <v>85000</v>
      </c>
      <c r="AB92" s="91">
        <f>AVERAGE(AB90:AB91)</f>
        <v>107500</v>
      </c>
      <c r="AI92" s="2"/>
      <c r="AJ92" s="2"/>
      <c r="AK92" s="2"/>
      <c r="AL92" s="2"/>
      <c r="AM92" s="2"/>
      <c r="AN92" s="2"/>
    </row>
    <row r="93" spans="2:40" ht="14.5" customHeight="1" x14ac:dyDescent="0.25">
      <c r="B93" s="132"/>
      <c r="C93" s="60"/>
      <c r="D93" s="60"/>
      <c r="E93" s="60"/>
      <c r="F93" s="16" t="s">
        <v>8</v>
      </c>
      <c r="G93" s="103">
        <f>(STDEV(G90:G91))/(SQRT(COUNT(G90:G91)))</f>
        <v>0</v>
      </c>
      <c r="H93" s="17">
        <f>(STDEV(H90:H91))/(SQRT(COUNT(H90:H91)))</f>
        <v>1.6724738675958247E-2</v>
      </c>
      <c r="I93" s="17">
        <f>(STDEV(I90:I91))/(SQRT(COUNT(I90:I91)))</f>
        <v>2.7874564459930303E-2</v>
      </c>
      <c r="J93" s="17">
        <f>(STDEV(J90:J91))/(SQRT(COUNT(J90:J91)))</f>
        <v>1.1149825783972054E-2</v>
      </c>
      <c r="K93" s="104">
        <f>(STDEV(K90:K91))/(SQRT(COUNT(K90:K91)))</f>
        <v>4.4599303135888493E-3</v>
      </c>
      <c r="L93" s="103">
        <f>(STDEV(L90:L91))/(SQRT(COUNT(L90:L91)))</f>
        <v>0</v>
      </c>
      <c r="M93" s="17">
        <f>(STDEV(M90:M91))/(SQRT(COUNT(M90:M91)))</f>
        <v>5.1834862385320979E-3</v>
      </c>
      <c r="N93" s="17">
        <f>(STDEV(N90:N91))/(SQRT(COUNT(N90:N91)))</f>
        <v>5.1834862385320979E-3</v>
      </c>
      <c r="O93" s="17">
        <f>(STDEV(O90:O91))/(SQRT(COUNT(O90:O91)))</f>
        <v>5.1834862385320979E-3</v>
      </c>
      <c r="P93" s="104">
        <f>(STDEV(P90:P91))/(SQRT(COUNT(P90:P91)))</f>
        <v>8.2935779816513747E-3</v>
      </c>
      <c r="Q93" s="103">
        <f>(STDEV(Q90:Q91))/(SQRT(COUNT(Q90:Q91)))</f>
        <v>0</v>
      </c>
      <c r="R93" s="17"/>
      <c r="S93" s="104"/>
      <c r="T93" s="103"/>
      <c r="U93" s="17"/>
      <c r="V93" s="17"/>
      <c r="W93" s="17"/>
      <c r="X93" s="104"/>
      <c r="Y93" s="105">
        <f>(STDEV(Y90:Y91))/(SQRT(COUNT(Y90:Y91)))</f>
        <v>4999.9999999999991</v>
      </c>
      <c r="Z93" s="19"/>
      <c r="AA93" s="19">
        <f>(STDEV(AA90:AA91))/(SQRT(COUNT(AA90:AA91)))</f>
        <v>14999.999999999998</v>
      </c>
      <c r="AB93" s="106">
        <f>(STDEV(AB90:AB91))/(SQRT(COUNT(AB90:AB91)))</f>
        <v>22499.999999999996</v>
      </c>
      <c r="AI93" s="2"/>
      <c r="AJ93" s="2"/>
      <c r="AK93" s="2"/>
      <c r="AL93" s="2"/>
      <c r="AM93" s="2"/>
      <c r="AN93" s="2"/>
    </row>
    <row r="94" spans="2:40" ht="14.5" customHeight="1" x14ac:dyDescent="0.25">
      <c r="B94" s="132"/>
      <c r="C94" s="7" t="s">
        <v>5</v>
      </c>
      <c r="D94" s="7">
        <v>500</v>
      </c>
      <c r="E94" s="7">
        <v>50</v>
      </c>
      <c r="F94" s="7">
        <v>500</v>
      </c>
      <c r="G94" s="99">
        <f>(3.2/2.87)*G78</f>
        <v>3.2</v>
      </c>
      <c r="H94" s="8">
        <f>(3.2/2.87)*H78</f>
        <v>2.0404181184668988</v>
      </c>
      <c r="I94" s="8">
        <f>(3.2/2.87)*I78</f>
        <v>0.99233449477351909</v>
      </c>
      <c r="J94" s="8">
        <f>(3.2/2.87)*J78</f>
        <v>0.35679442508710801</v>
      </c>
      <c r="K94" s="100">
        <f>(3.2/2.87)*K78</f>
        <v>5.5749128919860627E-3</v>
      </c>
      <c r="L94" s="99">
        <f>(1.13/1.09)*L78</f>
        <v>1.1299999999999999</v>
      </c>
      <c r="M94" s="8">
        <f>(1.13/1.09)*M78</f>
        <v>0.93302752293577962</v>
      </c>
      <c r="N94" s="8">
        <f>(1.13/1.09)*N78</f>
        <v>0.74642201834862365</v>
      </c>
      <c r="O94" s="8">
        <f>(1.13/1.09)*O78</f>
        <v>0.42504587155963292</v>
      </c>
      <c r="P94" s="100">
        <f>(1.13/1.09)*P78</f>
        <v>2.0733944954128437E-2</v>
      </c>
      <c r="Q94" s="99">
        <v>1.1000000000000001</v>
      </c>
      <c r="R94" s="8">
        <v>0.75</v>
      </c>
      <c r="S94" s="100">
        <v>9.9000000000000005E-2</v>
      </c>
      <c r="T94" s="99">
        <v>7.7</v>
      </c>
      <c r="U94" s="8">
        <v>8.58</v>
      </c>
      <c r="V94" s="8">
        <v>9.36</v>
      </c>
      <c r="W94" s="8">
        <v>9.75</v>
      </c>
      <c r="X94" s="100">
        <v>11.42</v>
      </c>
      <c r="Y94" s="101">
        <f>(22/100)*10^6*5/10</f>
        <v>110000</v>
      </c>
      <c r="Z94" s="12"/>
      <c r="AA94" s="12">
        <f>(17/100)*10^6*5/10</f>
        <v>85000</v>
      </c>
      <c r="AB94" s="102">
        <f>(18/100)*10^6*5/10</f>
        <v>90000</v>
      </c>
      <c r="AI94" s="2"/>
      <c r="AJ94" s="2"/>
      <c r="AK94" s="2"/>
      <c r="AL94" s="2"/>
      <c r="AM94" s="2"/>
      <c r="AN94" s="2"/>
    </row>
    <row r="95" spans="2:40" ht="14.5" customHeight="1" x14ac:dyDescent="0.25">
      <c r="B95" s="132"/>
      <c r="C95" s="13"/>
      <c r="D95" s="13"/>
      <c r="E95" s="13"/>
      <c r="F95" s="13"/>
      <c r="G95" s="79">
        <f>(3.2/2.87)*G79</f>
        <v>3.2</v>
      </c>
      <c r="H95" s="9">
        <f>(3.2/2.87)*H79</f>
        <v>2.0181184668989545</v>
      </c>
      <c r="I95" s="9">
        <f>(3.2/2.87)*I79</f>
        <v>0.89198606271777003</v>
      </c>
      <c r="J95" s="9">
        <f>(3.2/2.87)*J79</f>
        <v>0.41254355400696863</v>
      </c>
      <c r="K95" s="80">
        <f>(3.2/2.87)*K79</f>
        <v>0</v>
      </c>
      <c r="L95" s="79">
        <f>(1.13/1.09)*L79</f>
        <v>1.1299999999999999</v>
      </c>
      <c r="M95" s="9">
        <f>(1.13/1.09)*M79</f>
        <v>0.93302752293577962</v>
      </c>
      <c r="N95" s="9">
        <f>(1.13/1.09)*N79</f>
        <v>0.74642201834862365</v>
      </c>
      <c r="O95" s="9">
        <f>(1.13/1.09)*O79</f>
        <v>0.42504587155963292</v>
      </c>
      <c r="P95" s="80">
        <f>(1.13/1.09)*P79</f>
        <v>0</v>
      </c>
      <c r="Q95" s="79">
        <v>1.1000000000000001</v>
      </c>
      <c r="R95" s="9"/>
      <c r="S95" s="80"/>
      <c r="T95" s="79"/>
      <c r="U95" s="9"/>
      <c r="V95" s="9"/>
      <c r="W95" s="9"/>
      <c r="X95" s="80"/>
      <c r="Y95" s="90">
        <f>(24/100)*10^6*5/10</f>
        <v>120000</v>
      </c>
      <c r="Z95" s="5"/>
      <c r="AA95" s="5">
        <f>(26/100)*10^6*5/10</f>
        <v>130000</v>
      </c>
      <c r="AB95" s="91">
        <f>(30/100)*10^6*5/10</f>
        <v>150000</v>
      </c>
      <c r="AI95" s="2"/>
      <c r="AJ95" s="2"/>
      <c r="AK95" s="2"/>
      <c r="AL95" s="2"/>
      <c r="AM95" s="2"/>
      <c r="AN95" s="2"/>
    </row>
    <row r="96" spans="2:40" ht="14.5" customHeight="1" x14ac:dyDescent="0.25">
      <c r="B96" s="132"/>
      <c r="C96" s="13"/>
      <c r="D96" s="13"/>
      <c r="E96" s="13"/>
      <c r="F96" s="14" t="s">
        <v>7</v>
      </c>
      <c r="G96" s="79">
        <f>AVERAGE(G94:G95)</f>
        <v>3.2</v>
      </c>
      <c r="H96" s="9">
        <f>AVERAGE(H94:H95)</f>
        <v>2.0292682926829269</v>
      </c>
      <c r="I96" s="9">
        <f>AVERAGE(I94:I95)</f>
        <v>0.94216027874564456</v>
      </c>
      <c r="J96" s="9">
        <f>AVERAGE(J94:J95)</f>
        <v>0.38466898954703832</v>
      </c>
      <c r="K96" s="80">
        <f>AVERAGE(K94:K95)</f>
        <v>2.7874564459930314E-3</v>
      </c>
      <c r="L96" s="79">
        <f>AVERAGE(L94:L95)</f>
        <v>1.1299999999999999</v>
      </c>
      <c r="M96" s="9">
        <f>AVERAGE(M94:M95)</f>
        <v>0.93302752293577962</v>
      </c>
      <c r="N96" s="9">
        <f>AVERAGE(N94:N95)</f>
        <v>0.74642201834862365</v>
      </c>
      <c r="O96" s="9">
        <f>AVERAGE(O94:O95)</f>
        <v>0.42504587155963292</v>
      </c>
      <c r="P96" s="80">
        <f>AVERAGE(P94:P95)</f>
        <v>1.0366972477064218E-2</v>
      </c>
      <c r="Q96" s="79">
        <f>AVERAGE(Q94:Q95)</f>
        <v>1.1000000000000001</v>
      </c>
      <c r="R96" s="9">
        <f>AVERAGE(R94:R95)</f>
        <v>0.75</v>
      </c>
      <c r="S96" s="80">
        <f>AVERAGE(S94:S95)</f>
        <v>9.9000000000000005E-2</v>
      </c>
      <c r="T96" s="79">
        <f>AVERAGE(T94:T95)</f>
        <v>7.7</v>
      </c>
      <c r="U96" s="9">
        <f>AVERAGE(U94:U95)</f>
        <v>8.58</v>
      </c>
      <c r="V96" s="9">
        <f>AVERAGE(V94:V95)</f>
        <v>9.36</v>
      </c>
      <c r="W96" s="9">
        <f>AVERAGE(W94:W95)</f>
        <v>9.75</v>
      </c>
      <c r="X96" s="80">
        <f>AVERAGE(X94:X95)</f>
        <v>11.42</v>
      </c>
      <c r="Y96" s="90">
        <f>AVERAGE(Y94:Y95)</f>
        <v>115000</v>
      </c>
      <c r="Z96" s="5"/>
      <c r="AA96" s="5">
        <f>AVERAGE(AA94:AA95)</f>
        <v>107500</v>
      </c>
      <c r="AB96" s="91">
        <f>AVERAGE(AB94:AB95)</f>
        <v>120000</v>
      </c>
      <c r="AI96" s="2"/>
      <c r="AJ96" s="2"/>
      <c r="AK96" s="2"/>
      <c r="AL96" s="2"/>
      <c r="AM96" s="2"/>
      <c r="AN96" s="2"/>
    </row>
    <row r="97" spans="2:40" ht="14.5" customHeight="1" x14ac:dyDescent="0.25">
      <c r="B97" s="132"/>
      <c r="C97" s="60"/>
      <c r="D97" s="60"/>
      <c r="E97" s="60"/>
      <c r="F97" s="16" t="s">
        <v>8</v>
      </c>
      <c r="G97" s="103">
        <f>(STDEV(G94:G95))/(SQRT(COUNT(G94:G95)))</f>
        <v>0</v>
      </c>
      <c r="H97" s="17">
        <f>(STDEV(H94:H95))/(SQRT(COUNT(H94:H95)))</f>
        <v>1.1149825783972167E-2</v>
      </c>
      <c r="I97" s="17">
        <f>(STDEV(I94:I95))/(SQRT(COUNT(I94:I95)))</f>
        <v>5.0174216027874523E-2</v>
      </c>
      <c r="J97" s="17">
        <f>(STDEV(J94:J95))/(SQRT(COUNT(J94:J95)))</f>
        <v>2.7874564459930303E-2</v>
      </c>
      <c r="K97" s="104">
        <f>(STDEV(K94:K95))/(SQRT(COUNT(K94:K95)))</f>
        <v>2.7874564459930314E-3</v>
      </c>
      <c r="L97" s="103">
        <f>(STDEV(L94:L95))/(SQRT(COUNT(L94:L95)))</f>
        <v>0</v>
      </c>
      <c r="M97" s="17">
        <f>(STDEV(M94:M95))/(SQRT(COUNT(M94:M95)))</f>
        <v>0</v>
      </c>
      <c r="N97" s="17">
        <f>(STDEV(N94:N95))/(SQRT(COUNT(N94:N95)))</f>
        <v>0</v>
      </c>
      <c r="O97" s="17">
        <f>(STDEV(O94:O95))/(SQRT(COUNT(O94:O95)))</f>
        <v>0</v>
      </c>
      <c r="P97" s="104">
        <f>(STDEV(P94:P95))/(SQRT(COUNT(P94:P95)))</f>
        <v>1.0366972477064217E-2</v>
      </c>
      <c r="Q97" s="103">
        <f>(STDEV(Q94:Q95))/(SQRT(COUNT(Q94:Q95)))</f>
        <v>0</v>
      </c>
      <c r="R97" s="17"/>
      <c r="S97" s="104"/>
      <c r="T97" s="103"/>
      <c r="U97" s="17"/>
      <c r="V97" s="17"/>
      <c r="W97" s="17"/>
      <c r="X97" s="104"/>
      <c r="Y97" s="105">
        <f>(STDEV(Y94:Y95))/(SQRT(COUNT(Y94:Y95)))</f>
        <v>4999.9999999999991</v>
      </c>
      <c r="Z97" s="19"/>
      <c r="AA97" s="19">
        <f>(STDEV(AA94:AA95))/(SQRT(COUNT(AA94:AA95)))</f>
        <v>22499.999999999996</v>
      </c>
      <c r="AB97" s="106">
        <f>(STDEV(AB94:AB95))/(SQRT(COUNT(AB94:AB95)))</f>
        <v>29999.999999999996</v>
      </c>
      <c r="AI97" s="2"/>
      <c r="AJ97" s="2"/>
      <c r="AK97" s="2"/>
      <c r="AL97" s="2"/>
      <c r="AM97" s="2"/>
      <c r="AN97" s="2"/>
    </row>
    <row r="98" spans="2:40" ht="14.5" customHeight="1" x14ac:dyDescent="0.25">
      <c r="B98" s="132"/>
      <c r="C98" s="7" t="s">
        <v>5</v>
      </c>
      <c r="D98" s="7">
        <v>500</v>
      </c>
      <c r="E98" s="7">
        <v>75</v>
      </c>
      <c r="F98" s="7">
        <v>500</v>
      </c>
      <c r="G98" s="99">
        <f>(3.2/2.87)*G82</f>
        <v>3.2</v>
      </c>
      <c r="H98" s="8">
        <f>(3.2/2.87)*H82</f>
        <v>2.0181184668989545</v>
      </c>
      <c r="I98" s="8">
        <f>(3.2/2.87)*I82</f>
        <v>0.98118466898954704</v>
      </c>
      <c r="J98" s="8">
        <f>(3.2/2.87)*J82</f>
        <v>0.3010452961672474</v>
      </c>
      <c r="K98" s="100">
        <f>(3.2/2.87)*K82</f>
        <v>1.5609756097560976E-2</v>
      </c>
      <c r="L98" s="99">
        <f>(1.13/1.09)*L82</f>
        <v>1.1299999999999999</v>
      </c>
      <c r="M98" s="8">
        <f>(1.13/1.09)*M82</f>
        <v>0.94339449541284381</v>
      </c>
      <c r="N98" s="8">
        <f>(1.13/1.09)*N82</f>
        <v>0.72568807339449526</v>
      </c>
      <c r="O98" s="8">
        <f>(1.13/1.09)*O82</f>
        <v>0.33174311926605499</v>
      </c>
      <c r="P98" s="100">
        <f>(1.13/1.09)*P82</f>
        <v>1.0366972477064218E-2</v>
      </c>
      <c r="Q98" s="99">
        <v>1.1000000000000001</v>
      </c>
      <c r="R98" s="8">
        <v>0.73</v>
      </c>
      <c r="S98" s="100">
        <v>8.5000000000000006E-2</v>
      </c>
      <c r="T98" s="99">
        <v>7.7</v>
      </c>
      <c r="U98" s="8">
        <v>8.65</v>
      </c>
      <c r="V98" s="8">
        <v>9.42</v>
      </c>
      <c r="W98" s="8">
        <v>9.89</v>
      </c>
      <c r="X98" s="100">
        <v>11.42</v>
      </c>
      <c r="Y98" s="101">
        <f>(22/100)*10^6*5/10</f>
        <v>110000</v>
      </c>
      <c r="Z98" s="12"/>
      <c r="AA98" s="12">
        <f>(21/100)*10^6*5/10</f>
        <v>105000</v>
      </c>
      <c r="AB98" s="102">
        <f>(19/100)*10^6*5/10</f>
        <v>95000</v>
      </c>
      <c r="AI98" s="2"/>
      <c r="AJ98" s="2"/>
      <c r="AK98" s="2"/>
      <c r="AL98" s="2"/>
      <c r="AM98" s="2"/>
      <c r="AN98" s="2"/>
    </row>
    <row r="99" spans="2:40" ht="14.5" customHeight="1" x14ac:dyDescent="0.25">
      <c r="B99" s="132"/>
      <c r="C99" s="13"/>
      <c r="D99" s="13"/>
      <c r="E99" s="13"/>
      <c r="F99" s="13"/>
      <c r="G99" s="79">
        <f>(3.2/2.87)*G83</f>
        <v>3.2</v>
      </c>
      <c r="H99" s="9">
        <f>(3.2/2.87)*H83</f>
        <v>2.0181184668989545</v>
      </c>
      <c r="I99" s="9">
        <f>(3.2/2.87)*I83</f>
        <v>1.0369337979094078</v>
      </c>
      <c r="J99" s="9">
        <f>(3.2/2.87)*J83</f>
        <v>0.27874564459930312</v>
      </c>
      <c r="K99" s="80">
        <f>(3.2/2.87)*K83</f>
        <v>0</v>
      </c>
      <c r="L99" s="79">
        <f>(1.13/1.09)*L83</f>
        <v>1.1299999999999999</v>
      </c>
      <c r="M99" s="9">
        <f>(1.13/1.09)*M83</f>
        <v>0.93302752293577962</v>
      </c>
      <c r="N99" s="9">
        <f>(1.13/1.09)*N83</f>
        <v>0.73605504587155945</v>
      </c>
      <c r="O99" s="9">
        <f>(1.13/1.09)*O83</f>
        <v>0.34211009174311918</v>
      </c>
      <c r="P99" s="80">
        <f>(1.13/1.09)*P83</f>
        <v>0</v>
      </c>
      <c r="Q99" s="79">
        <v>1.1000000000000001</v>
      </c>
      <c r="R99" s="9"/>
      <c r="S99" s="80"/>
      <c r="T99" s="79"/>
      <c r="U99" s="9"/>
      <c r="V99" s="9"/>
      <c r="W99" s="9"/>
      <c r="X99" s="80"/>
      <c r="Y99" s="90">
        <f>(24/100)*10^6*5/10</f>
        <v>120000</v>
      </c>
      <c r="Z99" s="5"/>
      <c r="AA99" s="5">
        <f>(18/100)*10^6*5/10</f>
        <v>90000</v>
      </c>
      <c r="AB99" s="91">
        <f>(29/100)*10^6*5/10</f>
        <v>145000</v>
      </c>
      <c r="AI99" s="2"/>
      <c r="AJ99" s="2"/>
      <c r="AK99" s="2"/>
      <c r="AL99" s="2"/>
      <c r="AM99" s="2"/>
      <c r="AN99" s="2"/>
    </row>
    <row r="100" spans="2:40" ht="14.5" customHeight="1" x14ac:dyDescent="0.25">
      <c r="B100" s="132"/>
      <c r="C100" s="13"/>
      <c r="D100" s="13"/>
      <c r="E100" s="13"/>
      <c r="F100" s="14" t="s">
        <v>7</v>
      </c>
      <c r="G100" s="79">
        <f>AVERAGE(G98:G99)</f>
        <v>3.2</v>
      </c>
      <c r="H100" s="9">
        <f>AVERAGE(H98:H99)</f>
        <v>2.0181184668989545</v>
      </c>
      <c r="I100" s="9">
        <f>AVERAGE(I98:I99)</f>
        <v>1.0090592334494775</v>
      </c>
      <c r="J100" s="9">
        <f>AVERAGE(J98:J99)</f>
        <v>0.28989547038327523</v>
      </c>
      <c r="K100" s="80">
        <f>AVERAGE(K98:K99)</f>
        <v>7.8048780487804878E-3</v>
      </c>
      <c r="L100" s="79">
        <f>AVERAGE(L98:L99)</f>
        <v>1.1299999999999999</v>
      </c>
      <c r="M100" s="9">
        <f>AVERAGE(M98:M99)</f>
        <v>0.93821100917431166</v>
      </c>
      <c r="N100" s="9">
        <f>AVERAGE(N98:N99)</f>
        <v>0.7308715596330273</v>
      </c>
      <c r="O100" s="9">
        <f>AVERAGE(O98:O99)</f>
        <v>0.33692660550458708</v>
      </c>
      <c r="P100" s="80">
        <f>AVERAGE(P98:P99)</f>
        <v>5.1834862385321092E-3</v>
      </c>
      <c r="Q100" s="79">
        <f>AVERAGE(Q98:Q99)</f>
        <v>1.1000000000000001</v>
      </c>
      <c r="R100" s="9">
        <f>AVERAGE(R98:R99)</f>
        <v>0.73</v>
      </c>
      <c r="S100" s="80">
        <f>AVERAGE(S98:S99)</f>
        <v>8.5000000000000006E-2</v>
      </c>
      <c r="T100" s="79">
        <f>AVERAGE(T98:T99)</f>
        <v>7.7</v>
      </c>
      <c r="U100" s="9">
        <f>AVERAGE(U98:U99)</f>
        <v>8.65</v>
      </c>
      <c r="V100" s="9">
        <f>AVERAGE(V98:V99)</f>
        <v>9.42</v>
      </c>
      <c r="W100" s="9">
        <f>AVERAGE(W98:W99)</f>
        <v>9.89</v>
      </c>
      <c r="X100" s="80">
        <f>AVERAGE(X98:X99)</f>
        <v>11.42</v>
      </c>
      <c r="Y100" s="90">
        <f>AVERAGE(Y98:Y99)</f>
        <v>115000</v>
      </c>
      <c r="Z100" s="5"/>
      <c r="AA100" s="5">
        <f>AVERAGE(AA98:AA99)</f>
        <v>97500</v>
      </c>
      <c r="AB100" s="91">
        <f>AVERAGE(AB98:AB99)</f>
        <v>120000</v>
      </c>
      <c r="AI100" s="2"/>
      <c r="AJ100" s="2"/>
      <c r="AK100" s="2"/>
      <c r="AL100" s="2"/>
      <c r="AM100" s="2"/>
      <c r="AN100" s="2"/>
    </row>
    <row r="101" spans="2:40" ht="14.5" customHeight="1" x14ac:dyDescent="0.25">
      <c r="B101" s="132"/>
      <c r="C101" s="60"/>
      <c r="D101" s="60"/>
      <c r="E101" s="60"/>
      <c r="F101" s="16" t="s">
        <v>8</v>
      </c>
      <c r="G101" s="103">
        <f>(STDEV(G98:G99))/(SQRT(COUNT(G98:G99)))</f>
        <v>0</v>
      </c>
      <c r="H101" s="17">
        <f>(STDEV(H98:H99))/(SQRT(COUNT(H98:H99)))</f>
        <v>0</v>
      </c>
      <c r="I101" s="17">
        <f>(STDEV(I98:I99))/(SQRT(COUNT(I98:I99)))</f>
        <v>2.7874564459930362E-2</v>
      </c>
      <c r="J101" s="17">
        <f>(STDEV(J98:J99))/(SQRT(COUNT(J98:J99)))</f>
        <v>1.1149825783972138E-2</v>
      </c>
      <c r="K101" s="104">
        <f>(STDEV(K98:K99))/(SQRT(COUNT(K98:K99)))</f>
        <v>7.8048780487804869E-3</v>
      </c>
      <c r="L101" s="103">
        <f>(STDEV(L98:L99))/(SQRT(COUNT(L98:L99)))</f>
        <v>0</v>
      </c>
      <c r="M101" s="17">
        <f>(STDEV(M98:M99))/(SQRT(COUNT(M98:M99)))</f>
        <v>5.1834862385320979E-3</v>
      </c>
      <c r="N101" s="17">
        <f>(STDEV(N98:N99))/(SQRT(COUNT(N98:N99)))</f>
        <v>5.1834862385320979E-3</v>
      </c>
      <c r="O101" s="17">
        <f>(STDEV(O98:O99))/(SQRT(COUNT(O98:O99)))</f>
        <v>5.1834862385320979E-3</v>
      </c>
      <c r="P101" s="104">
        <f>(STDEV(P98:P99))/(SQRT(COUNT(P98:P99)))</f>
        <v>5.1834862385321083E-3</v>
      </c>
      <c r="Q101" s="103">
        <f>(STDEV(Q98:Q99))/(SQRT(COUNT(Q98:Q99)))</f>
        <v>0</v>
      </c>
      <c r="R101" s="17"/>
      <c r="S101" s="104"/>
      <c r="T101" s="103"/>
      <c r="U101" s="17"/>
      <c r="V101" s="17"/>
      <c r="W101" s="17"/>
      <c r="X101" s="104"/>
      <c r="Y101" s="105">
        <f>(STDEV(Y98:Y99))/(SQRT(COUNT(Y98:Y99)))</f>
        <v>4999.9999999999991</v>
      </c>
      <c r="Z101" s="19"/>
      <c r="AA101" s="19">
        <f>(STDEV(AA98:AA99))/(SQRT(COUNT(AA98:AA99)))</f>
        <v>7499.9999999999991</v>
      </c>
      <c r="AB101" s="106">
        <f>(STDEV(AB98:AB99))/(SQRT(COUNT(AB98:AB99)))</f>
        <v>25000</v>
      </c>
      <c r="AI101" s="2"/>
      <c r="AJ101" s="2"/>
      <c r="AK101" s="2"/>
      <c r="AL101" s="2"/>
      <c r="AM101" s="2"/>
      <c r="AN101" s="2"/>
    </row>
    <row r="102" spans="2:40" ht="14.5" customHeight="1" x14ac:dyDescent="0.25">
      <c r="B102" s="132"/>
      <c r="C102" s="7" t="s">
        <v>5</v>
      </c>
      <c r="D102" s="7">
        <v>500</v>
      </c>
      <c r="E102" s="7">
        <v>100</v>
      </c>
      <c r="F102" s="7">
        <v>500</v>
      </c>
      <c r="G102" s="99">
        <f>(3.2/2.87)*G86</f>
        <v>3.2</v>
      </c>
      <c r="H102" s="8">
        <f>(3.2/2.87)*H86</f>
        <v>1.9289198606271776</v>
      </c>
      <c r="I102" s="8">
        <f>(3.2/2.87)*I86</f>
        <v>0.7804878048780487</v>
      </c>
      <c r="J102" s="8">
        <f>(3.2/2.87)*J86</f>
        <v>2.2299651567944251E-2</v>
      </c>
      <c r="K102" s="100">
        <f>(3.2/2.87)*K86</f>
        <v>1.0034843205574911E-2</v>
      </c>
      <c r="L102" s="99">
        <f>(1.13/1.09)*L86</f>
        <v>1.1299999999999999</v>
      </c>
      <c r="M102" s="8">
        <f>(1.13/1.09)*M86</f>
        <v>0.93302752293577962</v>
      </c>
      <c r="N102" s="8">
        <f>(1.13/1.09)*N86</f>
        <v>0.60128440366972458</v>
      </c>
      <c r="O102" s="8">
        <f>(1.13/1.09)*O86</f>
        <v>0.20733944954128436</v>
      </c>
      <c r="P102" s="100">
        <f>(1.13/1.09)*P86</f>
        <v>1.0366972477064218E-2</v>
      </c>
      <c r="Q102" s="99">
        <v>1.1000000000000001</v>
      </c>
      <c r="R102" s="8">
        <v>0.63</v>
      </c>
      <c r="S102" s="100">
        <v>0.08</v>
      </c>
      <c r="T102" s="99">
        <v>7.7</v>
      </c>
      <c r="U102" s="8">
        <v>8.75</v>
      </c>
      <c r="V102" s="8">
        <v>9.59</v>
      </c>
      <c r="W102" s="8">
        <v>9.9499999999999993</v>
      </c>
      <c r="X102" s="100">
        <v>11.43</v>
      </c>
      <c r="Y102" s="101">
        <f>(22/100)*10^6*5/10</f>
        <v>110000</v>
      </c>
      <c r="Z102" s="12"/>
      <c r="AA102" s="12">
        <f>(24/100)*10^6*5/10</f>
        <v>120000</v>
      </c>
      <c r="AB102" s="102">
        <f>(30/100)*10^6*5/10</f>
        <v>150000</v>
      </c>
      <c r="AI102" s="2"/>
      <c r="AJ102" s="2"/>
      <c r="AK102" s="2"/>
      <c r="AL102" s="2"/>
      <c r="AM102" s="2"/>
      <c r="AN102" s="2"/>
    </row>
    <row r="103" spans="2:40" ht="14.5" customHeight="1" x14ac:dyDescent="0.25">
      <c r="B103" s="132"/>
      <c r="C103" s="13"/>
      <c r="D103" s="13"/>
      <c r="E103" s="13"/>
      <c r="F103" s="13"/>
      <c r="G103" s="79">
        <f>(3.2/2.87)*G87</f>
        <v>3.2</v>
      </c>
      <c r="H103" s="9">
        <f>(3.2/2.87)*H87</f>
        <v>1.9400696864111497</v>
      </c>
      <c r="I103" s="9">
        <f>(3.2/2.87)*I87</f>
        <v>0.83623693379790942</v>
      </c>
      <c r="J103" s="9">
        <f>(3.2/2.87)*J87</f>
        <v>2.2299651567944251E-2</v>
      </c>
      <c r="K103" s="80">
        <f>(3.2/2.87)*K87</f>
        <v>0</v>
      </c>
      <c r="L103" s="79">
        <f>(1.13/1.09)*L87</f>
        <v>1.1299999999999999</v>
      </c>
      <c r="M103" s="9">
        <f>(1.13/1.09)*M87</f>
        <v>0.92266055045871542</v>
      </c>
      <c r="N103" s="9">
        <f>(1.13/1.09)*N87</f>
        <v>0.59091743119266038</v>
      </c>
      <c r="O103" s="9">
        <f>(1.13/1.09)*O87</f>
        <v>0.20733944954128436</v>
      </c>
      <c r="P103" s="80">
        <f>(1.13/1.09)*P87</f>
        <v>0</v>
      </c>
      <c r="Q103" s="79">
        <v>1.1000000000000001</v>
      </c>
      <c r="R103" s="9"/>
      <c r="S103" s="80"/>
      <c r="T103" s="79"/>
      <c r="U103" s="9"/>
      <c r="V103" s="9"/>
      <c r="W103" s="9"/>
      <c r="X103" s="80"/>
      <c r="Y103" s="90">
        <f>(24/100)*10^6*5/10</f>
        <v>120000</v>
      </c>
      <c r="Z103" s="5"/>
      <c r="AA103" s="5">
        <f>(24/100)*10^6*5/10</f>
        <v>120000</v>
      </c>
      <c r="AB103" s="91">
        <f>(21/100)*10^6*5/10</f>
        <v>105000</v>
      </c>
      <c r="AI103" s="2"/>
      <c r="AJ103" s="2"/>
      <c r="AK103" s="2"/>
      <c r="AL103" s="2"/>
      <c r="AM103" s="2"/>
      <c r="AN103" s="2"/>
    </row>
    <row r="104" spans="2:40" ht="14.5" customHeight="1" x14ac:dyDescent="0.25">
      <c r="B104" s="132"/>
      <c r="C104" s="13"/>
      <c r="D104" s="13"/>
      <c r="E104" s="13"/>
      <c r="F104" s="14" t="s">
        <v>7</v>
      </c>
      <c r="G104" s="79">
        <f>AVERAGE(G102:G103)</f>
        <v>3.2</v>
      </c>
      <c r="H104" s="9">
        <f t="shared" ref="H104:K104" si="0">AVERAGE(H102:H103)</f>
        <v>1.9344947735191638</v>
      </c>
      <c r="I104" s="9">
        <f t="shared" si="0"/>
        <v>0.80836236933797911</v>
      </c>
      <c r="J104" s="9">
        <f t="shared" si="0"/>
        <v>2.2299651567944251E-2</v>
      </c>
      <c r="K104" s="80">
        <f t="shared" si="0"/>
        <v>5.0174216027874556E-3</v>
      </c>
      <c r="L104" s="79">
        <f>AVERAGE(L102:L103)</f>
        <v>1.1299999999999999</v>
      </c>
      <c r="M104" s="9">
        <f t="shared" ref="M104:P104" si="1">AVERAGE(M102:M103)</f>
        <v>0.92784403669724758</v>
      </c>
      <c r="N104" s="9">
        <f t="shared" si="1"/>
        <v>0.59610091743119242</v>
      </c>
      <c r="O104" s="9">
        <f t="shared" si="1"/>
        <v>0.20733944954128436</v>
      </c>
      <c r="P104" s="80">
        <f t="shared" si="1"/>
        <v>5.1834862385321092E-3</v>
      </c>
      <c r="Q104" s="79">
        <f>AVERAGE(Q102:Q103)</f>
        <v>1.1000000000000001</v>
      </c>
      <c r="R104" s="9">
        <f t="shared" ref="R104" si="2">AVERAGE(R102:R103)</f>
        <v>0.63</v>
      </c>
      <c r="S104" s="80">
        <f t="shared" ref="S104" si="3">AVERAGE(S102:S103)</f>
        <v>0.08</v>
      </c>
      <c r="T104" s="79">
        <f>AVERAGE(T102:T103)</f>
        <v>7.7</v>
      </c>
      <c r="U104" s="9">
        <f t="shared" ref="U104:V104" si="4">AVERAGE(U102:U103)</f>
        <v>8.75</v>
      </c>
      <c r="V104" s="9">
        <f t="shared" si="4"/>
        <v>9.59</v>
      </c>
      <c r="W104" s="9">
        <f>AVERAGE(W102:W103)</f>
        <v>9.9499999999999993</v>
      </c>
      <c r="X104" s="80">
        <f t="shared" ref="X104" si="5">AVERAGE(X102:X103)</f>
        <v>11.43</v>
      </c>
      <c r="Y104" s="90">
        <f>AVERAGE(Y102:Y103)</f>
        <v>115000</v>
      </c>
      <c r="Z104" s="5"/>
      <c r="AA104" s="5">
        <f t="shared" ref="AA104:AB104" si="6">AVERAGE(AA102:AA103)</f>
        <v>120000</v>
      </c>
      <c r="AB104" s="91">
        <f t="shared" si="6"/>
        <v>127500</v>
      </c>
      <c r="AI104" s="2"/>
      <c r="AJ104" s="2"/>
      <c r="AK104" s="2"/>
      <c r="AL104" s="2"/>
      <c r="AM104" s="2"/>
      <c r="AN104" s="2"/>
    </row>
    <row r="105" spans="2:40" ht="14.5" customHeight="1" x14ac:dyDescent="0.25">
      <c r="B105" s="132"/>
      <c r="C105" s="60"/>
      <c r="D105" s="60"/>
      <c r="E105" s="60"/>
      <c r="F105" s="16" t="s">
        <v>8</v>
      </c>
      <c r="G105" s="103">
        <f>(STDEV(G102:G103))/(SQRT(COUNT(G102:G103)))</f>
        <v>0</v>
      </c>
      <c r="H105" s="17">
        <f t="shared" ref="H105:K105" si="7">(STDEV(H102:H103))/(SQRT(COUNT(H102:H103)))</f>
        <v>5.5749128919860835E-3</v>
      </c>
      <c r="I105" s="17">
        <f t="shared" si="7"/>
        <v>2.7874564459930362E-2</v>
      </c>
      <c r="J105" s="17">
        <f t="shared" si="7"/>
        <v>0</v>
      </c>
      <c r="K105" s="104">
        <f t="shared" si="7"/>
        <v>5.0174216027874556E-3</v>
      </c>
      <c r="L105" s="103">
        <f>(STDEV(L102:L103))/(SQRT(COUNT(L102:L103)))</f>
        <v>0</v>
      </c>
      <c r="M105" s="17">
        <f t="shared" ref="M105:P105" si="8">(STDEV(M102:M103))/(SQRT(COUNT(M102:M103)))</f>
        <v>5.1834862385320979E-3</v>
      </c>
      <c r="N105" s="17">
        <f t="shared" si="8"/>
        <v>5.1834862385320979E-3</v>
      </c>
      <c r="O105" s="17">
        <f t="shared" si="8"/>
        <v>0</v>
      </c>
      <c r="P105" s="104">
        <f t="shared" si="8"/>
        <v>5.1834862385321083E-3</v>
      </c>
      <c r="Q105" s="103">
        <f>(STDEV(Q102:Q103))/(SQRT(COUNT(Q102:Q103)))</f>
        <v>0</v>
      </c>
      <c r="R105" s="17"/>
      <c r="S105" s="104"/>
      <c r="T105" s="103"/>
      <c r="U105" s="17"/>
      <c r="V105" s="17"/>
      <c r="W105" s="17"/>
      <c r="X105" s="104"/>
      <c r="Y105" s="105">
        <f>(STDEV(Y102:Y103))/(SQRT(COUNT(Y102:Y103)))</f>
        <v>4999.9999999999991</v>
      </c>
      <c r="Z105" s="19"/>
      <c r="AA105" s="19">
        <f t="shared" ref="AA105:AB105" si="9">(STDEV(AA102:AA103))/(SQRT(COUNT(AA102:AA103)))</f>
        <v>0</v>
      </c>
      <c r="AB105" s="106">
        <f t="shared" si="9"/>
        <v>22499.999999999996</v>
      </c>
      <c r="AI105" s="2"/>
      <c r="AJ105" s="2"/>
      <c r="AK105" s="2"/>
      <c r="AL105" s="2"/>
      <c r="AM105" s="2"/>
      <c r="AN105" s="2"/>
    </row>
    <row r="106" spans="2:40" ht="14.5" customHeight="1" x14ac:dyDescent="0.25">
      <c r="B106" s="132"/>
      <c r="C106" s="7" t="s">
        <v>5</v>
      </c>
      <c r="D106" s="7">
        <v>1000</v>
      </c>
      <c r="E106" s="7">
        <v>25</v>
      </c>
      <c r="F106" s="7">
        <v>500</v>
      </c>
      <c r="G106" s="99">
        <v>3.2</v>
      </c>
      <c r="H106" s="8">
        <v>2.2200000000000002</v>
      </c>
      <c r="I106" s="8">
        <v>1.63</v>
      </c>
      <c r="J106" s="8">
        <v>0.9</v>
      </c>
      <c r="K106" s="100">
        <v>1E-3</v>
      </c>
      <c r="L106" s="99">
        <v>0.98</v>
      </c>
      <c r="M106" s="8">
        <v>0.76</v>
      </c>
      <c r="N106" s="8">
        <v>0.43</v>
      </c>
      <c r="O106" s="8">
        <v>0.15</v>
      </c>
      <c r="P106" s="100">
        <v>1.2E-2</v>
      </c>
      <c r="Q106" s="99">
        <v>1.01</v>
      </c>
      <c r="R106" s="8">
        <v>0.47</v>
      </c>
      <c r="S106" s="100">
        <v>6.6000000000000003E-2</v>
      </c>
      <c r="T106" s="99">
        <v>7.43</v>
      </c>
      <c r="U106" s="8">
        <v>8.76</v>
      </c>
      <c r="V106" s="8">
        <v>9.5500000000000007</v>
      </c>
      <c r="W106" s="8">
        <v>9.92</v>
      </c>
      <c r="X106" s="100">
        <v>11.42</v>
      </c>
      <c r="Y106" s="101">
        <f>(93/100)*10^6*2/10</f>
        <v>186000</v>
      </c>
      <c r="Z106" s="12"/>
      <c r="AA106" s="12">
        <f>(90/100)*10^6*5/10</f>
        <v>450000</v>
      </c>
      <c r="AB106" s="102">
        <f>(84/200)*10^6*5/10</f>
        <v>210000</v>
      </c>
      <c r="AI106" s="2"/>
      <c r="AJ106" s="2"/>
      <c r="AK106" s="2"/>
      <c r="AL106" s="2"/>
      <c r="AM106" s="2"/>
      <c r="AN106" s="2"/>
    </row>
    <row r="107" spans="2:40" ht="14.5" customHeight="1" x14ac:dyDescent="0.25">
      <c r="B107" s="132"/>
      <c r="C107" s="13"/>
      <c r="D107" s="13"/>
      <c r="E107" s="13"/>
      <c r="F107" s="13"/>
      <c r="G107" s="79">
        <v>3.2</v>
      </c>
      <c r="H107" s="9">
        <v>2.37</v>
      </c>
      <c r="I107" s="9">
        <v>1.56</v>
      </c>
      <c r="J107" s="9">
        <v>0.9</v>
      </c>
      <c r="K107" s="80">
        <v>3.0000000000000001E-3</v>
      </c>
      <c r="L107" s="79">
        <v>0.98</v>
      </c>
      <c r="M107" s="9">
        <v>0.76</v>
      </c>
      <c r="N107" s="9">
        <v>0.43</v>
      </c>
      <c r="O107" s="9">
        <v>0.16</v>
      </c>
      <c r="P107" s="80">
        <v>1.2E-2</v>
      </c>
      <c r="Q107" s="79">
        <v>1.01</v>
      </c>
      <c r="R107" s="9"/>
      <c r="S107" s="80"/>
      <c r="T107" s="79"/>
      <c r="U107" s="9"/>
      <c r="V107" s="9"/>
      <c r="W107" s="9"/>
      <c r="X107" s="80"/>
      <c r="Y107" s="90">
        <f>(93/100)*10^6*2/10</f>
        <v>186000</v>
      </c>
      <c r="Z107" s="5"/>
      <c r="AA107" s="5">
        <f>(105/100)*10^6*5/10</f>
        <v>525000</v>
      </c>
      <c r="AB107" s="91">
        <f>(84/200)*10^6*5/10</f>
        <v>210000</v>
      </c>
      <c r="AI107" s="2"/>
      <c r="AJ107" s="2"/>
      <c r="AK107" s="2"/>
      <c r="AL107" s="2"/>
      <c r="AM107" s="2"/>
      <c r="AN107" s="2"/>
    </row>
    <row r="108" spans="2:40" ht="13" customHeight="1" x14ac:dyDescent="0.25">
      <c r="B108" s="132"/>
      <c r="C108" s="13"/>
      <c r="D108" s="13"/>
      <c r="E108" s="13"/>
      <c r="F108" s="14" t="s">
        <v>7</v>
      </c>
      <c r="G108" s="79">
        <f>AVERAGE(G106:G107)</f>
        <v>3.2</v>
      </c>
      <c r="H108" s="9">
        <f>AVERAGE(H106:H107)</f>
        <v>2.2949999999999999</v>
      </c>
      <c r="I108" s="9">
        <f>AVERAGE(I106:I107)</f>
        <v>1.595</v>
      </c>
      <c r="J108" s="20">
        <f>AVERAGE(J106:J107)</f>
        <v>0.9</v>
      </c>
      <c r="K108" s="80">
        <f>AVERAGE(K106:K107)</f>
        <v>2E-3</v>
      </c>
      <c r="L108" s="79">
        <f>AVERAGE(L106:L107)</f>
        <v>0.98</v>
      </c>
      <c r="M108" s="9">
        <f>AVERAGE(M106:M107)</f>
        <v>0.76</v>
      </c>
      <c r="N108" s="9">
        <f>AVERAGE(N106:N107)</f>
        <v>0.43</v>
      </c>
      <c r="O108" s="20">
        <f>AVERAGE(O106:O107)</f>
        <v>0.155</v>
      </c>
      <c r="P108" s="80">
        <f>AVERAGE(P106:P107)</f>
        <v>1.2E-2</v>
      </c>
      <c r="Q108" s="79">
        <f>AVERAGE(Q106:Q107)</f>
        <v>1.01</v>
      </c>
      <c r="R108" s="9">
        <f>AVERAGE(R106:R107)</f>
        <v>0.47</v>
      </c>
      <c r="S108" s="80">
        <f>AVERAGE(S106:S107)</f>
        <v>6.6000000000000003E-2</v>
      </c>
      <c r="T108" s="79">
        <f>AVERAGE(T106:T107)</f>
        <v>7.43</v>
      </c>
      <c r="U108" s="9">
        <f>AVERAGE(U106:U107)</f>
        <v>8.76</v>
      </c>
      <c r="V108" s="9">
        <f>AVERAGE(V106:V107)</f>
        <v>9.5500000000000007</v>
      </c>
      <c r="W108" s="9">
        <f>AVERAGE(W106:W107)</f>
        <v>9.92</v>
      </c>
      <c r="X108" s="80">
        <f>AVERAGE(X106:X107)</f>
        <v>11.42</v>
      </c>
      <c r="Y108" s="90">
        <f>AVERAGE(Y106:Y107)</f>
        <v>186000</v>
      </c>
      <c r="Z108" s="5"/>
      <c r="AA108" s="5">
        <f>AVERAGE(AA106:AA107)</f>
        <v>487500</v>
      </c>
      <c r="AB108" s="91">
        <f>AVERAGE(AB106:AB107)</f>
        <v>210000</v>
      </c>
      <c r="AI108" s="2"/>
      <c r="AJ108" s="2"/>
      <c r="AK108" s="2"/>
      <c r="AL108" s="2"/>
      <c r="AM108" s="2"/>
      <c r="AN108" s="2"/>
    </row>
    <row r="109" spans="2:40" ht="14.5" customHeight="1" x14ac:dyDescent="0.25">
      <c r="B109" s="132"/>
      <c r="C109" s="60"/>
      <c r="D109" s="60"/>
      <c r="E109" s="60"/>
      <c r="F109" s="16" t="s">
        <v>8</v>
      </c>
      <c r="G109" s="103">
        <f>(STDEV(G106:G107))/(SQRT(COUNT(G106:G107)))</f>
        <v>0</v>
      </c>
      <c r="H109" s="17">
        <f>(STDEV(H106:H107))/(SQRT(COUNT(H106:H107)))</f>
        <v>7.4999999999999942E-2</v>
      </c>
      <c r="I109" s="17">
        <f>(STDEV(I106:I107))/(SQRT(COUNT(I106:I107)))</f>
        <v>3.499999999999992E-2</v>
      </c>
      <c r="J109" s="17">
        <f>(STDEV(J106:J107))/(SQRT(COUNT(J106:J107)))</f>
        <v>0</v>
      </c>
      <c r="K109" s="104">
        <f>(STDEV(K106:K107))/(SQRT(COUNT(K106:K107)))</f>
        <v>1.0000000000000002E-3</v>
      </c>
      <c r="L109" s="103">
        <f>(STDEV(L106:L107))/(SQRT(COUNT(L106:L107)))</f>
        <v>0</v>
      </c>
      <c r="M109" s="17">
        <f>(STDEV(M106:M107))/(SQRT(COUNT(M106:M107)))</f>
        <v>0</v>
      </c>
      <c r="N109" s="17">
        <f>(STDEV(N106:N107))/(SQRT(COUNT(N106:N107)))</f>
        <v>0</v>
      </c>
      <c r="O109" s="17">
        <f>(STDEV(O106:O107))/(SQRT(COUNT(O106:O107)))</f>
        <v>5.0000000000000044E-3</v>
      </c>
      <c r="P109" s="104">
        <f>(STDEV(P106:P107))/(SQRT(COUNT(P106:P107)))</f>
        <v>0</v>
      </c>
      <c r="Q109" s="103">
        <f>(STDEV(Q106:Q107))/(SQRT(COUNT(Q106:Q107)))</f>
        <v>0</v>
      </c>
      <c r="R109" s="17"/>
      <c r="S109" s="104"/>
      <c r="T109" s="103"/>
      <c r="U109" s="17"/>
      <c r="V109" s="17"/>
      <c r="W109" s="17"/>
      <c r="X109" s="104"/>
      <c r="Y109" s="105">
        <f>(STDEV(Y106:Y107))/(SQRT(COUNT(Y106:Y107)))</f>
        <v>0</v>
      </c>
      <c r="Z109" s="19"/>
      <c r="AA109" s="19">
        <f>(STDEV(AA106:AA107))/(SQRT(COUNT(AA106:AA107)))</f>
        <v>37499.999999999993</v>
      </c>
      <c r="AB109" s="106">
        <f>(STDEV(AB106:AB107))/(SQRT(COUNT(AB106:AB107)))</f>
        <v>0</v>
      </c>
      <c r="AI109" s="2"/>
      <c r="AJ109" s="2"/>
      <c r="AK109" s="2"/>
      <c r="AL109" s="2"/>
      <c r="AM109" s="2"/>
      <c r="AN109" s="2"/>
    </row>
    <row r="110" spans="2:40" ht="14.5" customHeight="1" x14ac:dyDescent="0.25">
      <c r="B110" s="132"/>
      <c r="C110" s="7" t="s">
        <v>5</v>
      </c>
      <c r="D110" s="7">
        <v>1000</v>
      </c>
      <c r="E110" s="7">
        <v>50</v>
      </c>
      <c r="F110" s="7">
        <v>500</v>
      </c>
      <c r="G110" s="99">
        <v>3.2</v>
      </c>
      <c r="H110" s="8">
        <v>2.04</v>
      </c>
      <c r="I110" s="8">
        <v>1.22</v>
      </c>
      <c r="J110" s="8">
        <v>0.31</v>
      </c>
      <c r="K110" s="100">
        <v>5.0000000000000001E-3</v>
      </c>
      <c r="L110" s="99">
        <v>0.98</v>
      </c>
      <c r="M110" s="8">
        <v>0.75</v>
      </c>
      <c r="N110" s="8">
        <v>0.21</v>
      </c>
      <c r="O110" s="8">
        <v>7.0000000000000007E-2</v>
      </c>
      <c r="P110" s="100">
        <v>1.7999999999999999E-2</v>
      </c>
      <c r="Q110" s="99">
        <v>1.01</v>
      </c>
      <c r="R110" s="8">
        <v>0.26</v>
      </c>
      <c r="S110" s="100">
        <v>0.08</v>
      </c>
      <c r="T110" s="99">
        <v>7.43</v>
      </c>
      <c r="U110" s="8">
        <v>8.9700000000000006</v>
      </c>
      <c r="V110" s="8">
        <v>9.8800000000000008</v>
      </c>
      <c r="W110" s="8">
        <v>10.66</v>
      </c>
      <c r="X110" s="100">
        <v>11.33</v>
      </c>
      <c r="Y110" s="101">
        <f>(93/100)*10^6*2/10</f>
        <v>186000</v>
      </c>
      <c r="Z110" s="12"/>
      <c r="AA110" s="12">
        <f>(37/100)*10^6*5/10</f>
        <v>185000</v>
      </c>
      <c r="AB110" s="102">
        <f>(74/200)*10^6*5/10</f>
        <v>185000</v>
      </c>
      <c r="AI110" s="2"/>
      <c r="AJ110" s="2"/>
      <c r="AK110" s="2"/>
      <c r="AL110" s="2"/>
      <c r="AM110" s="2"/>
      <c r="AN110" s="2"/>
    </row>
    <row r="111" spans="2:40" ht="14.5" customHeight="1" x14ac:dyDescent="0.25">
      <c r="B111" s="132"/>
      <c r="C111" s="13"/>
      <c r="D111" s="13"/>
      <c r="E111" s="13"/>
      <c r="F111" s="13"/>
      <c r="G111" s="79">
        <v>3.2</v>
      </c>
      <c r="H111" s="9">
        <v>2.19</v>
      </c>
      <c r="I111" s="9">
        <v>1.2</v>
      </c>
      <c r="J111" s="9">
        <v>0.32</v>
      </c>
      <c r="K111" s="80">
        <v>8.0000000000000002E-3</v>
      </c>
      <c r="L111" s="79">
        <v>0.98</v>
      </c>
      <c r="M111" s="9">
        <v>0.75</v>
      </c>
      <c r="N111" s="9">
        <v>0.21</v>
      </c>
      <c r="O111" s="9">
        <v>0.08</v>
      </c>
      <c r="P111" s="80">
        <v>0.02</v>
      </c>
      <c r="Q111" s="79">
        <v>1.01</v>
      </c>
      <c r="R111" s="9"/>
      <c r="S111" s="80"/>
      <c r="T111" s="79"/>
      <c r="U111" s="9"/>
      <c r="V111" s="9"/>
      <c r="W111" s="9"/>
      <c r="X111" s="80"/>
      <c r="Y111" s="90">
        <f>(93/100)*10^6*2/10</f>
        <v>186000</v>
      </c>
      <c r="Z111" s="5"/>
      <c r="AA111" s="5">
        <f>(57/100)*10^6*5/10</f>
        <v>285000</v>
      </c>
      <c r="AB111" s="91">
        <f>(74/200)*10^6*5/10</f>
        <v>185000</v>
      </c>
      <c r="AI111" s="2"/>
      <c r="AJ111" s="2"/>
      <c r="AK111" s="2"/>
      <c r="AL111" s="2"/>
      <c r="AM111" s="2"/>
      <c r="AN111" s="2"/>
    </row>
    <row r="112" spans="2:40" ht="14.5" customHeight="1" x14ac:dyDescent="0.25">
      <c r="B112" s="132"/>
      <c r="C112" s="13"/>
      <c r="D112" s="13"/>
      <c r="E112" s="13"/>
      <c r="F112" s="14" t="s">
        <v>7</v>
      </c>
      <c r="G112" s="79">
        <f>AVERAGE(G110:G111)</f>
        <v>3.2</v>
      </c>
      <c r="H112" s="9">
        <f>AVERAGE(H110:H111)</f>
        <v>2.1150000000000002</v>
      </c>
      <c r="I112" s="9">
        <f>AVERAGE(I110:I111)</f>
        <v>1.21</v>
      </c>
      <c r="J112" s="20">
        <f>AVERAGE(J110:J111)</f>
        <v>0.315</v>
      </c>
      <c r="K112" s="80">
        <f>AVERAGE(K110:K111)</f>
        <v>6.5000000000000006E-3</v>
      </c>
      <c r="L112" s="79">
        <f>AVERAGE(L110:L111)</f>
        <v>0.98</v>
      </c>
      <c r="M112" s="9">
        <f>AVERAGE(M110:M111)</f>
        <v>0.75</v>
      </c>
      <c r="N112" s="9">
        <f>AVERAGE(N110:N111)</f>
        <v>0.21</v>
      </c>
      <c r="O112" s="20">
        <f>AVERAGE(O110:O111)</f>
        <v>7.5000000000000011E-2</v>
      </c>
      <c r="P112" s="80">
        <f>AVERAGE(P110:P111)</f>
        <v>1.9E-2</v>
      </c>
      <c r="Q112" s="79">
        <f>AVERAGE(Q110:Q111)</f>
        <v>1.01</v>
      </c>
      <c r="R112" s="9">
        <f>AVERAGE(R110:R111)</f>
        <v>0.26</v>
      </c>
      <c r="S112" s="80">
        <f>AVERAGE(S110:S111)</f>
        <v>0.08</v>
      </c>
      <c r="T112" s="79">
        <f>AVERAGE(T110:T111)</f>
        <v>7.43</v>
      </c>
      <c r="U112" s="9">
        <f>AVERAGE(U110:U111)</f>
        <v>8.9700000000000006</v>
      </c>
      <c r="V112" s="9">
        <f>AVERAGE(V110:V111)</f>
        <v>9.8800000000000008</v>
      </c>
      <c r="W112" s="9">
        <f>AVERAGE(W110:W111)</f>
        <v>10.66</v>
      </c>
      <c r="X112" s="80">
        <f>AVERAGE(X110:X111)</f>
        <v>11.33</v>
      </c>
      <c r="Y112" s="90">
        <f>AVERAGE(Y110:Y111)</f>
        <v>186000</v>
      </c>
      <c r="Z112" s="5"/>
      <c r="AA112" s="5">
        <f>AVERAGE(AA110:AA111)</f>
        <v>235000</v>
      </c>
      <c r="AB112" s="91">
        <f>AVERAGE(AB110:AB111)</f>
        <v>185000</v>
      </c>
      <c r="AI112" s="2"/>
      <c r="AJ112" s="2"/>
      <c r="AK112" s="2"/>
      <c r="AL112" s="2"/>
      <c r="AM112" s="2"/>
      <c r="AN112" s="2"/>
    </row>
    <row r="113" spans="2:40" ht="14.5" customHeight="1" x14ac:dyDescent="0.25">
      <c r="B113" s="132"/>
      <c r="C113" s="60"/>
      <c r="D113" s="60"/>
      <c r="E113" s="60"/>
      <c r="F113" s="16" t="s">
        <v>8</v>
      </c>
      <c r="G113" s="103">
        <f>(STDEV(G110:G111))/(SQRT(COUNT(G110:G111)))</f>
        <v>0</v>
      </c>
      <c r="H113" s="17">
        <f>(STDEV(H110:H111))/(SQRT(COUNT(H110:H111)))</f>
        <v>7.4999999999999942E-2</v>
      </c>
      <c r="I113" s="17">
        <f>(STDEV(I110:I111))/(SQRT(COUNT(I110:I111)))</f>
        <v>1.0000000000000009E-2</v>
      </c>
      <c r="J113" s="17">
        <f>(STDEV(J110:J111))/(SQRT(COUNT(J110:J111)))</f>
        <v>5.0000000000000044E-3</v>
      </c>
      <c r="K113" s="104">
        <f>(STDEV(K110:K111))/(SQRT(COUNT(K110:K111)))</f>
        <v>1.4999999999999998E-3</v>
      </c>
      <c r="L113" s="103">
        <f>(STDEV(L110:L111))/(SQRT(COUNT(L110:L111)))</f>
        <v>0</v>
      </c>
      <c r="M113" s="17">
        <f>(STDEV(M110:M111))/(SQRT(COUNT(M110:M111)))</f>
        <v>0</v>
      </c>
      <c r="N113" s="17">
        <f>(STDEV(N110:N111))/(SQRT(COUNT(N110:N111)))</f>
        <v>0</v>
      </c>
      <c r="O113" s="17">
        <f>(STDEV(O110:O111))/(SQRT(COUNT(O110:O111)))</f>
        <v>4.9999999999999975E-3</v>
      </c>
      <c r="P113" s="104">
        <f>(STDEV(P110:P111))/(SQRT(COUNT(P110:P111)))</f>
        <v>1.0000000000000009E-3</v>
      </c>
      <c r="Q113" s="103">
        <f>(STDEV(Q110:Q111))/(SQRT(COUNT(Q110:Q111)))</f>
        <v>0</v>
      </c>
      <c r="R113" s="17"/>
      <c r="S113" s="104"/>
      <c r="T113" s="103"/>
      <c r="U113" s="17"/>
      <c r="V113" s="17"/>
      <c r="W113" s="17"/>
      <c r="X113" s="104"/>
      <c r="Y113" s="105">
        <f>(STDEV(Y110:Y111))/(SQRT(COUNT(Y110:Y111)))</f>
        <v>0</v>
      </c>
      <c r="Z113" s="19"/>
      <c r="AA113" s="19">
        <f>(STDEV(AA110:AA111))/(SQRT(COUNT(AA110:AA111)))</f>
        <v>50000</v>
      </c>
      <c r="AB113" s="106">
        <f>(STDEV(AB110:AB111))/(SQRT(COUNT(AB110:AB111)))</f>
        <v>0</v>
      </c>
      <c r="AI113" s="2"/>
      <c r="AJ113" s="2"/>
      <c r="AK113" s="2"/>
      <c r="AL113" s="2"/>
      <c r="AM113" s="2"/>
      <c r="AN113" s="2"/>
    </row>
    <row r="114" spans="2:40" ht="14.5" customHeight="1" x14ac:dyDescent="0.25">
      <c r="B114" s="132"/>
      <c r="C114" s="7" t="s">
        <v>5</v>
      </c>
      <c r="D114" s="7">
        <v>1000</v>
      </c>
      <c r="E114" s="7">
        <v>75</v>
      </c>
      <c r="F114" s="7">
        <v>500</v>
      </c>
      <c r="G114" s="99">
        <v>3.2</v>
      </c>
      <c r="H114" s="8">
        <v>1.94</v>
      </c>
      <c r="I114" s="8">
        <v>1.07</v>
      </c>
      <c r="J114" s="8">
        <v>0.2</v>
      </c>
      <c r="K114" s="100">
        <v>7.0000000000000001E-3</v>
      </c>
      <c r="L114" s="99">
        <v>0.98</v>
      </c>
      <c r="M114" s="8">
        <v>0.7</v>
      </c>
      <c r="N114" s="8">
        <v>0.15</v>
      </c>
      <c r="O114" s="8">
        <v>7.0000000000000007E-2</v>
      </c>
      <c r="P114" s="100">
        <v>1.6E-2</v>
      </c>
      <c r="Q114" s="99">
        <v>1.01</v>
      </c>
      <c r="R114" s="8">
        <v>0.21</v>
      </c>
      <c r="S114" s="100">
        <v>6.4000000000000001E-2</v>
      </c>
      <c r="T114" s="99">
        <v>7.43</v>
      </c>
      <c r="U114" s="8">
        <v>9.0500000000000007</v>
      </c>
      <c r="V114" s="8">
        <v>10.02</v>
      </c>
      <c r="W114" s="8">
        <v>10.85</v>
      </c>
      <c r="X114" s="100">
        <v>11.42</v>
      </c>
      <c r="Y114" s="101">
        <f>(93/100)*10^6*2/10</f>
        <v>186000</v>
      </c>
      <c r="Z114" s="12"/>
      <c r="AA114" s="12">
        <f>(109/100)*10^6*5/10</f>
        <v>545000</v>
      </c>
      <c r="AB114" s="102">
        <f>(74/200)*10^6*5/10</f>
        <v>185000</v>
      </c>
      <c r="AI114" s="2"/>
      <c r="AJ114" s="2"/>
      <c r="AK114" s="2"/>
      <c r="AL114" s="2"/>
      <c r="AM114" s="2"/>
      <c r="AN114" s="2"/>
    </row>
    <row r="115" spans="2:40" ht="14.5" customHeight="1" x14ac:dyDescent="0.25">
      <c r="B115" s="132"/>
      <c r="C115" s="13"/>
      <c r="D115" s="13"/>
      <c r="E115" s="13"/>
      <c r="F115" s="13"/>
      <c r="G115" s="79">
        <v>3.2</v>
      </c>
      <c r="H115" s="9">
        <v>2.15</v>
      </c>
      <c r="I115" s="9">
        <v>1.1200000000000001</v>
      </c>
      <c r="J115" s="9">
        <v>0.02</v>
      </c>
      <c r="K115" s="80">
        <v>2E-3</v>
      </c>
      <c r="L115" s="79">
        <v>0.98</v>
      </c>
      <c r="M115" s="9">
        <v>0.7</v>
      </c>
      <c r="N115" s="9">
        <v>0.15</v>
      </c>
      <c r="O115" s="9">
        <v>7.0000000000000007E-2</v>
      </c>
      <c r="P115" s="80">
        <v>1.4999999999999999E-2</v>
      </c>
      <c r="Q115" s="79">
        <v>1.01</v>
      </c>
      <c r="R115" s="9"/>
      <c r="S115" s="80"/>
      <c r="T115" s="79"/>
      <c r="U115" s="9"/>
      <c r="V115" s="9"/>
      <c r="W115" s="9"/>
      <c r="X115" s="80"/>
      <c r="Y115" s="90">
        <f>(93/100)*10^6*2/10</f>
        <v>186000</v>
      </c>
      <c r="Z115" s="5"/>
      <c r="AA115" s="5">
        <f>(109/100)*10^6*5/10</f>
        <v>545000</v>
      </c>
      <c r="AB115" s="91">
        <f>(74/200)*10^6*5/10</f>
        <v>185000</v>
      </c>
      <c r="AI115" s="2"/>
      <c r="AJ115" s="2"/>
      <c r="AK115" s="2"/>
      <c r="AL115" s="2"/>
      <c r="AM115" s="2"/>
      <c r="AN115" s="2"/>
    </row>
    <row r="116" spans="2:40" ht="14.5" customHeight="1" x14ac:dyDescent="0.25">
      <c r="B116" s="132"/>
      <c r="C116" s="13"/>
      <c r="D116" s="13"/>
      <c r="E116" s="13"/>
      <c r="F116" s="14" t="s">
        <v>7</v>
      </c>
      <c r="G116" s="79">
        <f>AVERAGE(G114:G115)</f>
        <v>3.2</v>
      </c>
      <c r="H116" s="9">
        <f>AVERAGE(H114:H115)</f>
        <v>2.0449999999999999</v>
      </c>
      <c r="I116" s="9">
        <f>AVERAGE(I114:I115)</f>
        <v>1.0950000000000002</v>
      </c>
      <c r="J116" s="20">
        <f>AVERAGE(J114:J115)</f>
        <v>0.11</v>
      </c>
      <c r="K116" s="80">
        <f>AVERAGE(K114:K115)</f>
        <v>4.5000000000000005E-3</v>
      </c>
      <c r="L116" s="79">
        <f>AVERAGE(L114:L115)</f>
        <v>0.98</v>
      </c>
      <c r="M116" s="9">
        <f>AVERAGE(M114:M115)</f>
        <v>0.7</v>
      </c>
      <c r="N116" s="9">
        <f>AVERAGE(N114:N115)</f>
        <v>0.15</v>
      </c>
      <c r="O116" s="20">
        <f>AVERAGE(O114:O115)</f>
        <v>7.0000000000000007E-2</v>
      </c>
      <c r="P116" s="80">
        <f>AVERAGE(P114:P115)</f>
        <v>1.55E-2</v>
      </c>
      <c r="Q116" s="79">
        <f>AVERAGE(Q114:Q115)</f>
        <v>1.01</v>
      </c>
      <c r="R116" s="9">
        <f>AVERAGE(R114:R115)</f>
        <v>0.21</v>
      </c>
      <c r="S116" s="80">
        <f>AVERAGE(S114:S115)</f>
        <v>6.4000000000000001E-2</v>
      </c>
      <c r="T116" s="79">
        <f>AVERAGE(T114:T115)</f>
        <v>7.43</v>
      </c>
      <c r="U116" s="9">
        <f>AVERAGE(U114:U115)</f>
        <v>9.0500000000000007</v>
      </c>
      <c r="V116" s="9">
        <f>AVERAGE(V114:V115)</f>
        <v>10.02</v>
      </c>
      <c r="W116" s="9">
        <f>AVERAGE(W114:W115)</f>
        <v>10.85</v>
      </c>
      <c r="X116" s="80">
        <f>AVERAGE(X114:X115)</f>
        <v>11.42</v>
      </c>
      <c r="Y116" s="90">
        <f>AVERAGE(Y114:Y115)</f>
        <v>186000</v>
      </c>
      <c r="Z116" s="5"/>
      <c r="AA116" s="5">
        <f>AVERAGE(AA114:AA115)</f>
        <v>545000</v>
      </c>
      <c r="AB116" s="91">
        <f>AVERAGE(AB114:AB115)</f>
        <v>185000</v>
      </c>
      <c r="AI116" s="2"/>
      <c r="AJ116" s="2"/>
      <c r="AK116" s="2"/>
      <c r="AL116" s="2"/>
      <c r="AM116" s="2"/>
      <c r="AN116" s="2"/>
    </row>
    <row r="117" spans="2:40" ht="14.5" customHeight="1" x14ac:dyDescent="0.25">
      <c r="B117" s="132"/>
      <c r="C117" s="60"/>
      <c r="D117" s="60"/>
      <c r="E117" s="60"/>
      <c r="F117" s="16" t="s">
        <v>8</v>
      </c>
      <c r="G117" s="103">
        <f>(STDEV(G114:G115))/(SQRT(COUNT(G114:G115)))</f>
        <v>0</v>
      </c>
      <c r="H117" s="17">
        <f>(STDEV(H114:H115))/(SQRT(COUNT(H114:H115)))</f>
        <v>0.10499999999999997</v>
      </c>
      <c r="I117" s="17">
        <f>(STDEV(I114:I115))/(SQRT(COUNT(I114:I115)))</f>
        <v>2.5000000000000022E-2</v>
      </c>
      <c r="J117" s="17">
        <f>(STDEV(J114:J115))/(SQRT(COUNT(J114:J115)))</f>
        <v>9.0000000000000011E-2</v>
      </c>
      <c r="K117" s="104">
        <f>(STDEV(K114:K115))/(SQRT(COUNT(K114:K115)))</f>
        <v>2.5000000000000001E-3</v>
      </c>
      <c r="L117" s="103">
        <f>(STDEV(L114:L115))/(SQRT(COUNT(L114:L115)))</f>
        <v>0</v>
      </c>
      <c r="M117" s="17">
        <f>(STDEV(M114:M115))/(SQRT(COUNT(M114:M115)))</f>
        <v>0</v>
      </c>
      <c r="N117" s="17">
        <f>(STDEV(N114:N115))/(SQRT(COUNT(N114:N115)))</f>
        <v>0</v>
      </c>
      <c r="O117" s="17">
        <f>(STDEV(O114:O115))/(SQRT(COUNT(O114:O115)))</f>
        <v>0</v>
      </c>
      <c r="P117" s="104">
        <f>(STDEV(P114:P115))/(SQRT(COUNT(P114:P115)))</f>
        <v>5.0000000000000044E-4</v>
      </c>
      <c r="Q117" s="103">
        <f>(STDEV(Q114:Q115))/(SQRT(COUNT(Q114:Q115)))</f>
        <v>0</v>
      </c>
      <c r="R117" s="17"/>
      <c r="S117" s="104"/>
      <c r="T117" s="103"/>
      <c r="U117" s="17"/>
      <c r="V117" s="17"/>
      <c r="W117" s="17"/>
      <c r="X117" s="104"/>
      <c r="Y117" s="105">
        <f>(STDEV(Y114:Y115))/(SQRT(COUNT(Y114:Y115)))</f>
        <v>0</v>
      </c>
      <c r="Z117" s="19"/>
      <c r="AA117" s="19">
        <f>(STDEV(AA114:AA115))/(SQRT(COUNT(AA114:AA115)))</f>
        <v>0</v>
      </c>
      <c r="AB117" s="106">
        <f>(STDEV(AB114:AB115))/(SQRT(COUNT(AB114:AB115)))</f>
        <v>0</v>
      </c>
      <c r="AI117" s="2"/>
      <c r="AJ117" s="2"/>
      <c r="AK117" s="2"/>
      <c r="AL117" s="2"/>
      <c r="AM117" s="2"/>
      <c r="AN117" s="2"/>
    </row>
    <row r="118" spans="2:40" ht="14.5" customHeight="1" x14ac:dyDescent="0.25">
      <c r="B118" s="132"/>
      <c r="C118" s="13" t="s">
        <v>5</v>
      </c>
      <c r="D118" s="13">
        <v>1000</v>
      </c>
      <c r="E118" s="13">
        <v>100</v>
      </c>
      <c r="F118" s="13">
        <v>500</v>
      </c>
      <c r="G118" s="79">
        <v>3.2</v>
      </c>
      <c r="H118" s="9">
        <v>1.66</v>
      </c>
      <c r="I118" s="9">
        <v>0.78</v>
      </c>
      <c r="J118" s="9">
        <v>0</v>
      </c>
      <c r="K118" s="80">
        <v>5.0000000000000001E-3</v>
      </c>
      <c r="L118" s="79">
        <v>0.98</v>
      </c>
      <c r="M118" s="9">
        <v>0.71</v>
      </c>
      <c r="N118" s="9">
        <v>0.1</v>
      </c>
      <c r="O118" s="9">
        <v>7.0000000000000007E-2</v>
      </c>
      <c r="P118" s="80">
        <v>3.4000000000000002E-2</v>
      </c>
      <c r="Q118" s="79">
        <v>1.01</v>
      </c>
      <c r="R118" s="9">
        <v>0.15</v>
      </c>
      <c r="S118" s="80">
        <v>8.7999999999999995E-2</v>
      </c>
      <c r="T118" s="79">
        <v>7.43</v>
      </c>
      <c r="U118" s="9">
        <v>9.17</v>
      </c>
      <c r="V118" s="9">
        <v>10.33</v>
      </c>
      <c r="W118" s="9">
        <v>11.02</v>
      </c>
      <c r="X118" s="80">
        <v>11.06</v>
      </c>
      <c r="Y118" s="90">
        <f>(93/100)*10^6*2/10</f>
        <v>186000</v>
      </c>
      <c r="Z118" s="5"/>
      <c r="AA118" s="5">
        <f>(72/100)*10^6*5/10</f>
        <v>360000</v>
      </c>
      <c r="AB118" s="91">
        <f>(80/200)*10^6*5/10</f>
        <v>200000</v>
      </c>
      <c r="AI118" s="2"/>
      <c r="AJ118" s="2"/>
      <c r="AK118" s="2"/>
      <c r="AL118" s="2"/>
      <c r="AM118" s="2"/>
      <c r="AN118" s="2"/>
    </row>
    <row r="119" spans="2:40" ht="14.5" customHeight="1" x14ac:dyDescent="0.25">
      <c r="B119" s="132"/>
      <c r="C119" s="13"/>
      <c r="D119" s="13"/>
      <c r="E119" s="13"/>
      <c r="F119" s="13"/>
      <c r="G119" s="79">
        <v>3.2</v>
      </c>
      <c r="H119" s="9">
        <v>1.97</v>
      </c>
      <c r="I119" s="9">
        <v>0.8</v>
      </c>
      <c r="J119" s="9">
        <v>0.01</v>
      </c>
      <c r="K119" s="80">
        <v>2.3E-2</v>
      </c>
      <c r="L119" s="79">
        <v>0.98</v>
      </c>
      <c r="M119" s="9">
        <v>0.72</v>
      </c>
      <c r="N119" s="9">
        <v>0.1</v>
      </c>
      <c r="O119" s="9">
        <v>0.06</v>
      </c>
      <c r="P119" s="80">
        <v>3.3000000000000002E-2</v>
      </c>
      <c r="Q119" s="79">
        <v>1.01</v>
      </c>
      <c r="R119" s="9"/>
      <c r="S119" s="80"/>
      <c r="T119" s="79"/>
      <c r="U119" s="9"/>
      <c r="V119" s="9"/>
      <c r="W119" s="9"/>
      <c r="X119" s="80"/>
      <c r="Y119" s="90">
        <f>(93/100)*10^6*2/10</f>
        <v>186000</v>
      </c>
      <c r="Z119" s="5"/>
      <c r="AA119" s="5">
        <f>(96/100)*10^6*5/10</f>
        <v>480000</v>
      </c>
      <c r="AB119" s="91">
        <f>(80/200)*10^6*5/10</f>
        <v>200000</v>
      </c>
      <c r="AI119" s="2"/>
      <c r="AJ119" s="2"/>
      <c r="AK119" s="2"/>
      <c r="AL119" s="2"/>
      <c r="AM119" s="2"/>
      <c r="AN119" s="2"/>
    </row>
    <row r="120" spans="2:40" ht="14.5" customHeight="1" x14ac:dyDescent="0.25">
      <c r="B120" s="132"/>
      <c r="C120" s="13"/>
      <c r="D120" s="13"/>
      <c r="E120" s="13"/>
      <c r="F120" s="14" t="s">
        <v>7</v>
      </c>
      <c r="G120" s="79">
        <f>AVERAGE(G118:G119)</f>
        <v>3.2</v>
      </c>
      <c r="H120" s="9">
        <f t="shared" ref="H120:K120" si="10">AVERAGE(H118:H119)</f>
        <v>1.8149999999999999</v>
      </c>
      <c r="I120" s="9">
        <f t="shared" si="10"/>
        <v>0.79</v>
      </c>
      <c r="J120" s="20">
        <f t="shared" si="10"/>
        <v>5.0000000000000001E-3</v>
      </c>
      <c r="K120" s="80">
        <f t="shared" si="10"/>
        <v>1.4E-2</v>
      </c>
      <c r="L120" s="79">
        <f>AVERAGE(L118:L119)</f>
        <v>0.98</v>
      </c>
      <c r="M120" s="9">
        <f t="shared" ref="M120:P120" si="11">AVERAGE(M118:M119)</f>
        <v>0.71499999999999997</v>
      </c>
      <c r="N120" s="9">
        <f t="shared" si="11"/>
        <v>0.1</v>
      </c>
      <c r="O120" s="20">
        <f t="shared" si="11"/>
        <v>6.5000000000000002E-2</v>
      </c>
      <c r="P120" s="80">
        <f t="shared" si="11"/>
        <v>3.3500000000000002E-2</v>
      </c>
      <c r="Q120" s="79">
        <f>AVERAGE(Q118:Q119)</f>
        <v>1.01</v>
      </c>
      <c r="R120" s="9">
        <f t="shared" ref="R120" si="12">AVERAGE(R118:R119)</f>
        <v>0.15</v>
      </c>
      <c r="S120" s="80">
        <f t="shared" ref="S120" si="13">AVERAGE(S118:S119)</f>
        <v>8.7999999999999995E-2</v>
      </c>
      <c r="T120" s="79">
        <f>AVERAGE(T118:T119)</f>
        <v>7.43</v>
      </c>
      <c r="U120" s="9">
        <f t="shared" ref="U120:V120" si="14">AVERAGE(U118:U119)</f>
        <v>9.17</v>
      </c>
      <c r="V120" s="9">
        <f t="shared" si="14"/>
        <v>10.33</v>
      </c>
      <c r="W120" s="9">
        <f>AVERAGE(W118:W119)</f>
        <v>11.02</v>
      </c>
      <c r="X120" s="80">
        <f t="shared" ref="X120" si="15">AVERAGE(X118:X119)</f>
        <v>11.06</v>
      </c>
      <c r="Y120" s="90">
        <f>AVERAGE(Y118:Y119)</f>
        <v>186000</v>
      </c>
      <c r="Z120" s="5"/>
      <c r="AA120" s="5">
        <f t="shared" ref="AA120:AB120" si="16">AVERAGE(AA118:AA119)</f>
        <v>420000</v>
      </c>
      <c r="AB120" s="91">
        <f t="shared" si="16"/>
        <v>200000</v>
      </c>
      <c r="AI120" s="2"/>
      <c r="AJ120" s="2"/>
      <c r="AK120" s="2"/>
      <c r="AL120" s="2"/>
      <c r="AM120" s="2"/>
      <c r="AN120" s="2"/>
    </row>
    <row r="121" spans="2:40" ht="15" customHeight="1" thickBot="1" x14ac:dyDescent="0.3">
      <c r="B121" s="132"/>
      <c r="C121" s="13"/>
      <c r="D121" s="13"/>
      <c r="E121" s="13"/>
      <c r="F121" s="31" t="s">
        <v>8</v>
      </c>
      <c r="G121" s="86">
        <f>(STDEV(G118:G119))/(SQRT(COUNT(G118:G119)))</f>
        <v>0</v>
      </c>
      <c r="H121" s="87">
        <f t="shared" ref="H121:K121" si="17">(STDEV(H118:H119))/(SQRT(COUNT(H118:H119)))</f>
        <v>0.155</v>
      </c>
      <c r="I121" s="87">
        <f t="shared" si="17"/>
        <v>1.0000000000000009E-2</v>
      </c>
      <c r="J121" s="87">
        <f t="shared" si="17"/>
        <v>5.0000000000000001E-3</v>
      </c>
      <c r="K121" s="88">
        <f t="shared" si="17"/>
        <v>8.9999999999999959E-3</v>
      </c>
      <c r="L121" s="86">
        <f>(STDEV(L118:L119))/(SQRT(COUNT(L118:L119)))</f>
        <v>0</v>
      </c>
      <c r="M121" s="87">
        <f t="shared" ref="M121:P121" si="18">(STDEV(M118:M119))/(SQRT(COUNT(M118:M119)))</f>
        <v>5.0000000000000044E-3</v>
      </c>
      <c r="N121" s="87">
        <f t="shared" si="18"/>
        <v>0</v>
      </c>
      <c r="O121" s="87">
        <f t="shared" si="18"/>
        <v>5.0000000000000044E-3</v>
      </c>
      <c r="P121" s="88">
        <f t="shared" si="18"/>
        <v>5.0000000000000044E-4</v>
      </c>
      <c r="Q121" s="86">
        <f>(STDEV(Q118:Q119))/(SQRT(COUNT(Q118:Q119)))</f>
        <v>0</v>
      </c>
      <c r="R121" s="87"/>
      <c r="S121" s="88"/>
      <c r="T121" s="86"/>
      <c r="U121" s="87"/>
      <c r="V121" s="87"/>
      <c r="W121" s="87"/>
      <c r="X121" s="88"/>
      <c r="Y121" s="96">
        <f>(STDEV(Y118:Y119))/(SQRT(COUNT(Y118:Y119)))</f>
        <v>0</v>
      </c>
      <c r="Z121" s="97"/>
      <c r="AA121" s="97">
        <f t="shared" ref="AA121:AB121" si="19">(STDEV(AA118:AA119))/(SQRT(COUNT(AA118:AA119)))</f>
        <v>59999.999999999993</v>
      </c>
      <c r="AB121" s="98">
        <f t="shared" si="19"/>
        <v>0</v>
      </c>
      <c r="AI121" s="2"/>
      <c r="AJ121" s="2"/>
      <c r="AK121" s="2"/>
      <c r="AL121" s="2"/>
      <c r="AM121" s="2"/>
      <c r="AN121" s="2"/>
    </row>
    <row r="122" spans="2:40" x14ac:dyDescent="0.25">
      <c r="D122" s="2"/>
      <c r="G122" s="2"/>
      <c r="H122" s="2"/>
      <c r="I122" s="2"/>
      <c r="J122" s="2"/>
      <c r="K122" s="2"/>
      <c r="AC122" s="2"/>
      <c r="AD122" s="2"/>
      <c r="AE122" s="2"/>
      <c r="AI122" s="2"/>
      <c r="AJ122" s="2"/>
      <c r="AK122" s="2"/>
      <c r="AL122" s="2"/>
      <c r="AM122" s="2"/>
      <c r="AN122" s="2"/>
    </row>
    <row r="123" spans="2:40" x14ac:dyDescent="0.25">
      <c r="D123" s="2"/>
      <c r="G123" s="2"/>
      <c r="H123" s="2"/>
      <c r="I123" s="2"/>
      <c r="J123" s="2"/>
      <c r="K123" s="2"/>
      <c r="AC123" s="2"/>
      <c r="AD123" s="2"/>
      <c r="AE123" s="2"/>
      <c r="AI123" s="2"/>
      <c r="AJ123" s="2"/>
      <c r="AK123" s="2"/>
      <c r="AL123" s="2"/>
      <c r="AM123" s="2"/>
      <c r="AN123" s="2"/>
    </row>
    <row r="124" spans="2:40" x14ac:dyDescent="0.25">
      <c r="D124" s="2"/>
      <c r="G124" s="2"/>
      <c r="H124" s="2"/>
      <c r="I124" s="2"/>
      <c r="J124" s="2"/>
      <c r="K124" s="2"/>
      <c r="AC124" s="2"/>
      <c r="AD124" s="2"/>
      <c r="AE124" s="2"/>
      <c r="AI124" s="2"/>
      <c r="AJ124" s="2"/>
      <c r="AK124" s="2"/>
      <c r="AL124" s="2"/>
      <c r="AM124" s="2"/>
      <c r="AN124" s="2"/>
    </row>
    <row r="125" spans="2:40" x14ac:dyDescent="0.25">
      <c r="D125" s="2"/>
      <c r="G125" s="2"/>
      <c r="H125" s="2"/>
      <c r="I125" s="2"/>
      <c r="J125" s="2"/>
      <c r="K125" s="2"/>
      <c r="AC125" s="2"/>
      <c r="AD125" s="2"/>
      <c r="AE125" s="2"/>
      <c r="AI125" s="2"/>
      <c r="AJ125" s="2"/>
      <c r="AK125" s="2"/>
      <c r="AL125" s="2"/>
      <c r="AM125" s="2"/>
      <c r="AN125" s="2"/>
    </row>
    <row r="126" spans="2:40" x14ac:dyDescent="0.25">
      <c r="D126" s="2"/>
      <c r="G126" s="2"/>
      <c r="H126" s="2"/>
      <c r="I126" s="2"/>
      <c r="J126" s="2"/>
      <c r="K126" s="2"/>
      <c r="AC126" s="2"/>
      <c r="AD126" s="2"/>
      <c r="AE126" s="2"/>
      <c r="AI126" s="2"/>
      <c r="AJ126" s="2"/>
      <c r="AK126" s="2"/>
      <c r="AL126" s="2"/>
      <c r="AM126" s="2"/>
      <c r="AN126" s="2"/>
    </row>
    <row r="127" spans="2:40" x14ac:dyDescent="0.25">
      <c r="D127" s="2"/>
      <c r="G127" s="2"/>
      <c r="H127" s="2"/>
      <c r="I127" s="2"/>
      <c r="J127" s="2"/>
      <c r="K127" s="2"/>
      <c r="AC127" s="2"/>
      <c r="AD127" s="2"/>
      <c r="AE127" s="2"/>
      <c r="AI127" s="2"/>
      <c r="AJ127" s="2"/>
      <c r="AK127" s="2"/>
      <c r="AL127" s="2"/>
      <c r="AM127" s="2"/>
      <c r="AN127" s="2"/>
    </row>
    <row r="128" spans="2:40" x14ac:dyDescent="0.25">
      <c r="D128" s="2"/>
      <c r="G128" s="2"/>
      <c r="H128" s="2"/>
      <c r="I128" s="2"/>
      <c r="J128" s="2"/>
      <c r="K128" s="2"/>
      <c r="AC128" s="2"/>
      <c r="AD128" s="2"/>
      <c r="AE128" s="2"/>
      <c r="AI128" s="2"/>
      <c r="AJ128" s="2"/>
      <c r="AK128" s="2"/>
      <c r="AL128" s="2"/>
      <c r="AM128" s="2"/>
      <c r="AN128" s="2"/>
    </row>
    <row r="129" spans="4:40" x14ac:dyDescent="0.25">
      <c r="D129" s="2"/>
      <c r="G129" s="2"/>
      <c r="H129" s="2"/>
      <c r="I129" s="2"/>
      <c r="J129" s="2"/>
      <c r="K129" s="2"/>
      <c r="AC129" s="2"/>
      <c r="AD129" s="2"/>
      <c r="AE129" s="2"/>
      <c r="AI129" s="2"/>
      <c r="AJ129" s="2"/>
      <c r="AK129" s="2"/>
      <c r="AL129" s="2"/>
      <c r="AM129" s="2"/>
      <c r="AN129" s="2"/>
    </row>
    <row r="130" spans="4:40" x14ac:dyDescent="0.25">
      <c r="D130" s="2"/>
      <c r="G130" s="2"/>
      <c r="H130" s="2"/>
      <c r="I130" s="2"/>
      <c r="J130" s="2"/>
      <c r="K130" s="2"/>
      <c r="AC130" s="2"/>
      <c r="AD130" s="2"/>
      <c r="AE130" s="2"/>
      <c r="AI130" s="2"/>
      <c r="AJ130" s="2"/>
      <c r="AK130" s="2"/>
      <c r="AL130" s="2"/>
      <c r="AM130" s="2"/>
      <c r="AN130" s="2"/>
    </row>
    <row r="131" spans="4:40" x14ac:dyDescent="0.25">
      <c r="D131" s="2"/>
      <c r="G131" s="2"/>
      <c r="H131" s="2"/>
      <c r="I131" s="2"/>
      <c r="J131" s="2"/>
      <c r="K131" s="2"/>
      <c r="AC131" s="2"/>
      <c r="AD131" s="2"/>
      <c r="AE131" s="2"/>
      <c r="AI131" s="2"/>
      <c r="AJ131" s="2"/>
      <c r="AK131" s="2"/>
      <c r="AL131" s="2"/>
      <c r="AM131" s="2"/>
      <c r="AN131" s="2"/>
    </row>
    <row r="132" spans="4:40" x14ac:dyDescent="0.25">
      <c r="D132" s="2"/>
      <c r="G132" s="2"/>
      <c r="H132" s="2"/>
      <c r="I132" s="2"/>
      <c r="J132" s="2"/>
      <c r="K132" s="2"/>
      <c r="AC132" s="2"/>
      <c r="AD132" s="2"/>
      <c r="AE132" s="2"/>
      <c r="AI132" s="2"/>
      <c r="AJ132" s="2"/>
      <c r="AK132" s="2"/>
      <c r="AL132" s="2"/>
      <c r="AM132" s="2"/>
      <c r="AN132" s="2"/>
    </row>
    <row r="133" spans="4:40" x14ac:dyDescent="0.25">
      <c r="D133" s="2"/>
      <c r="G133" s="2"/>
      <c r="H133" s="2"/>
      <c r="I133" s="2"/>
      <c r="J133" s="2"/>
      <c r="K133" s="2"/>
      <c r="AC133" s="2"/>
      <c r="AD133" s="2"/>
      <c r="AE133" s="2"/>
      <c r="AI133" s="2"/>
      <c r="AJ133" s="2"/>
      <c r="AK133" s="2"/>
      <c r="AL133" s="2"/>
      <c r="AM133" s="2"/>
      <c r="AN133" s="2"/>
    </row>
    <row r="134" spans="4:40" x14ac:dyDescent="0.25">
      <c r="D134" s="2"/>
      <c r="G134" s="2"/>
      <c r="H134" s="2"/>
      <c r="I134" s="2"/>
      <c r="J134" s="2"/>
      <c r="K134" s="2"/>
      <c r="AC134" s="2"/>
      <c r="AD134" s="2"/>
      <c r="AE134" s="2"/>
      <c r="AI134" s="2"/>
      <c r="AJ134" s="2"/>
      <c r="AK134" s="2"/>
      <c r="AL134" s="2"/>
      <c r="AM134" s="2"/>
      <c r="AN134" s="2"/>
    </row>
    <row r="135" spans="4:40" x14ac:dyDescent="0.25">
      <c r="D135" s="2"/>
      <c r="G135" s="2"/>
      <c r="H135" s="2"/>
      <c r="I135" s="2"/>
      <c r="J135" s="2"/>
      <c r="K135" s="2"/>
      <c r="AC135" s="2"/>
      <c r="AD135" s="2"/>
      <c r="AE135" s="2"/>
      <c r="AI135" s="2"/>
      <c r="AJ135" s="2"/>
      <c r="AK135" s="2"/>
      <c r="AL135" s="2"/>
      <c r="AM135" s="2"/>
      <c r="AN135" s="2"/>
    </row>
    <row r="136" spans="4:40" x14ac:dyDescent="0.25">
      <c r="D136" s="2"/>
      <c r="G136" s="2"/>
      <c r="H136" s="2"/>
      <c r="I136" s="2"/>
      <c r="J136" s="2"/>
      <c r="K136" s="2"/>
      <c r="AC136" s="2"/>
      <c r="AD136" s="2"/>
      <c r="AE136" s="2"/>
      <c r="AI136" s="2"/>
      <c r="AJ136" s="2"/>
      <c r="AK136" s="2"/>
      <c r="AL136" s="2"/>
      <c r="AM136" s="2"/>
      <c r="AN136" s="2"/>
    </row>
    <row r="137" spans="4:40" x14ac:dyDescent="0.25">
      <c r="D137" s="2"/>
      <c r="G137" s="2"/>
      <c r="H137" s="2"/>
      <c r="I137" s="2"/>
      <c r="J137" s="2"/>
      <c r="K137" s="2"/>
      <c r="AC137" s="2"/>
      <c r="AD137" s="2"/>
      <c r="AE137" s="2"/>
      <c r="AI137" s="2"/>
      <c r="AJ137" s="2"/>
      <c r="AK137" s="2"/>
      <c r="AL137" s="2"/>
      <c r="AM137" s="2"/>
      <c r="AN137" s="2"/>
    </row>
    <row r="138" spans="4:40" x14ac:dyDescent="0.25">
      <c r="D138" s="2"/>
      <c r="G138" s="2"/>
      <c r="H138" s="2"/>
      <c r="I138" s="2"/>
      <c r="J138" s="2"/>
      <c r="K138" s="2"/>
      <c r="AC138" s="2"/>
      <c r="AD138" s="2"/>
      <c r="AE138" s="2"/>
      <c r="AI138" s="2"/>
      <c r="AJ138" s="2"/>
      <c r="AK138" s="2"/>
      <c r="AL138" s="2"/>
      <c r="AM138" s="2"/>
      <c r="AN138" s="2"/>
    </row>
    <row r="139" spans="4:40" x14ac:dyDescent="0.25">
      <c r="D139" s="2"/>
      <c r="G139" s="2"/>
      <c r="H139" s="2"/>
      <c r="I139" s="2"/>
      <c r="J139" s="2"/>
      <c r="K139" s="2"/>
      <c r="AC139" s="2"/>
      <c r="AD139" s="2"/>
      <c r="AE139" s="2"/>
      <c r="AI139" s="2"/>
      <c r="AJ139" s="2"/>
      <c r="AK139" s="2"/>
      <c r="AL139" s="2"/>
      <c r="AM139" s="2"/>
      <c r="AN139" s="2"/>
    </row>
    <row r="140" spans="4:40" x14ac:dyDescent="0.25">
      <c r="D140" s="2"/>
      <c r="G140" s="2"/>
      <c r="H140" s="2"/>
      <c r="I140" s="2"/>
      <c r="J140" s="2"/>
      <c r="K140" s="2"/>
      <c r="AC140" s="2"/>
      <c r="AD140" s="2"/>
      <c r="AE140" s="2"/>
      <c r="AI140" s="2"/>
      <c r="AJ140" s="2"/>
      <c r="AK140" s="2"/>
      <c r="AL140" s="2"/>
      <c r="AM140" s="2"/>
      <c r="AN140" s="2"/>
    </row>
    <row r="141" spans="4:40" x14ac:dyDescent="0.25">
      <c r="D141" s="2"/>
      <c r="G141" s="2"/>
      <c r="H141" s="2"/>
      <c r="I141" s="2"/>
      <c r="J141" s="2"/>
      <c r="K141" s="2"/>
      <c r="AC141" s="2"/>
      <c r="AD141" s="2"/>
      <c r="AE141" s="2"/>
      <c r="AI141" s="2"/>
      <c r="AJ141" s="2"/>
      <c r="AK141" s="2"/>
      <c r="AL141" s="2"/>
      <c r="AM141" s="2"/>
      <c r="AN141" s="2"/>
    </row>
    <row r="142" spans="4:40" x14ac:dyDescent="0.25">
      <c r="D142" s="2"/>
      <c r="G142" s="2"/>
      <c r="H142" s="2"/>
      <c r="I142" s="2"/>
      <c r="J142" s="2"/>
      <c r="K142" s="2"/>
      <c r="AC142" s="2"/>
      <c r="AD142" s="2"/>
      <c r="AE142" s="2"/>
      <c r="AI142" s="2"/>
      <c r="AJ142" s="2"/>
      <c r="AK142" s="2"/>
      <c r="AL142" s="2"/>
      <c r="AM142" s="2"/>
      <c r="AN142" s="2"/>
    </row>
    <row r="143" spans="4:40" x14ac:dyDescent="0.25">
      <c r="D143" s="2"/>
      <c r="G143" s="2"/>
      <c r="H143" s="2"/>
      <c r="I143" s="2"/>
      <c r="J143" s="2"/>
      <c r="K143" s="2"/>
      <c r="AC143" s="2"/>
      <c r="AD143" s="2"/>
      <c r="AE143" s="2"/>
      <c r="AI143" s="2"/>
      <c r="AJ143" s="2"/>
      <c r="AK143" s="2"/>
      <c r="AL143" s="2"/>
      <c r="AM143" s="2"/>
      <c r="AN143" s="2"/>
    </row>
    <row r="144" spans="4:40" x14ac:dyDescent="0.25">
      <c r="D144" s="2"/>
      <c r="G144" s="2"/>
      <c r="H144" s="2"/>
      <c r="I144" s="2"/>
      <c r="J144" s="2"/>
      <c r="K144" s="2"/>
      <c r="AC144" s="2"/>
      <c r="AD144" s="2"/>
      <c r="AE144" s="2"/>
      <c r="AI144" s="2"/>
      <c r="AJ144" s="2"/>
      <c r="AK144" s="2"/>
      <c r="AL144" s="2"/>
      <c r="AM144" s="2"/>
      <c r="AN144" s="2"/>
    </row>
    <row r="145" spans="4:40" x14ac:dyDescent="0.25">
      <c r="D145" s="2"/>
      <c r="G145" s="2"/>
      <c r="H145" s="2"/>
      <c r="I145" s="2"/>
      <c r="J145" s="2"/>
      <c r="K145" s="2"/>
      <c r="AC145" s="2"/>
      <c r="AD145" s="2"/>
      <c r="AE145" s="2"/>
      <c r="AI145" s="2"/>
      <c r="AJ145" s="2"/>
      <c r="AK145" s="2"/>
      <c r="AL145" s="2"/>
      <c r="AM145" s="2"/>
      <c r="AN145" s="2"/>
    </row>
    <row r="146" spans="4:40" x14ac:dyDescent="0.25">
      <c r="D146" s="2"/>
      <c r="G146" s="2"/>
      <c r="H146" s="2"/>
      <c r="I146" s="2"/>
      <c r="J146" s="2"/>
      <c r="K146" s="2"/>
      <c r="AC146" s="2"/>
      <c r="AD146" s="2"/>
      <c r="AE146" s="2"/>
      <c r="AI146" s="2"/>
      <c r="AJ146" s="2"/>
      <c r="AK146" s="2"/>
      <c r="AL146" s="2"/>
      <c r="AM146" s="2"/>
      <c r="AN146" s="2"/>
    </row>
    <row r="147" spans="4:40" x14ac:dyDescent="0.25">
      <c r="D147" s="2"/>
      <c r="G147" s="2"/>
      <c r="H147" s="2"/>
      <c r="I147" s="2"/>
      <c r="J147" s="2"/>
      <c r="K147" s="2"/>
      <c r="AC147" s="2"/>
      <c r="AD147" s="2"/>
      <c r="AE147" s="2"/>
      <c r="AI147" s="2"/>
      <c r="AJ147" s="2"/>
      <c r="AK147" s="2"/>
      <c r="AL147" s="2"/>
      <c r="AM147" s="2"/>
      <c r="AN147" s="2"/>
    </row>
    <row r="148" spans="4:40" x14ac:dyDescent="0.25">
      <c r="D148" s="2"/>
      <c r="G148" s="2"/>
      <c r="H148" s="2"/>
      <c r="I148" s="2"/>
      <c r="J148" s="2"/>
      <c r="K148" s="2"/>
      <c r="AC148" s="2"/>
      <c r="AD148" s="2"/>
      <c r="AE148" s="2"/>
      <c r="AI148" s="2"/>
      <c r="AJ148" s="2"/>
      <c r="AK148" s="2"/>
      <c r="AL148" s="2"/>
      <c r="AM148" s="2"/>
      <c r="AN148" s="2"/>
    </row>
    <row r="149" spans="4:40" x14ac:dyDescent="0.25">
      <c r="D149" s="2"/>
      <c r="G149" s="2"/>
      <c r="H149" s="2"/>
      <c r="I149" s="2"/>
      <c r="J149" s="2"/>
      <c r="K149" s="2"/>
      <c r="AC149" s="2"/>
      <c r="AD149" s="2"/>
      <c r="AE149" s="2"/>
      <c r="AI149" s="2"/>
      <c r="AJ149" s="2"/>
      <c r="AK149" s="2"/>
      <c r="AL149" s="2"/>
      <c r="AM149" s="2"/>
      <c r="AN149" s="2"/>
    </row>
    <row r="150" spans="4:40" x14ac:dyDescent="0.25">
      <c r="D150" s="2"/>
      <c r="G150" s="2"/>
      <c r="H150" s="2"/>
      <c r="I150" s="2"/>
      <c r="J150" s="2"/>
      <c r="K150" s="2"/>
      <c r="AC150" s="2"/>
      <c r="AD150" s="2"/>
      <c r="AE150" s="2"/>
      <c r="AI150" s="2"/>
      <c r="AJ150" s="2"/>
      <c r="AK150" s="2"/>
      <c r="AL150" s="2"/>
      <c r="AM150" s="2"/>
      <c r="AN150" s="2"/>
    </row>
    <row r="151" spans="4:40" x14ac:dyDescent="0.25">
      <c r="D151" s="2"/>
      <c r="G151" s="2"/>
      <c r="H151" s="2"/>
      <c r="I151" s="2"/>
      <c r="J151" s="2"/>
      <c r="K151" s="2"/>
      <c r="AC151" s="2"/>
      <c r="AD151" s="2"/>
      <c r="AE151" s="2"/>
      <c r="AI151" s="2"/>
      <c r="AJ151" s="2"/>
      <c r="AK151" s="2"/>
      <c r="AL151" s="2"/>
      <c r="AM151" s="2"/>
      <c r="AN151" s="2"/>
    </row>
    <row r="152" spans="4:40" x14ac:dyDescent="0.25">
      <c r="D152" s="2"/>
      <c r="G152" s="2"/>
      <c r="H152" s="2"/>
      <c r="I152" s="2"/>
      <c r="J152" s="2"/>
      <c r="K152" s="2"/>
      <c r="AC152" s="2"/>
      <c r="AD152" s="2"/>
      <c r="AE152" s="2"/>
      <c r="AI152" s="2"/>
      <c r="AJ152" s="2"/>
      <c r="AK152" s="2"/>
      <c r="AL152" s="2"/>
      <c r="AM152" s="2"/>
      <c r="AN152" s="2"/>
    </row>
    <row r="153" spans="4:40" x14ac:dyDescent="0.25">
      <c r="D153" s="2"/>
      <c r="G153" s="2"/>
      <c r="H153" s="2"/>
      <c r="I153" s="2"/>
      <c r="J153" s="2"/>
      <c r="K153" s="2"/>
      <c r="AC153" s="2"/>
      <c r="AD153" s="2"/>
      <c r="AE153" s="2"/>
      <c r="AI153" s="2"/>
      <c r="AJ153" s="2"/>
      <c r="AK153" s="2"/>
      <c r="AL153" s="2"/>
      <c r="AM153" s="2"/>
      <c r="AN153" s="2"/>
    </row>
    <row r="154" spans="4:40" x14ac:dyDescent="0.25">
      <c r="D154" s="2"/>
      <c r="G154" s="2"/>
      <c r="H154" s="2"/>
      <c r="I154" s="2"/>
      <c r="J154" s="2"/>
      <c r="K154" s="2"/>
      <c r="AC154" s="2"/>
      <c r="AD154" s="2"/>
      <c r="AE154" s="2"/>
      <c r="AI154" s="2"/>
      <c r="AJ154" s="2"/>
      <c r="AK154" s="2"/>
      <c r="AL154" s="2"/>
      <c r="AM154" s="2"/>
      <c r="AN154" s="2"/>
    </row>
    <row r="155" spans="4:40" x14ac:dyDescent="0.25">
      <c r="D155" s="2"/>
      <c r="G155" s="2"/>
      <c r="H155" s="2"/>
      <c r="I155" s="2"/>
      <c r="J155" s="2"/>
      <c r="K155" s="2"/>
      <c r="AC155" s="2"/>
      <c r="AD155" s="2"/>
      <c r="AE155" s="2"/>
      <c r="AI155" s="2"/>
      <c r="AJ155" s="2"/>
      <c r="AK155" s="2"/>
      <c r="AL155" s="2"/>
      <c r="AM155" s="2"/>
      <c r="AN155" s="2"/>
    </row>
    <row r="156" spans="4:40" x14ac:dyDescent="0.25">
      <c r="D156" s="2"/>
      <c r="G156" s="2"/>
      <c r="H156" s="2"/>
      <c r="I156" s="2"/>
      <c r="J156" s="2"/>
      <c r="K156" s="2"/>
      <c r="AC156" s="2"/>
      <c r="AD156" s="2"/>
      <c r="AE156" s="2"/>
      <c r="AI156" s="2"/>
      <c r="AJ156" s="2"/>
      <c r="AK156" s="2"/>
      <c r="AL156" s="2"/>
      <c r="AM156" s="2"/>
      <c r="AN156" s="2"/>
    </row>
    <row r="157" spans="4:40" x14ac:dyDescent="0.25">
      <c r="D157" s="2"/>
      <c r="G157" s="2"/>
      <c r="H157" s="2"/>
      <c r="I157" s="2"/>
      <c r="J157" s="2"/>
      <c r="K157" s="2"/>
      <c r="AC157" s="2"/>
      <c r="AD157" s="2"/>
      <c r="AE157" s="2"/>
      <c r="AI157" s="2"/>
      <c r="AJ157" s="2"/>
      <c r="AK157" s="2"/>
      <c r="AL157" s="2"/>
      <c r="AM157" s="2"/>
      <c r="AN157" s="2"/>
    </row>
    <row r="158" spans="4:40" x14ac:dyDescent="0.25">
      <c r="D158" s="2"/>
      <c r="G158" s="2"/>
      <c r="H158" s="2"/>
      <c r="I158" s="2"/>
      <c r="J158" s="2"/>
      <c r="K158" s="2"/>
      <c r="AC158" s="2"/>
      <c r="AD158" s="2"/>
      <c r="AE158" s="2"/>
      <c r="AI158" s="2"/>
      <c r="AJ158" s="2"/>
      <c r="AK158" s="2"/>
      <c r="AL158" s="2"/>
      <c r="AM158" s="2"/>
      <c r="AN158" s="2"/>
    </row>
    <row r="159" spans="4:40" x14ac:dyDescent="0.25">
      <c r="D159" s="2"/>
      <c r="G159" s="2"/>
      <c r="H159" s="2"/>
      <c r="I159" s="2"/>
      <c r="J159" s="2"/>
      <c r="K159" s="2"/>
      <c r="AC159" s="2"/>
      <c r="AD159" s="2"/>
      <c r="AE159" s="2"/>
      <c r="AI159" s="2"/>
      <c r="AJ159" s="2"/>
      <c r="AK159" s="2"/>
      <c r="AL159" s="2"/>
      <c r="AM159" s="2"/>
      <c r="AN159" s="2"/>
    </row>
    <row r="160" spans="4:40" x14ac:dyDescent="0.25">
      <c r="D160" s="2"/>
      <c r="G160" s="2"/>
      <c r="H160" s="2"/>
      <c r="I160" s="2"/>
      <c r="J160" s="2"/>
      <c r="K160" s="2"/>
      <c r="AC160" s="2"/>
      <c r="AD160" s="2"/>
      <c r="AE160" s="2"/>
      <c r="AI160" s="2"/>
      <c r="AJ160" s="2"/>
      <c r="AK160" s="2"/>
      <c r="AL160" s="2"/>
      <c r="AM160" s="2"/>
      <c r="AN160" s="2"/>
    </row>
    <row r="161" spans="2:57" x14ac:dyDescent="0.25">
      <c r="D161" s="2"/>
      <c r="G161" s="2"/>
      <c r="H161" s="2"/>
      <c r="I161" s="2"/>
      <c r="J161" s="2"/>
      <c r="K161" s="2"/>
      <c r="AC161" s="2"/>
      <c r="AD161" s="2"/>
      <c r="AE161" s="2"/>
      <c r="AI161" s="2"/>
      <c r="AJ161" s="2"/>
      <c r="AK161" s="2"/>
      <c r="AL161" s="2"/>
      <c r="AM161" s="2"/>
      <c r="AN161" s="2"/>
    </row>
    <row r="162" spans="2:57" x14ac:dyDescent="0.25">
      <c r="D162" s="2"/>
      <c r="G162" s="2"/>
      <c r="H162" s="2"/>
      <c r="I162" s="2"/>
      <c r="J162" s="2"/>
      <c r="K162" s="2"/>
      <c r="AC162" s="2"/>
      <c r="AD162" s="2"/>
      <c r="AE162" s="2"/>
      <c r="AI162" s="2"/>
      <c r="AJ162" s="2"/>
      <c r="AK162" s="2"/>
      <c r="AL162" s="2"/>
      <c r="AM162" s="2"/>
      <c r="AN162" s="2"/>
    </row>
    <row r="163" spans="2:57" x14ac:dyDescent="0.25">
      <c r="D163" s="2"/>
      <c r="G163" s="2"/>
      <c r="H163" s="2"/>
      <c r="I163" s="2"/>
      <c r="J163" s="2"/>
      <c r="K163" s="2"/>
      <c r="AC163" s="2"/>
      <c r="AD163" s="2"/>
      <c r="AE163" s="2"/>
      <c r="AI163" s="2"/>
      <c r="AJ163" s="2"/>
      <c r="AK163" s="2"/>
      <c r="AL163" s="2"/>
      <c r="AM163" s="2"/>
      <c r="AN163" s="2"/>
    </row>
    <row r="164" spans="2:57" s="9" customFormat="1" x14ac:dyDescent="0.2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68"/>
      <c r="Z164" s="68"/>
      <c r="AA164" s="68"/>
      <c r="AB164" s="68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</row>
    <row r="165" spans="2:57" s="9" customFormat="1" x14ac:dyDescent="0.2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68"/>
      <c r="Z165" s="68"/>
      <c r="AA165" s="68"/>
      <c r="AB165" s="68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</row>
    <row r="166" spans="2:57" s="9" customFormat="1" x14ac:dyDescent="0.2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68"/>
      <c r="Z166" s="68"/>
      <c r="AA166" s="68"/>
      <c r="AB166" s="68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</row>
    <row r="167" spans="2:57" s="9" customFormat="1" x14ac:dyDescent="0.2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68"/>
      <c r="Z167" s="68"/>
      <c r="AA167" s="68"/>
      <c r="AB167" s="68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</row>
    <row r="168" spans="2:57" s="9" customFormat="1" x14ac:dyDescent="0.2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68"/>
      <c r="Z168" s="68"/>
      <c r="AA168" s="68"/>
      <c r="AB168" s="68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</row>
    <row r="169" spans="2:57" s="9" customFormat="1" x14ac:dyDescent="0.2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68"/>
      <c r="Z169" s="68"/>
      <c r="AA169" s="68"/>
      <c r="AB169" s="68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</row>
    <row r="170" spans="2:57" s="9" customFormat="1" x14ac:dyDescent="0.2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68"/>
      <c r="Z170" s="68"/>
      <c r="AA170" s="68"/>
      <c r="AB170" s="68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</row>
    <row r="171" spans="2:57" s="9" customFormat="1" x14ac:dyDescent="0.25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68"/>
      <c r="Z171" s="68"/>
      <c r="AA171" s="68"/>
      <c r="AB171" s="68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</row>
    <row r="172" spans="2:57" s="9" customFormat="1" x14ac:dyDescent="0.25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68"/>
      <c r="Z172" s="68"/>
      <c r="AA172" s="68"/>
      <c r="AB172" s="68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</row>
    <row r="173" spans="2:57" s="9" customFormat="1" x14ac:dyDescent="0.25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68"/>
      <c r="Z173" s="68"/>
      <c r="AA173" s="68"/>
      <c r="AB173" s="68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</row>
    <row r="174" spans="2:57" s="9" customFormat="1" x14ac:dyDescent="0.25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68"/>
      <c r="Z174" s="68"/>
      <c r="AA174" s="68"/>
      <c r="AB174" s="68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</row>
    <row r="175" spans="2:57" s="9" customFormat="1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68"/>
      <c r="Z175" s="68"/>
      <c r="AA175" s="68"/>
      <c r="AB175" s="68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</row>
    <row r="176" spans="2:57" s="9" customFormat="1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68"/>
      <c r="Z176" s="68"/>
      <c r="AA176" s="68"/>
      <c r="AB176" s="68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</row>
    <row r="177" spans="2:57" s="9" customFormat="1" x14ac:dyDescent="0.25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68"/>
      <c r="Z177" s="68"/>
      <c r="AA177" s="68"/>
      <c r="AB177" s="68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</row>
    <row r="178" spans="2:57" s="9" customFormat="1" x14ac:dyDescent="0.25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68"/>
      <c r="Z178" s="68"/>
      <c r="AA178" s="68"/>
      <c r="AB178" s="68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</row>
    <row r="179" spans="2:57" s="9" customFormat="1" x14ac:dyDescent="0.25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68"/>
      <c r="Z179" s="68"/>
      <c r="AA179" s="68"/>
      <c r="AB179" s="68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</row>
    <row r="180" spans="2:57" x14ac:dyDescent="0.25">
      <c r="D180" s="2"/>
      <c r="G180" s="2"/>
      <c r="H180" s="2"/>
      <c r="I180" s="2"/>
      <c r="J180" s="2"/>
      <c r="K180" s="2"/>
      <c r="AC180" s="2"/>
      <c r="AD180" s="2"/>
      <c r="AE180" s="2"/>
      <c r="AI180" s="2"/>
      <c r="AJ180" s="2"/>
      <c r="AK180" s="2"/>
      <c r="AL180" s="2"/>
      <c r="AM180" s="2"/>
      <c r="AN180" s="2"/>
    </row>
    <row r="181" spans="2:57" x14ac:dyDescent="0.25">
      <c r="D181" s="2"/>
      <c r="G181" s="2"/>
      <c r="H181" s="2"/>
      <c r="I181" s="2"/>
      <c r="J181" s="2"/>
      <c r="K181" s="2"/>
      <c r="AC181" s="2"/>
      <c r="AD181" s="2"/>
      <c r="AE181" s="2"/>
      <c r="AI181" s="2"/>
      <c r="AJ181" s="2"/>
      <c r="AK181" s="2"/>
      <c r="AL181" s="2"/>
      <c r="AM181" s="2"/>
      <c r="AN181" s="2"/>
    </row>
    <row r="182" spans="2:57" x14ac:dyDescent="0.25">
      <c r="D182" s="2"/>
      <c r="G182" s="2"/>
      <c r="H182" s="2"/>
      <c r="I182" s="2"/>
      <c r="J182" s="2"/>
      <c r="K182" s="2"/>
      <c r="AC182" s="2"/>
      <c r="AD182" s="2"/>
      <c r="AE182" s="2"/>
      <c r="AI182" s="2"/>
      <c r="AJ182" s="2"/>
      <c r="AK182" s="2"/>
      <c r="AL182" s="2"/>
      <c r="AM182" s="2"/>
      <c r="AN182" s="2"/>
    </row>
    <row r="183" spans="2:57" x14ac:dyDescent="0.25">
      <c r="D183" s="2"/>
      <c r="G183" s="2"/>
      <c r="H183" s="2"/>
      <c r="I183" s="2"/>
      <c r="J183" s="2"/>
      <c r="K183" s="2"/>
      <c r="AC183" s="2"/>
      <c r="AD183" s="2"/>
      <c r="AE183" s="2"/>
      <c r="AI183" s="2"/>
      <c r="AJ183" s="2"/>
      <c r="AK183" s="2"/>
      <c r="AL183" s="2"/>
      <c r="AM183" s="2"/>
      <c r="AN183" s="2"/>
    </row>
    <row r="184" spans="2:57" x14ac:dyDescent="0.25">
      <c r="D184" s="2"/>
      <c r="G184" s="2"/>
      <c r="H184" s="2"/>
      <c r="I184" s="2"/>
      <c r="J184" s="2"/>
      <c r="K184" s="2"/>
      <c r="AC184" s="2"/>
      <c r="AD184" s="2"/>
      <c r="AE184" s="2"/>
      <c r="AI184" s="2"/>
      <c r="AJ184" s="2"/>
      <c r="AK184" s="2"/>
      <c r="AL184" s="2"/>
      <c r="AM184" s="2"/>
      <c r="AN184" s="2"/>
    </row>
    <row r="185" spans="2:57" s="71" customFormat="1" x14ac:dyDescent="0.2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68"/>
      <c r="Z185" s="68"/>
      <c r="AA185" s="68"/>
      <c r="AB185" s="68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</row>
    <row r="186" spans="2:57" x14ac:dyDescent="0.25">
      <c r="D186" s="2"/>
      <c r="G186" s="2"/>
      <c r="H186" s="2"/>
      <c r="I186" s="2"/>
      <c r="J186" s="2"/>
      <c r="K186" s="2"/>
      <c r="AC186" s="2"/>
      <c r="AD186" s="2"/>
      <c r="AE186" s="2"/>
      <c r="AI186" s="2"/>
      <c r="AJ186" s="2"/>
      <c r="AK186" s="2"/>
      <c r="AL186" s="2"/>
      <c r="AM186" s="2"/>
      <c r="AN186" s="2"/>
    </row>
    <row r="187" spans="2:57" s="71" customFormat="1" x14ac:dyDescent="0.25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68"/>
      <c r="Z187" s="68"/>
      <c r="AA187" s="68"/>
      <c r="AB187" s="68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</row>
    <row r="188" spans="2:57" s="71" customFormat="1" x14ac:dyDescent="0.25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68"/>
      <c r="Z188" s="68"/>
      <c r="AA188" s="68"/>
      <c r="AB188" s="68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</row>
    <row r="189" spans="2:57" s="71" customFormat="1" x14ac:dyDescent="0.25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68"/>
      <c r="Z189" s="68"/>
      <c r="AA189" s="68"/>
      <c r="AB189" s="68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</row>
    <row r="190" spans="2:57" s="71" customFormat="1" x14ac:dyDescent="0.25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68"/>
      <c r="Z190" s="68"/>
      <c r="AA190" s="68"/>
      <c r="AB190" s="68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</row>
    <row r="191" spans="2:57" s="71" customFormat="1" x14ac:dyDescent="0.25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68"/>
      <c r="Z191" s="68"/>
      <c r="AA191" s="68"/>
      <c r="AB191" s="68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</row>
    <row r="192" spans="2:57" s="71" customFormat="1" x14ac:dyDescent="0.25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68"/>
      <c r="Z192" s="68"/>
      <c r="AA192" s="68"/>
      <c r="AB192" s="68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</row>
    <row r="193" spans="2:57" s="71" customFormat="1" x14ac:dyDescent="0.25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68"/>
      <c r="Z193" s="68"/>
      <c r="AA193" s="68"/>
      <c r="AB193" s="68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</row>
    <row r="194" spans="2:57" x14ac:dyDescent="0.25">
      <c r="D194" s="2"/>
      <c r="G194" s="2"/>
      <c r="H194" s="2"/>
      <c r="I194" s="2"/>
      <c r="J194" s="2"/>
      <c r="K194" s="2"/>
      <c r="AC194" s="2"/>
      <c r="AD194" s="2"/>
      <c r="AE194" s="2"/>
      <c r="AI194" s="2"/>
      <c r="AJ194" s="2"/>
      <c r="AK194" s="2"/>
      <c r="AL194" s="2"/>
      <c r="AM194" s="2"/>
      <c r="AN194" s="2"/>
    </row>
    <row r="195" spans="2:57" x14ac:dyDescent="0.25">
      <c r="D195" s="2"/>
      <c r="G195" s="2"/>
      <c r="H195" s="2"/>
      <c r="I195" s="2"/>
      <c r="J195" s="2"/>
      <c r="K195" s="2"/>
      <c r="AC195" s="2"/>
      <c r="AD195" s="2"/>
      <c r="AE195" s="2"/>
      <c r="AI195" s="2"/>
      <c r="AJ195" s="2"/>
      <c r="AK195" s="2"/>
      <c r="AL195" s="2"/>
      <c r="AM195" s="2"/>
      <c r="AN195" s="2"/>
    </row>
    <row r="196" spans="2:57" x14ac:dyDescent="0.25">
      <c r="D196" s="2"/>
      <c r="G196" s="2"/>
      <c r="H196" s="2"/>
      <c r="I196" s="2"/>
      <c r="J196" s="2"/>
      <c r="K196" s="2"/>
      <c r="AC196" s="2"/>
      <c r="AD196" s="2"/>
      <c r="AE196" s="2"/>
      <c r="AI196" s="2"/>
      <c r="AJ196" s="2"/>
      <c r="AK196" s="2"/>
      <c r="AL196" s="2"/>
      <c r="AM196" s="2"/>
      <c r="AN196" s="2"/>
    </row>
    <row r="197" spans="2:57" x14ac:dyDescent="0.25">
      <c r="D197" s="2"/>
      <c r="G197" s="2"/>
      <c r="H197" s="2"/>
      <c r="I197" s="2"/>
      <c r="J197" s="2"/>
      <c r="K197" s="2"/>
      <c r="AC197" s="2"/>
      <c r="AD197" s="2"/>
      <c r="AE197" s="2"/>
      <c r="AI197" s="2"/>
      <c r="AJ197" s="2"/>
      <c r="AK197" s="2"/>
      <c r="AL197" s="2"/>
      <c r="AM197" s="2"/>
      <c r="AN197" s="2"/>
    </row>
    <row r="198" spans="2:57" x14ac:dyDescent="0.25">
      <c r="D198" s="2"/>
      <c r="G198" s="2"/>
      <c r="H198" s="2"/>
      <c r="I198" s="2"/>
      <c r="J198" s="2"/>
      <c r="K198" s="2"/>
      <c r="AC198" s="2"/>
      <c r="AD198" s="2"/>
      <c r="AE198" s="2"/>
      <c r="AI198" s="2"/>
      <c r="AJ198" s="2"/>
      <c r="AK198" s="2"/>
      <c r="AL198" s="2"/>
      <c r="AM198" s="2"/>
      <c r="AN198" s="2"/>
    </row>
    <row r="199" spans="2:57" x14ac:dyDescent="0.25">
      <c r="D199" s="2"/>
      <c r="G199" s="2"/>
      <c r="H199" s="2"/>
      <c r="I199" s="2"/>
      <c r="J199" s="2"/>
      <c r="K199" s="2"/>
      <c r="AC199" s="2"/>
      <c r="AD199" s="2"/>
      <c r="AE199" s="2"/>
      <c r="AI199" s="2"/>
      <c r="AJ199" s="2"/>
      <c r="AK199" s="2"/>
      <c r="AL199" s="2"/>
      <c r="AM199" s="2"/>
      <c r="AN199" s="2"/>
    </row>
    <row r="200" spans="2:57" x14ac:dyDescent="0.25">
      <c r="D200" s="2"/>
      <c r="G200" s="2"/>
      <c r="H200" s="2"/>
      <c r="I200" s="2"/>
      <c r="J200" s="2"/>
      <c r="K200" s="2"/>
      <c r="AC200" s="2"/>
      <c r="AD200" s="2"/>
      <c r="AE200" s="2"/>
      <c r="AI200" s="2"/>
      <c r="AJ200" s="2"/>
      <c r="AK200" s="2"/>
      <c r="AL200" s="2"/>
      <c r="AM200" s="2"/>
      <c r="AN200" s="2"/>
    </row>
    <row r="201" spans="2:57" x14ac:dyDescent="0.25">
      <c r="D201" s="2"/>
      <c r="G201" s="2"/>
      <c r="H201" s="2"/>
      <c r="I201" s="2"/>
      <c r="J201" s="2"/>
      <c r="K201" s="2"/>
      <c r="AC201" s="2"/>
      <c r="AD201" s="2"/>
      <c r="AE201" s="2"/>
      <c r="AI201" s="2"/>
      <c r="AJ201" s="2"/>
      <c r="AK201" s="2"/>
      <c r="AL201" s="2"/>
      <c r="AM201" s="2"/>
      <c r="AN201" s="2"/>
    </row>
    <row r="202" spans="2:57" x14ac:dyDescent="0.25">
      <c r="D202" s="2"/>
      <c r="G202" s="2"/>
      <c r="H202" s="2"/>
      <c r="I202" s="2"/>
      <c r="J202" s="2"/>
      <c r="K202" s="2"/>
      <c r="AC202" s="2"/>
      <c r="AD202" s="2"/>
      <c r="AE202" s="2"/>
      <c r="AI202" s="2"/>
      <c r="AJ202" s="2"/>
      <c r="AK202" s="2"/>
      <c r="AL202" s="2"/>
      <c r="AM202" s="2"/>
      <c r="AN202" s="2"/>
    </row>
    <row r="203" spans="2:57" x14ac:dyDescent="0.25">
      <c r="D203" s="2"/>
      <c r="G203" s="2"/>
      <c r="H203" s="2"/>
      <c r="I203" s="2"/>
      <c r="J203" s="2"/>
      <c r="K203" s="2"/>
      <c r="AC203" s="2"/>
      <c r="AD203" s="2"/>
      <c r="AE203" s="2"/>
      <c r="AI203" s="2"/>
      <c r="AJ203" s="2"/>
      <c r="AK203" s="2"/>
      <c r="AL203" s="2"/>
      <c r="AM203" s="2"/>
      <c r="AN203" s="2"/>
    </row>
    <row r="204" spans="2:57" x14ac:dyDescent="0.25">
      <c r="D204" s="2"/>
      <c r="G204" s="2"/>
      <c r="H204" s="2"/>
      <c r="I204" s="2"/>
      <c r="J204" s="2"/>
      <c r="K204" s="2"/>
      <c r="AC204" s="2"/>
      <c r="AD204" s="2"/>
      <c r="AE204" s="2"/>
      <c r="AI204" s="2"/>
      <c r="AJ204" s="2"/>
      <c r="AK204" s="2"/>
      <c r="AL204" s="2"/>
      <c r="AM204" s="2"/>
      <c r="AN204" s="2"/>
    </row>
    <row r="205" spans="2:57" x14ac:dyDescent="0.25">
      <c r="D205" s="2"/>
      <c r="G205" s="2"/>
      <c r="H205" s="2"/>
      <c r="I205" s="2"/>
      <c r="J205" s="2"/>
      <c r="K205" s="2"/>
      <c r="AC205" s="2"/>
      <c r="AD205" s="2"/>
      <c r="AE205" s="2"/>
      <c r="AI205" s="2"/>
      <c r="AJ205" s="2"/>
      <c r="AK205" s="2"/>
      <c r="AL205" s="2"/>
      <c r="AM205" s="2"/>
      <c r="AN205" s="2"/>
    </row>
    <row r="206" spans="2:57" x14ac:dyDescent="0.25">
      <c r="D206" s="2"/>
      <c r="G206" s="2"/>
      <c r="H206" s="2"/>
      <c r="I206" s="2"/>
      <c r="J206" s="2"/>
      <c r="K206" s="2"/>
      <c r="AC206" s="2"/>
      <c r="AD206" s="2"/>
      <c r="AE206" s="2"/>
      <c r="AI206" s="2"/>
      <c r="AJ206" s="2"/>
      <c r="AK206" s="2"/>
      <c r="AL206" s="2"/>
      <c r="AM206" s="2"/>
      <c r="AN206" s="2"/>
    </row>
    <row r="207" spans="2:57" x14ac:dyDescent="0.25">
      <c r="D207" s="2"/>
      <c r="G207" s="2"/>
      <c r="H207" s="2"/>
      <c r="I207" s="2"/>
      <c r="J207" s="2"/>
      <c r="K207" s="2"/>
      <c r="AC207" s="2"/>
      <c r="AD207" s="2"/>
      <c r="AE207" s="2"/>
      <c r="AI207" s="2"/>
      <c r="AJ207" s="2"/>
      <c r="AK207" s="2"/>
      <c r="AL207" s="2"/>
      <c r="AM207" s="2"/>
      <c r="AN207" s="2"/>
    </row>
    <row r="208" spans="2:57" x14ac:dyDescent="0.25">
      <c r="D208" s="2"/>
      <c r="G208" s="2"/>
      <c r="H208" s="2"/>
      <c r="I208" s="2"/>
      <c r="J208" s="2"/>
      <c r="K208" s="2"/>
      <c r="AC208" s="2"/>
      <c r="AD208" s="2"/>
      <c r="AE208" s="2"/>
      <c r="AI208" s="2"/>
      <c r="AJ208" s="2"/>
      <c r="AK208" s="2"/>
      <c r="AL208" s="2"/>
      <c r="AM208" s="2"/>
      <c r="AN208" s="2"/>
    </row>
    <row r="209" spans="4:40" x14ac:dyDescent="0.25">
      <c r="D209" s="2"/>
      <c r="G209" s="2"/>
      <c r="H209" s="2"/>
      <c r="I209" s="2"/>
      <c r="J209" s="2"/>
      <c r="K209" s="2"/>
      <c r="AC209" s="2"/>
      <c r="AD209" s="2"/>
      <c r="AE209" s="2"/>
      <c r="AI209" s="2"/>
      <c r="AJ209" s="2"/>
      <c r="AK209" s="2"/>
      <c r="AL209" s="2"/>
      <c r="AM209" s="2"/>
      <c r="AN209" s="2"/>
    </row>
    <row r="210" spans="4:40" x14ac:dyDescent="0.25">
      <c r="D210" s="2"/>
      <c r="G210" s="2"/>
      <c r="H210" s="2"/>
      <c r="I210" s="2"/>
      <c r="J210" s="2"/>
      <c r="K210" s="2"/>
      <c r="AC210" s="2"/>
      <c r="AD210" s="2"/>
      <c r="AE210" s="2"/>
      <c r="AI210" s="2"/>
      <c r="AJ210" s="2"/>
      <c r="AK210" s="2"/>
      <c r="AL210" s="2"/>
      <c r="AM210" s="2"/>
      <c r="AN210" s="2"/>
    </row>
    <row r="211" spans="4:40" x14ac:dyDescent="0.25">
      <c r="D211" s="2"/>
      <c r="G211" s="2"/>
      <c r="H211" s="2"/>
      <c r="I211" s="2"/>
      <c r="J211" s="2"/>
      <c r="K211" s="2"/>
      <c r="AC211" s="2"/>
      <c r="AD211" s="2"/>
      <c r="AE211" s="2"/>
      <c r="AI211" s="2"/>
      <c r="AJ211" s="2"/>
      <c r="AK211" s="2"/>
      <c r="AL211" s="2"/>
      <c r="AM211" s="2"/>
      <c r="AN211" s="2"/>
    </row>
    <row r="212" spans="4:40" x14ac:dyDescent="0.25">
      <c r="D212" s="2"/>
      <c r="G212" s="2"/>
      <c r="H212" s="2"/>
      <c r="I212" s="2"/>
      <c r="J212" s="2"/>
      <c r="K212" s="2"/>
      <c r="AC212" s="2"/>
      <c r="AD212" s="2"/>
      <c r="AE212" s="2"/>
      <c r="AI212" s="2"/>
      <c r="AJ212" s="2"/>
      <c r="AK212" s="2"/>
      <c r="AL212" s="2"/>
      <c r="AM212" s="2"/>
      <c r="AN212" s="2"/>
    </row>
    <row r="213" spans="4:40" x14ac:dyDescent="0.25">
      <c r="D213" s="2"/>
      <c r="G213" s="2"/>
      <c r="H213" s="2"/>
      <c r="I213" s="2"/>
      <c r="J213" s="2"/>
      <c r="K213" s="2"/>
      <c r="AC213" s="2"/>
      <c r="AD213" s="2"/>
      <c r="AE213" s="2"/>
      <c r="AI213" s="2"/>
      <c r="AJ213" s="2"/>
      <c r="AK213" s="2"/>
      <c r="AL213" s="2"/>
      <c r="AM213" s="2"/>
      <c r="AN213" s="2"/>
    </row>
    <row r="214" spans="4:40" x14ac:dyDescent="0.25">
      <c r="D214" s="2"/>
      <c r="G214" s="2"/>
      <c r="H214" s="2"/>
      <c r="I214" s="2"/>
      <c r="J214" s="2"/>
      <c r="K214" s="2"/>
      <c r="AC214" s="2"/>
      <c r="AD214" s="2"/>
      <c r="AE214" s="2"/>
      <c r="AI214" s="2"/>
      <c r="AJ214" s="2"/>
      <c r="AK214" s="2"/>
      <c r="AL214" s="2"/>
      <c r="AM214" s="2"/>
      <c r="AN214" s="2"/>
    </row>
    <row r="215" spans="4:40" x14ac:dyDescent="0.25">
      <c r="D215" s="2"/>
      <c r="G215" s="2"/>
      <c r="H215" s="2"/>
      <c r="I215" s="2"/>
      <c r="J215" s="2"/>
      <c r="K215" s="2"/>
      <c r="AC215" s="2"/>
      <c r="AD215" s="2"/>
      <c r="AE215" s="2"/>
      <c r="AI215" s="2"/>
      <c r="AJ215" s="2"/>
      <c r="AK215" s="2"/>
      <c r="AL215" s="2"/>
      <c r="AM215" s="2"/>
      <c r="AN215" s="2"/>
    </row>
    <row r="216" spans="4:40" x14ac:dyDescent="0.25">
      <c r="D216" s="2"/>
      <c r="G216" s="2"/>
      <c r="H216" s="2"/>
      <c r="I216" s="2"/>
      <c r="J216" s="2"/>
      <c r="K216" s="2"/>
      <c r="AC216" s="2"/>
      <c r="AD216" s="2"/>
      <c r="AE216" s="2"/>
      <c r="AI216" s="2"/>
      <c r="AJ216" s="2"/>
      <c r="AK216" s="2"/>
      <c r="AL216" s="2"/>
      <c r="AM216" s="2"/>
      <c r="AN216" s="2"/>
    </row>
    <row r="217" spans="4:40" x14ac:dyDescent="0.25">
      <c r="D217" s="2"/>
      <c r="G217" s="2"/>
      <c r="H217" s="2"/>
      <c r="I217" s="2"/>
      <c r="J217" s="2"/>
      <c r="K217" s="2"/>
      <c r="AC217" s="2"/>
      <c r="AD217" s="2"/>
      <c r="AE217" s="2"/>
      <c r="AI217" s="2"/>
      <c r="AJ217" s="2"/>
      <c r="AK217" s="2"/>
      <c r="AL217" s="2"/>
      <c r="AM217" s="2"/>
      <c r="AN217" s="2"/>
    </row>
    <row r="218" spans="4:40" x14ac:dyDescent="0.25">
      <c r="D218" s="2"/>
      <c r="G218" s="2"/>
      <c r="H218" s="2"/>
      <c r="I218" s="2"/>
      <c r="J218" s="2"/>
      <c r="K218" s="2"/>
      <c r="AC218" s="2"/>
      <c r="AD218" s="2"/>
      <c r="AE218" s="2"/>
      <c r="AI218" s="2"/>
      <c r="AJ218" s="2"/>
      <c r="AK218" s="2"/>
      <c r="AL218" s="2"/>
      <c r="AM218" s="2"/>
      <c r="AN218" s="2"/>
    </row>
    <row r="219" spans="4:40" x14ac:dyDescent="0.25">
      <c r="D219" s="2"/>
      <c r="G219" s="2"/>
      <c r="H219" s="2"/>
      <c r="I219" s="2"/>
      <c r="J219" s="2"/>
      <c r="K219" s="2"/>
      <c r="AC219" s="2"/>
      <c r="AD219" s="2"/>
      <c r="AE219" s="2"/>
      <c r="AI219" s="2"/>
      <c r="AJ219" s="2"/>
      <c r="AK219" s="2"/>
      <c r="AL219" s="2"/>
      <c r="AM219" s="2"/>
      <c r="AN219" s="2"/>
    </row>
    <row r="220" spans="4:40" x14ac:dyDescent="0.25">
      <c r="D220" s="2"/>
      <c r="G220" s="2"/>
      <c r="H220" s="2"/>
      <c r="I220" s="2"/>
      <c r="J220" s="2"/>
      <c r="K220" s="2"/>
      <c r="AC220" s="2"/>
      <c r="AD220" s="2"/>
      <c r="AE220" s="2"/>
      <c r="AI220" s="2"/>
      <c r="AJ220" s="2"/>
      <c r="AK220" s="2"/>
      <c r="AL220" s="2"/>
      <c r="AM220" s="2"/>
      <c r="AN220" s="2"/>
    </row>
    <row r="221" spans="4:40" x14ac:dyDescent="0.25">
      <c r="D221" s="2"/>
      <c r="G221" s="2"/>
      <c r="H221" s="2"/>
      <c r="I221" s="2"/>
      <c r="J221" s="2"/>
      <c r="K221" s="2"/>
      <c r="AC221" s="2"/>
      <c r="AD221" s="2"/>
      <c r="AE221" s="2"/>
      <c r="AI221" s="2"/>
      <c r="AJ221" s="2"/>
      <c r="AK221" s="2"/>
      <c r="AL221" s="2"/>
      <c r="AM221" s="2"/>
      <c r="AN221" s="2"/>
    </row>
    <row r="222" spans="4:40" x14ac:dyDescent="0.25">
      <c r="D222" s="2"/>
      <c r="G222" s="2"/>
      <c r="H222" s="2"/>
      <c r="I222" s="2"/>
      <c r="J222" s="2"/>
      <c r="K222" s="2"/>
      <c r="AC222" s="2"/>
      <c r="AD222" s="2"/>
      <c r="AE222" s="2"/>
      <c r="AI222" s="2"/>
      <c r="AJ222" s="2"/>
      <c r="AK222" s="2"/>
      <c r="AL222" s="2"/>
      <c r="AM222" s="2"/>
      <c r="AN222" s="2"/>
    </row>
    <row r="223" spans="4:40" x14ac:dyDescent="0.25">
      <c r="D223" s="2"/>
      <c r="G223" s="2"/>
      <c r="H223" s="2"/>
      <c r="I223" s="2"/>
      <c r="J223" s="2"/>
      <c r="K223" s="2"/>
      <c r="AC223" s="2"/>
      <c r="AD223" s="2"/>
      <c r="AE223" s="2"/>
      <c r="AI223" s="2"/>
      <c r="AJ223" s="2"/>
      <c r="AK223" s="2"/>
      <c r="AL223" s="2"/>
      <c r="AM223" s="2"/>
      <c r="AN223" s="2"/>
    </row>
    <row r="224" spans="4:40" x14ac:dyDescent="0.25">
      <c r="D224" s="2"/>
      <c r="G224" s="2"/>
      <c r="H224" s="2"/>
      <c r="I224" s="2"/>
      <c r="J224" s="2"/>
      <c r="K224" s="2"/>
      <c r="AC224" s="2"/>
      <c r="AD224" s="2"/>
      <c r="AE224" s="2"/>
      <c r="AI224" s="2"/>
      <c r="AJ224" s="2"/>
      <c r="AK224" s="2"/>
      <c r="AL224" s="2"/>
      <c r="AM224" s="2"/>
      <c r="AN224" s="2"/>
    </row>
    <row r="225" spans="4:40" x14ac:dyDescent="0.25">
      <c r="D225" s="2"/>
      <c r="G225" s="2"/>
      <c r="H225" s="2"/>
      <c r="I225" s="2"/>
      <c r="J225" s="2"/>
      <c r="K225" s="2"/>
      <c r="AC225" s="2"/>
      <c r="AD225" s="2"/>
      <c r="AE225" s="2"/>
      <c r="AI225" s="2"/>
      <c r="AJ225" s="2"/>
      <c r="AK225" s="2"/>
      <c r="AL225" s="2"/>
      <c r="AM225" s="2"/>
      <c r="AN225" s="2"/>
    </row>
    <row r="226" spans="4:40" x14ac:dyDescent="0.25">
      <c r="D226" s="2"/>
      <c r="G226" s="2"/>
      <c r="H226" s="2"/>
      <c r="I226" s="2"/>
      <c r="J226" s="2"/>
      <c r="K226" s="2"/>
      <c r="AC226" s="2"/>
      <c r="AD226" s="2"/>
      <c r="AE226" s="2"/>
      <c r="AI226" s="2"/>
      <c r="AJ226" s="2"/>
      <c r="AK226" s="2"/>
      <c r="AL226" s="2"/>
      <c r="AM226" s="2"/>
      <c r="AN226" s="2"/>
    </row>
    <row r="227" spans="4:40" x14ac:dyDescent="0.25">
      <c r="D227" s="2"/>
      <c r="G227" s="2"/>
      <c r="H227" s="2"/>
      <c r="I227" s="2"/>
      <c r="J227" s="2"/>
      <c r="K227" s="2"/>
      <c r="AC227" s="2"/>
      <c r="AD227" s="2"/>
      <c r="AE227" s="2"/>
      <c r="AI227" s="2"/>
      <c r="AJ227" s="2"/>
      <c r="AK227" s="2"/>
      <c r="AL227" s="2"/>
      <c r="AM227" s="2"/>
      <c r="AN227" s="2"/>
    </row>
    <row r="228" spans="4:40" x14ac:dyDescent="0.25">
      <c r="D228" s="2"/>
      <c r="G228" s="2"/>
      <c r="H228" s="2"/>
      <c r="I228" s="2"/>
      <c r="J228" s="2"/>
      <c r="K228" s="2"/>
      <c r="AC228" s="2"/>
      <c r="AD228" s="2"/>
      <c r="AE228" s="2"/>
      <c r="AI228" s="2"/>
      <c r="AJ228" s="2"/>
      <c r="AK228" s="2"/>
      <c r="AL228" s="2"/>
      <c r="AM228" s="2"/>
      <c r="AN228" s="2"/>
    </row>
    <row r="229" spans="4:40" x14ac:dyDescent="0.25">
      <c r="D229" s="2"/>
      <c r="G229" s="2"/>
      <c r="H229" s="2"/>
      <c r="I229" s="2"/>
      <c r="J229" s="2"/>
      <c r="K229" s="2"/>
      <c r="AC229" s="2"/>
      <c r="AD229" s="2"/>
      <c r="AE229" s="2"/>
      <c r="AI229" s="2"/>
      <c r="AJ229" s="2"/>
      <c r="AK229" s="2"/>
      <c r="AL229" s="2"/>
      <c r="AM229" s="2"/>
      <c r="AN229" s="2"/>
    </row>
    <row r="230" spans="4:40" x14ac:dyDescent="0.25">
      <c r="D230" s="2"/>
      <c r="G230" s="2"/>
      <c r="H230" s="2"/>
      <c r="I230" s="2"/>
      <c r="J230" s="2"/>
      <c r="K230" s="2"/>
      <c r="AC230" s="2"/>
      <c r="AD230" s="2"/>
      <c r="AE230" s="2"/>
      <c r="AI230" s="2"/>
      <c r="AJ230" s="2"/>
      <c r="AK230" s="2"/>
      <c r="AL230" s="2"/>
      <c r="AM230" s="2"/>
      <c r="AN230" s="2"/>
    </row>
    <row r="231" spans="4:40" x14ac:dyDescent="0.25">
      <c r="D231" s="2"/>
      <c r="G231" s="2"/>
      <c r="H231" s="2"/>
      <c r="I231" s="2"/>
      <c r="J231" s="2"/>
      <c r="K231" s="2"/>
      <c r="AC231" s="2"/>
      <c r="AD231" s="2"/>
      <c r="AE231" s="2"/>
      <c r="AI231" s="2"/>
      <c r="AJ231" s="2"/>
      <c r="AK231" s="2"/>
      <c r="AL231" s="2"/>
      <c r="AM231" s="2"/>
      <c r="AN231" s="2"/>
    </row>
    <row r="232" spans="4:40" x14ac:dyDescent="0.25">
      <c r="D232" s="2"/>
      <c r="G232" s="2"/>
      <c r="H232" s="2"/>
      <c r="I232" s="2"/>
      <c r="J232" s="2"/>
      <c r="K232" s="2"/>
      <c r="AC232" s="2"/>
      <c r="AD232" s="2"/>
      <c r="AE232" s="2"/>
      <c r="AI232" s="2"/>
      <c r="AJ232" s="2"/>
      <c r="AK232" s="2"/>
      <c r="AL232" s="2"/>
      <c r="AM232" s="2"/>
      <c r="AN232" s="2"/>
    </row>
    <row r="233" spans="4:40" x14ac:dyDescent="0.25">
      <c r="D233" s="2"/>
      <c r="G233" s="2"/>
      <c r="H233" s="2"/>
      <c r="I233" s="2"/>
      <c r="J233" s="2"/>
      <c r="K233" s="2"/>
      <c r="AC233" s="2"/>
      <c r="AD233" s="2"/>
      <c r="AE233" s="2"/>
      <c r="AI233" s="2"/>
      <c r="AJ233" s="2"/>
      <c r="AK233" s="2"/>
      <c r="AL233" s="2"/>
      <c r="AM233" s="2"/>
      <c r="AN233" s="2"/>
    </row>
    <row r="234" spans="4:40" x14ac:dyDescent="0.25">
      <c r="D234" s="2"/>
      <c r="G234" s="2"/>
      <c r="H234" s="2"/>
      <c r="I234" s="2"/>
      <c r="J234" s="2"/>
      <c r="K234" s="2"/>
      <c r="AC234" s="2"/>
      <c r="AD234" s="2"/>
      <c r="AE234" s="2"/>
      <c r="AI234" s="2"/>
      <c r="AJ234" s="2"/>
      <c r="AK234" s="2"/>
      <c r="AL234" s="2"/>
      <c r="AM234" s="2"/>
      <c r="AN234" s="2"/>
    </row>
    <row r="235" spans="4:40" x14ac:dyDescent="0.25">
      <c r="D235" s="2"/>
      <c r="G235" s="2"/>
      <c r="H235" s="2"/>
      <c r="I235" s="2"/>
      <c r="J235" s="2"/>
      <c r="K235" s="2"/>
      <c r="AC235" s="2"/>
      <c r="AD235" s="2"/>
      <c r="AE235" s="2"/>
      <c r="AI235" s="2"/>
      <c r="AJ235" s="2"/>
      <c r="AK235" s="2"/>
      <c r="AL235" s="2"/>
      <c r="AM235" s="2"/>
      <c r="AN235" s="2"/>
    </row>
    <row r="236" spans="4:40" x14ac:dyDescent="0.25">
      <c r="D236" s="2"/>
      <c r="G236" s="2"/>
      <c r="H236" s="2"/>
      <c r="I236" s="2"/>
      <c r="J236" s="2"/>
      <c r="K236" s="2"/>
      <c r="AC236" s="2"/>
      <c r="AD236" s="2"/>
      <c r="AE236" s="2"/>
      <c r="AI236" s="2"/>
      <c r="AJ236" s="2"/>
      <c r="AK236" s="2"/>
      <c r="AL236" s="2"/>
      <c r="AM236" s="2"/>
      <c r="AN236" s="2"/>
    </row>
    <row r="237" spans="4:40" x14ac:dyDescent="0.25">
      <c r="D237" s="2"/>
      <c r="G237" s="2"/>
      <c r="H237" s="2"/>
      <c r="I237" s="2"/>
      <c r="J237" s="2"/>
      <c r="K237" s="2"/>
      <c r="AC237" s="2"/>
      <c r="AD237" s="2"/>
      <c r="AE237" s="2"/>
      <c r="AI237" s="2"/>
      <c r="AJ237" s="2"/>
      <c r="AK237" s="2"/>
      <c r="AL237" s="2"/>
      <c r="AM237" s="2"/>
      <c r="AN237" s="2"/>
    </row>
    <row r="238" spans="4:40" x14ac:dyDescent="0.25">
      <c r="D238" s="2"/>
      <c r="G238" s="2"/>
      <c r="H238" s="2"/>
      <c r="I238" s="2"/>
      <c r="J238" s="2"/>
      <c r="K238" s="2"/>
      <c r="AC238" s="2"/>
      <c r="AD238" s="2"/>
      <c r="AE238" s="2"/>
      <c r="AI238" s="2"/>
      <c r="AJ238" s="2"/>
      <c r="AK238" s="2"/>
      <c r="AL238" s="2"/>
      <c r="AM238" s="2"/>
      <c r="AN238" s="2"/>
    </row>
    <row r="239" spans="4:40" x14ac:dyDescent="0.25">
      <c r="D239" s="2"/>
      <c r="G239" s="2"/>
      <c r="H239" s="2"/>
      <c r="I239" s="2"/>
      <c r="J239" s="2"/>
      <c r="K239" s="2"/>
      <c r="AC239" s="2"/>
      <c r="AD239" s="2"/>
      <c r="AE239" s="2"/>
      <c r="AI239" s="2"/>
      <c r="AJ239" s="2"/>
      <c r="AK239" s="2"/>
      <c r="AL239" s="2"/>
      <c r="AM239" s="2"/>
      <c r="AN239" s="2"/>
    </row>
    <row r="240" spans="4:40" x14ac:dyDescent="0.25">
      <c r="D240" s="2"/>
      <c r="G240" s="2"/>
      <c r="H240" s="2"/>
      <c r="I240" s="2"/>
      <c r="J240" s="2"/>
      <c r="K240" s="2"/>
      <c r="AC240" s="2"/>
      <c r="AD240" s="2"/>
      <c r="AE240" s="2"/>
      <c r="AI240" s="2"/>
      <c r="AJ240" s="2"/>
      <c r="AK240" s="2"/>
      <c r="AL240" s="2"/>
      <c r="AM240" s="2"/>
      <c r="AN240" s="2"/>
    </row>
    <row r="241" spans="2:57" x14ac:dyDescent="0.25">
      <c r="D241" s="2"/>
      <c r="G241" s="2"/>
      <c r="H241" s="2"/>
      <c r="I241" s="2"/>
      <c r="J241" s="2"/>
      <c r="K241" s="2"/>
      <c r="AC241" s="2"/>
      <c r="AD241" s="2"/>
      <c r="AE241" s="2"/>
      <c r="AI241" s="2"/>
      <c r="AJ241" s="2"/>
      <c r="AK241" s="2"/>
      <c r="AL241" s="2"/>
      <c r="AM241" s="2"/>
      <c r="AN241" s="2"/>
    </row>
    <row r="242" spans="2:57" x14ac:dyDescent="0.25">
      <c r="D242" s="2"/>
      <c r="G242" s="2"/>
      <c r="H242" s="2"/>
      <c r="I242" s="2"/>
      <c r="J242" s="2"/>
      <c r="K242" s="2"/>
      <c r="AC242" s="2"/>
      <c r="AD242" s="2"/>
      <c r="AE242" s="2"/>
      <c r="AI242" s="2"/>
      <c r="AJ242" s="2"/>
      <c r="AK242" s="2"/>
      <c r="AL242" s="2"/>
      <c r="AM242" s="2"/>
      <c r="AN242" s="2"/>
    </row>
    <row r="243" spans="2:57" x14ac:dyDescent="0.25">
      <c r="D243" s="2"/>
      <c r="G243" s="2"/>
      <c r="H243" s="2"/>
      <c r="I243" s="2"/>
      <c r="J243" s="2"/>
      <c r="K243" s="2"/>
      <c r="AC243" s="2"/>
      <c r="AD243" s="2"/>
      <c r="AE243" s="2"/>
      <c r="AI243" s="2"/>
      <c r="AJ243" s="2"/>
      <c r="AK243" s="2"/>
      <c r="AL243" s="2"/>
      <c r="AM243" s="2"/>
      <c r="AN243" s="2"/>
    </row>
    <row r="244" spans="2:57" s="11" customFormat="1" x14ac:dyDescent="0.25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68"/>
      <c r="Z244" s="68"/>
      <c r="AA244" s="68"/>
      <c r="AB244" s="68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</row>
    <row r="245" spans="2:57" s="11" customFormat="1" x14ac:dyDescent="0.2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68"/>
      <c r="Z245" s="68"/>
      <c r="AA245" s="68"/>
      <c r="AB245" s="68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</row>
    <row r="246" spans="2:57" s="11" customFormat="1" x14ac:dyDescent="0.25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68"/>
      <c r="Z246" s="68"/>
      <c r="AA246" s="68"/>
      <c r="AB246" s="68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</row>
    <row r="247" spans="2:57" s="11" customFormat="1" x14ac:dyDescent="0.25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68"/>
      <c r="Z247" s="68"/>
      <c r="AA247" s="68"/>
      <c r="AB247" s="68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</row>
    <row r="248" spans="2:57" x14ac:dyDescent="0.25">
      <c r="D248" s="2"/>
      <c r="G248" s="2"/>
      <c r="H248" s="2"/>
      <c r="I248" s="2"/>
      <c r="J248" s="2"/>
      <c r="K248" s="2"/>
      <c r="AC248" s="2"/>
      <c r="AD248" s="2"/>
      <c r="AE248" s="2"/>
      <c r="AI248" s="2"/>
      <c r="AJ248" s="2"/>
      <c r="AK248" s="2"/>
      <c r="AL248" s="2"/>
      <c r="AM248" s="2"/>
      <c r="AN248" s="2"/>
    </row>
    <row r="249" spans="2:57" x14ac:dyDescent="0.25">
      <c r="D249" s="2"/>
      <c r="G249" s="2"/>
      <c r="H249" s="2"/>
      <c r="I249" s="2"/>
      <c r="J249" s="2"/>
      <c r="K249" s="2"/>
      <c r="AC249" s="2"/>
      <c r="AD249" s="2"/>
      <c r="AE249" s="2"/>
      <c r="AI249" s="2"/>
      <c r="AJ249" s="2"/>
      <c r="AK249" s="2"/>
      <c r="AL249" s="2"/>
      <c r="AM249" s="2"/>
      <c r="AN249" s="2"/>
    </row>
    <row r="250" spans="2:57" x14ac:dyDescent="0.25">
      <c r="D250" s="2"/>
      <c r="G250" s="2"/>
      <c r="H250" s="2"/>
      <c r="I250" s="2"/>
      <c r="J250" s="2"/>
      <c r="K250" s="2"/>
      <c r="AC250" s="2"/>
      <c r="AD250" s="2"/>
      <c r="AE250" s="2"/>
      <c r="AI250" s="2"/>
      <c r="AJ250" s="2"/>
      <c r="AK250" s="2"/>
      <c r="AL250" s="2"/>
      <c r="AM250" s="2"/>
      <c r="AN250" s="2"/>
    </row>
    <row r="251" spans="2:57" x14ac:dyDescent="0.25">
      <c r="D251" s="2"/>
      <c r="G251" s="2"/>
      <c r="H251" s="2"/>
      <c r="I251" s="2"/>
      <c r="J251" s="2"/>
      <c r="K251" s="2"/>
      <c r="AC251" s="2"/>
      <c r="AD251" s="2"/>
      <c r="AE251" s="2"/>
      <c r="AI251" s="2"/>
      <c r="AJ251" s="2"/>
      <c r="AK251" s="2"/>
      <c r="AL251" s="2"/>
      <c r="AM251" s="2"/>
      <c r="AN251" s="2"/>
    </row>
    <row r="252" spans="2:57" x14ac:dyDescent="0.25">
      <c r="D252" s="2"/>
      <c r="G252" s="2"/>
      <c r="H252" s="2"/>
      <c r="I252" s="2"/>
      <c r="J252" s="2"/>
      <c r="K252" s="2"/>
      <c r="AC252" s="2"/>
      <c r="AD252" s="2"/>
      <c r="AE252" s="2"/>
      <c r="AI252" s="2"/>
      <c r="AJ252" s="2"/>
      <c r="AK252" s="2"/>
      <c r="AL252" s="2"/>
      <c r="AM252" s="2"/>
      <c r="AN252" s="2"/>
    </row>
    <row r="253" spans="2:57" x14ac:dyDescent="0.25">
      <c r="D253" s="2"/>
      <c r="G253" s="2"/>
      <c r="H253" s="2"/>
      <c r="I253" s="2"/>
      <c r="J253" s="2"/>
      <c r="K253" s="2"/>
      <c r="AC253" s="2"/>
      <c r="AD253" s="2"/>
      <c r="AE253" s="2"/>
      <c r="AI253" s="2"/>
      <c r="AJ253" s="2"/>
      <c r="AK253" s="2"/>
      <c r="AL253" s="2"/>
      <c r="AM253" s="2"/>
      <c r="AN253" s="2"/>
    </row>
    <row r="254" spans="2:57" x14ac:dyDescent="0.25">
      <c r="D254" s="2"/>
      <c r="G254" s="2"/>
      <c r="H254" s="2"/>
      <c r="I254" s="2"/>
      <c r="J254" s="2"/>
      <c r="K254" s="2"/>
      <c r="AC254" s="2"/>
      <c r="AD254" s="2"/>
      <c r="AE254" s="2"/>
      <c r="AI254" s="2"/>
      <c r="AJ254" s="2"/>
      <c r="AK254" s="2"/>
      <c r="AL254" s="2"/>
      <c r="AM254" s="2"/>
      <c r="AN254" s="2"/>
    </row>
    <row r="255" spans="2:57" x14ac:dyDescent="0.25">
      <c r="D255" s="2"/>
      <c r="G255" s="2"/>
      <c r="H255" s="2"/>
      <c r="I255" s="2"/>
      <c r="J255" s="2"/>
      <c r="K255" s="2"/>
      <c r="AC255" s="2"/>
      <c r="AD255" s="2"/>
      <c r="AE255" s="2"/>
      <c r="AI255" s="2"/>
      <c r="AJ255" s="2"/>
      <c r="AK255" s="2"/>
      <c r="AL255" s="2"/>
      <c r="AM255" s="2"/>
      <c r="AN255" s="2"/>
    </row>
    <row r="256" spans="2:57" x14ac:dyDescent="0.25">
      <c r="D256" s="2"/>
      <c r="G256" s="2"/>
      <c r="H256" s="2"/>
      <c r="I256" s="2"/>
      <c r="J256" s="2"/>
      <c r="K256" s="2"/>
      <c r="AC256" s="2"/>
      <c r="AD256" s="2"/>
      <c r="AE256" s="2"/>
      <c r="AI256" s="2"/>
      <c r="AJ256" s="2"/>
      <c r="AK256" s="2"/>
      <c r="AL256" s="2"/>
      <c r="AM256" s="2"/>
      <c r="AN256" s="2"/>
    </row>
    <row r="257" spans="4:40" x14ac:dyDescent="0.25">
      <c r="D257" s="2"/>
      <c r="G257" s="2"/>
      <c r="H257" s="2"/>
      <c r="I257" s="2"/>
      <c r="J257" s="2"/>
      <c r="K257" s="2"/>
      <c r="AC257" s="2"/>
      <c r="AD257" s="2"/>
      <c r="AE257" s="2"/>
      <c r="AI257" s="2"/>
      <c r="AJ257" s="2"/>
      <c r="AK257" s="2"/>
      <c r="AL257" s="2"/>
      <c r="AM257" s="2"/>
      <c r="AN257" s="2"/>
    </row>
    <row r="258" spans="4:40" x14ac:dyDescent="0.25">
      <c r="D258" s="2"/>
      <c r="G258" s="2"/>
      <c r="H258" s="2"/>
      <c r="I258" s="2"/>
      <c r="J258" s="2"/>
      <c r="K258" s="2"/>
      <c r="AC258" s="2"/>
      <c r="AD258" s="2"/>
      <c r="AE258" s="2"/>
      <c r="AI258" s="2"/>
      <c r="AJ258" s="2"/>
      <c r="AK258" s="2"/>
      <c r="AL258" s="2"/>
      <c r="AM258" s="2"/>
      <c r="AN258" s="2"/>
    </row>
    <row r="259" spans="4:40" x14ac:dyDescent="0.25">
      <c r="D259" s="2"/>
      <c r="G259" s="2"/>
      <c r="H259" s="2"/>
      <c r="I259" s="2"/>
      <c r="J259" s="2"/>
      <c r="K259" s="2"/>
      <c r="AC259" s="2"/>
      <c r="AD259" s="2"/>
      <c r="AE259" s="2"/>
      <c r="AI259" s="2"/>
      <c r="AJ259" s="2"/>
      <c r="AK259" s="2"/>
      <c r="AL259" s="2"/>
      <c r="AM259" s="2"/>
      <c r="AN259" s="2"/>
    </row>
    <row r="260" spans="4:40" x14ac:dyDescent="0.25">
      <c r="D260" s="2"/>
      <c r="G260" s="2"/>
      <c r="H260" s="2"/>
      <c r="I260" s="2"/>
      <c r="J260" s="2"/>
      <c r="K260" s="2"/>
      <c r="AC260" s="2"/>
      <c r="AD260" s="2"/>
      <c r="AE260" s="2"/>
      <c r="AI260" s="2"/>
      <c r="AJ260" s="2"/>
      <c r="AK260" s="2"/>
      <c r="AL260" s="2"/>
      <c r="AM260" s="2"/>
      <c r="AN260" s="2"/>
    </row>
    <row r="261" spans="4:40" x14ac:dyDescent="0.25">
      <c r="D261" s="2"/>
      <c r="G261" s="2"/>
      <c r="H261" s="2"/>
      <c r="I261" s="2"/>
      <c r="J261" s="2"/>
      <c r="K261" s="2"/>
      <c r="AC261" s="2"/>
      <c r="AD261" s="2"/>
      <c r="AE261" s="2"/>
      <c r="AI261" s="2"/>
      <c r="AJ261" s="2"/>
      <c r="AK261" s="2"/>
      <c r="AL261" s="2"/>
      <c r="AM261" s="2"/>
      <c r="AN261" s="2"/>
    </row>
    <row r="262" spans="4:40" x14ac:dyDescent="0.25">
      <c r="D262" s="2"/>
      <c r="G262" s="2"/>
      <c r="H262" s="2"/>
      <c r="I262" s="2"/>
      <c r="J262" s="2"/>
      <c r="K262" s="2"/>
      <c r="AC262" s="2"/>
      <c r="AD262" s="2"/>
      <c r="AE262" s="2"/>
      <c r="AI262" s="2"/>
      <c r="AJ262" s="2"/>
      <c r="AK262" s="2"/>
      <c r="AL262" s="2"/>
      <c r="AM262" s="2"/>
      <c r="AN262" s="2"/>
    </row>
    <row r="263" spans="4:40" x14ac:dyDescent="0.25">
      <c r="D263" s="2"/>
      <c r="G263" s="2"/>
      <c r="H263" s="2"/>
      <c r="I263" s="2"/>
      <c r="J263" s="2"/>
      <c r="K263" s="2"/>
      <c r="AC263" s="2"/>
      <c r="AD263" s="2"/>
      <c r="AE263" s="2"/>
      <c r="AI263" s="2"/>
      <c r="AJ263" s="2"/>
      <c r="AK263" s="2"/>
      <c r="AL263" s="2"/>
      <c r="AM263" s="2"/>
      <c r="AN263" s="2"/>
    </row>
    <row r="264" spans="4:40" x14ac:dyDescent="0.25">
      <c r="D264" s="2"/>
      <c r="G264" s="2"/>
      <c r="H264" s="2"/>
      <c r="I264" s="2"/>
      <c r="J264" s="2"/>
      <c r="K264" s="2"/>
      <c r="AC264" s="2"/>
      <c r="AD264" s="2"/>
      <c r="AE264" s="2"/>
      <c r="AI264" s="2"/>
      <c r="AJ264" s="2"/>
      <c r="AK264" s="2"/>
      <c r="AL264" s="2"/>
      <c r="AM264" s="2"/>
      <c r="AN264" s="2"/>
    </row>
    <row r="265" spans="4:40" x14ac:dyDescent="0.25">
      <c r="D265" s="2"/>
      <c r="G265" s="2"/>
      <c r="H265" s="2"/>
      <c r="I265" s="2"/>
      <c r="J265" s="2"/>
      <c r="K265" s="2"/>
      <c r="AC265" s="2"/>
      <c r="AD265" s="2"/>
      <c r="AE265" s="2"/>
      <c r="AI265" s="2"/>
      <c r="AJ265" s="2"/>
      <c r="AK265" s="2"/>
      <c r="AL265" s="2"/>
      <c r="AM265" s="2"/>
      <c r="AN265" s="2"/>
    </row>
    <row r="266" spans="4:40" x14ac:dyDescent="0.25">
      <c r="D266" s="2"/>
      <c r="G266" s="2"/>
      <c r="H266" s="2"/>
      <c r="I266" s="2"/>
      <c r="J266" s="2"/>
      <c r="K266" s="2"/>
      <c r="AC266" s="2"/>
      <c r="AD266" s="2"/>
      <c r="AE266" s="2"/>
      <c r="AI266" s="2"/>
      <c r="AJ266" s="2"/>
      <c r="AK266" s="2"/>
      <c r="AL266" s="2"/>
      <c r="AM266" s="2"/>
      <c r="AN266" s="2"/>
    </row>
    <row r="267" spans="4:40" x14ac:dyDescent="0.25">
      <c r="D267" s="2"/>
      <c r="G267" s="2"/>
      <c r="H267" s="2"/>
      <c r="I267" s="2"/>
      <c r="J267" s="2"/>
      <c r="K267" s="2"/>
      <c r="AC267" s="2"/>
      <c r="AD267" s="2"/>
      <c r="AE267" s="2"/>
      <c r="AI267" s="2"/>
      <c r="AJ267" s="2"/>
      <c r="AK267" s="2"/>
      <c r="AL267" s="2"/>
      <c r="AM267" s="2"/>
      <c r="AN267" s="2"/>
    </row>
    <row r="268" spans="4:40" x14ac:dyDescent="0.25">
      <c r="D268" s="2"/>
      <c r="G268" s="2"/>
      <c r="H268" s="2"/>
      <c r="I268" s="2"/>
      <c r="J268" s="2"/>
      <c r="K268" s="2"/>
      <c r="AC268" s="2"/>
      <c r="AD268" s="2"/>
      <c r="AE268" s="2"/>
      <c r="AI268" s="2"/>
      <c r="AJ268" s="2"/>
      <c r="AK268" s="2"/>
      <c r="AL268" s="2"/>
      <c r="AM268" s="2"/>
      <c r="AN268" s="2"/>
    </row>
    <row r="269" spans="4:40" x14ac:dyDescent="0.25">
      <c r="D269" s="2"/>
      <c r="G269" s="2"/>
      <c r="H269" s="2"/>
      <c r="I269" s="2"/>
      <c r="J269" s="2"/>
      <c r="K269" s="2"/>
      <c r="AC269" s="2"/>
      <c r="AD269" s="2"/>
      <c r="AE269" s="2"/>
      <c r="AI269" s="2"/>
      <c r="AJ269" s="2"/>
      <c r="AK269" s="2"/>
      <c r="AL269" s="2"/>
      <c r="AM269" s="2"/>
      <c r="AN269" s="2"/>
    </row>
    <row r="270" spans="4:40" x14ac:dyDescent="0.25">
      <c r="D270" s="2"/>
      <c r="G270" s="2"/>
      <c r="H270" s="2"/>
      <c r="I270" s="2"/>
      <c r="J270" s="2"/>
      <c r="K270" s="2"/>
      <c r="AC270" s="2"/>
      <c r="AD270" s="2"/>
      <c r="AE270" s="2"/>
      <c r="AI270" s="2"/>
      <c r="AJ270" s="2"/>
      <c r="AK270" s="2"/>
      <c r="AL270" s="2"/>
      <c r="AM270" s="2"/>
      <c r="AN270" s="2"/>
    </row>
    <row r="271" spans="4:40" x14ac:dyDescent="0.25">
      <c r="D271" s="2"/>
      <c r="G271" s="2"/>
      <c r="H271" s="2"/>
      <c r="I271" s="2"/>
      <c r="J271" s="2"/>
      <c r="K271" s="2"/>
      <c r="AC271" s="2"/>
      <c r="AD271" s="2"/>
      <c r="AE271" s="2"/>
      <c r="AI271" s="2"/>
      <c r="AJ271" s="2"/>
      <c r="AK271" s="2"/>
      <c r="AL271" s="2"/>
      <c r="AM271" s="2"/>
      <c r="AN271" s="2"/>
    </row>
    <row r="272" spans="4:40" x14ac:dyDescent="0.25">
      <c r="D272" s="2"/>
      <c r="G272" s="2"/>
      <c r="H272" s="2"/>
      <c r="I272" s="2"/>
      <c r="J272" s="2"/>
      <c r="K272" s="2"/>
      <c r="AC272" s="2"/>
      <c r="AD272" s="2"/>
      <c r="AE272" s="2"/>
      <c r="AI272" s="2"/>
      <c r="AJ272" s="2"/>
      <c r="AK272" s="2"/>
      <c r="AL272" s="2"/>
      <c r="AM272" s="2"/>
      <c r="AN272" s="2"/>
    </row>
    <row r="273" spans="2:57" x14ac:dyDescent="0.25">
      <c r="D273" s="2"/>
      <c r="G273" s="2"/>
      <c r="H273" s="2"/>
      <c r="I273" s="2"/>
      <c r="J273" s="2"/>
      <c r="K273" s="2"/>
      <c r="AC273" s="2"/>
      <c r="AD273" s="2"/>
      <c r="AE273" s="2"/>
      <c r="AI273" s="2"/>
      <c r="AJ273" s="2"/>
      <c r="AK273" s="2"/>
      <c r="AL273" s="2"/>
      <c r="AM273" s="2"/>
      <c r="AN273" s="2"/>
    </row>
    <row r="274" spans="2:57" x14ac:dyDescent="0.25">
      <c r="D274" s="2"/>
      <c r="G274" s="2"/>
      <c r="H274" s="2"/>
      <c r="I274" s="2"/>
      <c r="J274" s="2"/>
      <c r="K274" s="2"/>
      <c r="AC274" s="2"/>
      <c r="AD274" s="2"/>
      <c r="AE274" s="2"/>
      <c r="AI274" s="2"/>
      <c r="AJ274" s="2"/>
      <c r="AK274" s="2"/>
      <c r="AL274" s="2"/>
      <c r="AM274" s="2"/>
      <c r="AN274" s="2"/>
    </row>
    <row r="275" spans="2:57" x14ac:dyDescent="0.25">
      <c r="D275" s="2"/>
      <c r="G275" s="2"/>
      <c r="H275" s="2"/>
      <c r="I275" s="2"/>
      <c r="J275" s="2"/>
      <c r="K275" s="2"/>
      <c r="AC275" s="2"/>
      <c r="AD275" s="2"/>
      <c r="AE275" s="2"/>
      <c r="AI275" s="2"/>
      <c r="AJ275" s="2"/>
      <c r="AK275" s="2"/>
      <c r="AL275" s="2"/>
      <c r="AM275" s="2"/>
      <c r="AN275" s="2"/>
    </row>
    <row r="276" spans="2:57" x14ac:dyDescent="0.25">
      <c r="D276" s="2"/>
      <c r="G276" s="2"/>
      <c r="H276" s="2"/>
      <c r="I276" s="2"/>
      <c r="J276" s="2"/>
      <c r="K276" s="2"/>
      <c r="AC276" s="2"/>
      <c r="AD276" s="2"/>
      <c r="AE276" s="2"/>
      <c r="AI276" s="2"/>
      <c r="AJ276" s="2"/>
      <c r="AK276" s="2"/>
      <c r="AL276" s="2"/>
      <c r="AM276" s="2"/>
      <c r="AN276" s="2"/>
    </row>
    <row r="277" spans="2:57" s="11" customFormat="1" x14ac:dyDescent="0.2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68"/>
      <c r="Z277" s="68"/>
      <c r="AA277" s="68"/>
      <c r="AB277" s="68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</row>
    <row r="278" spans="2:57" s="11" customFormat="1" x14ac:dyDescent="0.25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68"/>
      <c r="Z278" s="68"/>
      <c r="AA278" s="68"/>
      <c r="AB278" s="68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</row>
    <row r="279" spans="2:57" s="11" customFormat="1" x14ac:dyDescent="0.25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68"/>
      <c r="Z279" s="68"/>
      <c r="AA279" s="68"/>
      <c r="AB279" s="68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</row>
    <row r="280" spans="2:57" s="11" customFormat="1" x14ac:dyDescent="0.25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68"/>
      <c r="Z280" s="68"/>
      <c r="AA280" s="68"/>
      <c r="AB280" s="68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</row>
    <row r="281" spans="2:57" s="11" customFormat="1" x14ac:dyDescent="0.25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68"/>
      <c r="Z281" s="68"/>
      <c r="AA281" s="68"/>
      <c r="AB281" s="68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</row>
    <row r="282" spans="2:57" s="11" customFormat="1" x14ac:dyDescent="0.25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68"/>
      <c r="Z282" s="68"/>
      <c r="AA282" s="68"/>
      <c r="AB282" s="68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</row>
    <row r="283" spans="2:57" s="11" customFormat="1" x14ac:dyDescent="0.25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68"/>
      <c r="Z283" s="68"/>
      <c r="AA283" s="68"/>
      <c r="AB283" s="68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</row>
    <row r="284" spans="2:57" s="11" customFormat="1" x14ac:dyDescent="0.25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68"/>
      <c r="Z284" s="68"/>
      <c r="AA284" s="68"/>
      <c r="AB284" s="68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</row>
    <row r="285" spans="2:57" s="11" customFormat="1" x14ac:dyDescent="0.2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68"/>
      <c r="Z285" s="68"/>
      <c r="AA285" s="68"/>
      <c r="AB285" s="68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</row>
    <row r="286" spans="2:57" s="11" customFormat="1" x14ac:dyDescent="0.25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68"/>
      <c r="Z286" s="68"/>
      <c r="AA286" s="68"/>
      <c r="AB286" s="68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</row>
    <row r="287" spans="2:57" s="11" customFormat="1" x14ac:dyDescent="0.25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68"/>
      <c r="Z287" s="68"/>
      <c r="AA287" s="68"/>
      <c r="AB287" s="68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</row>
    <row r="288" spans="2:57" s="11" customFormat="1" x14ac:dyDescent="0.25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68"/>
      <c r="Z288" s="68"/>
      <c r="AA288" s="68"/>
      <c r="AB288" s="68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</row>
    <row r="289" spans="2:57" s="11" customFormat="1" x14ac:dyDescent="0.25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68"/>
      <c r="Z289" s="68"/>
      <c r="AA289" s="68"/>
      <c r="AB289" s="68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</row>
    <row r="290" spans="2:57" s="11" customFormat="1" x14ac:dyDescent="0.25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68"/>
      <c r="Z290" s="68"/>
      <c r="AA290" s="68"/>
      <c r="AB290" s="68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</row>
    <row r="291" spans="2:57" s="11" customFormat="1" x14ac:dyDescent="0.25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68"/>
      <c r="Z291" s="68"/>
      <c r="AA291" s="68"/>
      <c r="AB291" s="68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</row>
    <row r="292" spans="2:57" x14ac:dyDescent="0.25">
      <c r="D292" s="2"/>
      <c r="G292" s="2"/>
      <c r="H292" s="2"/>
      <c r="I292" s="2"/>
      <c r="J292" s="2"/>
      <c r="K292" s="2"/>
      <c r="AC292" s="2"/>
      <c r="AD292" s="2"/>
      <c r="AE292" s="2"/>
      <c r="AI292" s="2"/>
      <c r="AJ292" s="2"/>
      <c r="AK292" s="2"/>
      <c r="AL292" s="2"/>
      <c r="AM292" s="2"/>
      <c r="AN292" s="2"/>
    </row>
    <row r="293" spans="2:57" x14ac:dyDescent="0.25">
      <c r="D293" s="2"/>
      <c r="G293" s="2"/>
      <c r="H293" s="2"/>
      <c r="I293" s="2"/>
      <c r="J293" s="2"/>
      <c r="K293" s="2"/>
      <c r="AC293" s="2"/>
      <c r="AD293" s="2"/>
      <c r="AE293" s="2"/>
      <c r="AI293" s="2"/>
      <c r="AJ293" s="2"/>
      <c r="AK293" s="2"/>
      <c r="AL293" s="2"/>
      <c r="AM293" s="2"/>
      <c r="AN293" s="2"/>
    </row>
    <row r="294" spans="2:57" x14ac:dyDescent="0.25">
      <c r="D294" s="2"/>
      <c r="G294" s="2"/>
      <c r="H294" s="2"/>
      <c r="I294" s="2"/>
      <c r="J294" s="2"/>
      <c r="K294" s="2"/>
      <c r="AC294" s="2"/>
      <c r="AD294" s="2"/>
      <c r="AE294" s="2"/>
      <c r="AI294" s="2"/>
      <c r="AJ294" s="2"/>
      <c r="AK294" s="2"/>
      <c r="AL294" s="2"/>
      <c r="AM294" s="2"/>
      <c r="AN294" s="2"/>
    </row>
    <row r="295" spans="2:57" x14ac:dyDescent="0.25">
      <c r="D295" s="2"/>
      <c r="G295" s="2"/>
      <c r="H295" s="2"/>
      <c r="I295" s="2"/>
      <c r="J295" s="2"/>
      <c r="K295" s="2"/>
      <c r="AC295" s="2"/>
      <c r="AD295" s="2"/>
      <c r="AE295" s="2"/>
      <c r="AI295" s="2"/>
      <c r="AJ295" s="2"/>
      <c r="AK295" s="2"/>
      <c r="AL295" s="2"/>
      <c r="AM295" s="2"/>
      <c r="AN295" s="2"/>
    </row>
    <row r="296" spans="2:57" x14ac:dyDescent="0.25">
      <c r="D296" s="2"/>
      <c r="G296" s="2"/>
      <c r="H296" s="2"/>
      <c r="I296" s="2"/>
      <c r="J296" s="2"/>
      <c r="K296" s="2"/>
      <c r="AC296" s="2"/>
      <c r="AD296" s="2"/>
      <c r="AE296" s="2"/>
      <c r="AI296" s="2"/>
      <c r="AJ296" s="2"/>
      <c r="AK296" s="2"/>
      <c r="AL296" s="2"/>
      <c r="AM296" s="2"/>
      <c r="AN296" s="2"/>
    </row>
    <row r="297" spans="2:57" x14ac:dyDescent="0.25">
      <c r="D297" s="2"/>
      <c r="G297" s="2"/>
      <c r="H297" s="2"/>
      <c r="I297" s="2"/>
      <c r="J297" s="2"/>
      <c r="K297" s="2"/>
      <c r="AC297" s="2"/>
      <c r="AD297" s="2"/>
      <c r="AE297" s="2"/>
      <c r="AI297" s="2"/>
      <c r="AJ297" s="2"/>
      <c r="AK297" s="2"/>
      <c r="AL297" s="2"/>
      <c r="AM297" s="2"/>
      <c r="AN297" s="2"/>
    </row>
    <row r="298" spans="2:57" x14ac:dyDescent="0.25">
      <c r="D298" s="2"/>
      <c r="G298" s="2"/>
      <c r="H298" s="2"/>
      <c r="I298" s="2"/>
      <c r="J298" s="2"/>
      <c r="K298" s="2"/>
      <c r="AC298" s="2"/>
      <c r="AD298" s="2"/>
      <c r="AE298" s="2"/>
      <c r="AI298" s="2"/>
      <c r="AJ298" s="2"/>
      <c r="AK298" s="2"/>
      <c r="AL298" s="2"/>
      <c r="AM298" s="2"/>
      <c r="AN298" s="2"/>
    </row>
    <row r="299" spans="2:57" x14ac:dyDescent="0.25">
      <c r="D299" s="2"/>
      <c r="G299" s="2"/>
      <c r="H299" s="2"/>
      <c r="I299" s="2"/>
      <c r="J299" s="2"/>
      <c r="K299" s="2"/>
      <c r="AC299" s="2"/>
      <c r="AD299" s="2"/>
      <c r="AE299" s="2"/>
      <c r="AI299" s="2"/>
      <c r="AJ299" s="2"/>
      <c r="AK299" s="2"/>
      <c r="AL299" s="2"/>
      <c r="AM299" s="2"/>
      <c r="AN299" s="2"/>
    </row>
    <row r="300" spans="2:57" x14ac:dyDescent="0.25">
      <c r="D300" s="2"/>
      <c r="G300" s="2"/>
      <c r="H300" s="2"/>
      <c r="I300" s="2"/>
      <c r="J300" s="2"/>
      <c r="K300" s="2"/>
      <c r="AC300" s="2"/>
      <c r="AD300" s="2"/>
      <c r="AE300" s="2"/>
      <c r="AI300" s="2"/>
      <c r="AJ300" s="2"/>
      <c r="AK300" s="2"/>
      <c r="AL300" s="2"/>
      <c r="AM300" s="2"/>
      <c r="AN300" s="2"/>
    </row>
    <row r="301" spans="2:57" x14ac:dyDescent="0.25">
      <c r="D301" s="2"/>
      <c r="G301" s="2"/>
      <c r="H301" s="2"/>
      <c r="I301" s="2"/>
      <c r="J301" s="2"/>
      <c r="K301" s="2"/>
      <c r="AC301" s="2"/>
      <c r="AD301" s="2"/>
      <c r="AE301" s="2"/>
      <c r="AI301" s="2"/>
      <c r="AJ301" s="2"/>
      <c r="AK301" s="2"/>
      <c r="AL301" s="2"/>
      <c r="AM301" s="2"/>
      <c r="AN301" s="2"/>
    </row>
    <row r="302" spans="2:57" x14ac:dyDescent="0.25">
      <c r="D302" s="2"/>
      <c r="G302" s="2"/>
      <c r="H302" s="2"/>
      <c r="I302" s="2"/>
      <c r="J302" s="2"/>
      <c r="K302" s="2"/>
      <c r="AC302" s="2"/>
      <c r="AD302" s="2"/>
      <c r="AE302" s="2"/>
      <c r="AI302" s="2"/>
      <c r="AJ302" s="2"/>
      <c r="AK302" s="2"/>
      <c r="AL302" s="2"/>
      <c r="AM302" s="2"/>
      <c r="AN302" s="2"/>
    </row>
    <row r="303" spans="2:57" x14ac:dyDescent="0.25">
      <c r="D303" s="2"/>
      <c r="G303" s="2"/>
      <c r="H303" s="2"/>
      <c r="I303" s="2"/>
      <c r="J303" s="2"/>
      <c r="K303" s="2"/>
      <c r="AC303" s="2"/>
      <c r="AD303" s="2"/>
      <c r="AE303" s="2"/>
      <c r="AI303" s="2"/>
      <c r="AJ303" s="2"/>
      <c r="AK303" s="2"/>
      <c r="AL303" s="2"/>
      <c r="AM303" s="2"/>
      <c r="AN303" s="2"/>
    </row>
    <row r="304" spans="2:57" x14ac:dyDescent="0.25">
      <c r="D304" s="2"/>
      <c r="G304" s="2"/>
      <c r="H304" s="2"/>
      <c r="I304" s="2"/>
      <c r="J304" s="2"/>
      <c r="K304" s="2"/>
      <c r="AC304" s="2"/>
      <c r="AD304" s="2"/>
      <c r="AE304" s="2"/>
      <c r="AI304" s="2"/>
      <c r="AJ304" s="2"/>
      <c r="AK304" s="2"/>
      <c r="AL304" s="2"/>
      <c r="AM304" s="2"/>
      <c r="AN304" s="2"/>
    </row>
    <row r="305" spans="4:40" x14ac:dyDescent="0.25">
      <c r="D305" s="2"/>
      <c r="G305" s="2"/>
      <c r="H305" s="2"/>
      <c r="I305" s="2"/>
      <c r="J305" s="2"/>
      <c r="K305" s="2"/>
      <c r="AC305" s="2"/>
      <c r="AD305" s="2"/>
      <c r="AE305" s="2"/>
      <c r="AI305" s="2"/>
      <c r="AJ305" s="2"/>
      <c r="AK305" s="2"/>
      <c r="AL305" s="2"/>
      <c r="AM305" s="2"/>
      <c r="AN305" s="2"/>
    </row>
    <row r="306" spans="4:40" x14ac:dyDescent="0.25">
      <c r="D306" s="2"/>
      <c r="G306" s="2"/>
      <c r="H306" s="2"/>
      <c r="I306" s="2"/>
      <c r="J306" s="2"/>
      <c r="K306" s="2"/>
      <c r="AC306" s="2"/>
      <c r="AD306" s="2"/>
      <c r="AE306" s="2"/>
      <c r="AI306" s="2"/>
      <c r="AJ306" s="2"/>
      <c r="AK306" s="2"/>
      <c r="AL306" s="2"/>
      <c r="AM306" s="2"/>
      <c r="AN306" s="2"/>
    </row>
    <row r="307" spans="4:40" x14ac:dyDescent="0.25">
      <c r="D307" s="2"/>
      <c r="G307" s="2"/>
      <c r="H307" s="2"/>
      <c r="I307" s="2"/>
      <c r="J307" s="2"/>
      <c r="K307" s="2"/>
      <c r="AC307" s="2"/>
      <c r="AD307" s="2"/>
      <c r="AE307" s="2"/>
      <c r="AI307" s="2"/>
      <c r="AJ307" s="2"/>
      <c r="AK307" s="2"/>
      <c r="AL307" s="2"/>
      <c r="AM307" s="2"/>
      <c r="AN307" s="2"/>
    </row>
    <row r="308" spans="4:40" x14ac:dyDescent="0.25">
      <c r="D308" s="2"/>
      <c r="G308" s="2"/>
      <c r="H308" s="2"/>
      <c r="I308" s="2"/>
      <c r="J308" s="2"/>
      <c r="K308" s="2"/>
      <c r="AC308" s="2"/>
      <c r="AD308" s="2"/>
      <c r="AE308" s="2"/>
      <c r="AI308" s="2"/>
      <c r="AJ308" s="2"/>
      <c r="AK308" s="2"/>
      <c r="AL308" s="2"/>
      <c r="AM308" s="2"/>
      <c r="AN308" s="2"/>
    </row>
    <row r="309" spans="4:40" x14ac:dyDescent="0.25">
      <c r="D309" s="2"/>
      <c r="G309" s="2"/>
      <c r="H309" s="2"/>
      <c r="I309" s="2"/>
      <c r="J309" s="2"/>
      <c r="K309" s="2"/>
      <c r="AC309" s="2"/>
      <c r="AD309" s="2"/>
      <c r="AE309" s="2"/>
      <c r="AI309" s="2"/>
      <c r="AJ309" s="2"/>
      <c r="AK309" s="2"/>
      <c r="AL309" s="2"/>
      <c r="AM309" s="2"/>
      <c r="AN309" s="2"/>
    </row>
    <row r="310" spans="4:40" x14ac:dyDescent="0.25">
      <c r="D310" s="2"/>
      <c r="G310" s="2"/>
      <c r="H310" s="2"/>
      <c r="I310" s="2"/>
      <c r="J310" s="2"/>
      <c r="K310" s="2"/>
      <c r="AC310" s="2"/>
      <c r="AD310" s="2"/>
      <c r="AE310" s="2"/>
      <c r="AI310" s="2"/>
      <c r="AJ310" s="2"/>
      <c r="AK310" s="2"/>
      <c r="AL310" s="2"/>
      <c r="AM310" s="2"/>
      <c r="AN310" s="2"/>
    </row>
    <row r="311" spans="4:40" x14ac:dyDescent="0.25">
      <c r="D311" s="2"/>
      <c r="G311" s="2"/>
      <c r="H311" s="2"/>
      <c r="I311" s="2"/>
      <c r="J311" s="2"/>
      <c r="K311" s="2"/>
      <c r="AC311" s="2"/>
      <c r="AD311" s="2"/>
      <c r="AE311" s="2"/>
      <c r="AI311" s="2"/>
      <c r="AJ311" s="2"/>
      <c r="AK311" s="2"/>
      <c r="AL311" s="2"/>
      <c r="AM311" s="2"/>
      <c r="AN311" s="2"/>
    </row>
    <row r="312" spans="4:40" x14ac:dyDescent="0.25">
      <c r="D312" s="2"/>
      <c r="G312" s="2"/>
      <c r="H312" s="2"/>
      <c r="I312" s="2"/>
      <c r="J312" s="2"/>
      <c r="K312" s="2"/>
      <c r="AC312" s="2"/>
      <c r="AD312" s="2"/>
      <c r="AE312" s="2"/>
      <c r="AI312" s="2"/>
      <c r="AJ312" s="2"/>
      <c r="AK312" s="2"/>
      <c r="AL312" s="2"/>
      <c r="AM312" s="2"/>
      <c r="AN312" s="2"/>
    </row>
    <row r="313" spans="4:40" x14ac:dyDescent="0.25">
      <c r="D313" s="2"/>
      <c r="G313" s="2"/>
      <c r="H313" s="2"/>
      <c r="I313" s="2"/>
      <c r="J313" s="2"/>
      <c r="K313" s="2"/>
      <c r="AC313" s="2"/>
      <c r="AD313" s="2"/>
      <c r="AE313" s="2"/>
      <c r="AI313" s="2"/>
      <c r="AJ313" s="2"/>
      <c r="AK313" s="2"/>
      <c r="AL313" s="2"/>
      <c r="AM313" s="2"/>
      <c r="AN313" s="2"/>
    </row>
    <row r="314" spans="4:40" x14ac:dyDescent="0.25">
      <c r="D314" s="2"/>
      <c r="G314" s="2"/>
      <c r="H314" s="2"/>
      <c r="I314" s="2"/>
      <c r="J314" s="2"/>
      <c r="K314" s="2"/>
      <c r="AC314" s="2"/>
      <c r="AD314" s="2"/>
      <c r="AE314" s="2"/>
      <c r="AI314" s="2"/>
      <c r="AJ314" s="2"/>
      <c r="AK314" s="2"/>
      <c r="AL314" s="2"/>
      <c r="AM314" s="2"/>
      <c r="AN314" s="2"/>
    </row>
    <row r="315" spans="4:40" x14ac:dyDescent="0.25">
      <c r="D315" s="2"/>
      <c r="G315" s="2"/>
      <c r="H315" s="2"/>
      <c r="I315" s="2"/>
      <c r="J315" s="2"/>
      <c r="K315" s="2"/>
      <c r="AC315" s="2"/>
      <c r="AD315" s="2"/>
      <c r="AE315" s="2"/>
      <c r="AI315" s="2"/>
      <c r="AJ315" s="2"/>
      <c r="AK315" s="2"/>
      <c r="AL315" s="2"/>
      <c r="AM315" s="2"/>
      <c r="AN315" s="2"/>
    </row>
    <row r="316" spans="4:40" x14ac:dyDescent="0.25">
      <c r="D316" s="2"/>
      <c r="G316" s="2"/>
      <c r="H316" s="2"/>
      <c r="I316" s="2"/>
      <c r="J316" s="2"/>
      <c r="K316" s="2"/>
      <c r="AC316" s="2"/>
      <c r="AD316" s="2"/>
      <c r="AE316" s="2"/>
      <c r="AI316" s="2"/>
      <c r="AJ316" s="2"/>
      <c r="AK316" s="2"/>
      <c r="AL316" s="2"/>
      <c r="AM316" s="2"/>
      <c r="AN316" s="2"/>
    </row>
    <row r="317" spans="4:40" x14ac:dyDescent="0.25">
      <c r="D317" s="2"/>
      <c r="G317" s="2"/>
      <c r="H317" s="2"/>
      <c r="I317" s="2"/>
      <c r="J317" s="2"/>
      <c r="K317" s="2"/>
      <c r="AC317" s="2"/>
      <c r="AD317" s="2"/>
      <c r="AE317" s="2"/>
      <c r="AI317" s="2"/>
      <c r="AJ317" s="2"/>
      <c r="AK317" s="2"/>
      <c r="AL317" s="2"/>
      <c r="AM317" s="2"/>
      <c r="AN317" s="2"/>
    </row>
    <row r="318" spans="4:40" x14ac:dyDescent="0.25">
      <c r="D318" s="2"/>
      <c r="G318" s="2"/>
      <c r="H318" s="2"/>
      <c r="I318" s="2"/>
      <c r="J318" s="2"/>
      <c r="K318" s="2"/>
      <c r="AC318" s="2"/>
      <c r="AD318" s="2"/>
      <c r="AE318" s="2"/>
      <c r="AI318" s="2"/>
      <c r="AJ318" s="2"/>
      <c r="AK318" s="2"/>
      <c r="AL318" s="2"/>
      <c r="AM318" s="2"/>
      <c r="AN318" s="2"/>
    </row>
    <row r="319" spans="4:40" x14ac:dyDescent="0.25">
      <c r="D319" s="2"/>
      <c r="G319" s="2"/>
      <c r="H319" s="2"/>
      <c r="I319" s="2"/>
      <c r="J319" s="2"/>
      <c r="K319" s="2"/>
      <c r="AC319" s="2"/>
      <c r="AD319" s="2"/>
      <c r="AE319" s="2"/>
      <c r="AI319" s="2"/>
      <c r="AJ319" s="2"/>
      <c r="AK319" s="2"/>
      <c r="AL319" s="2"/>
      <c r="AM319" s="2"/>
      <c r="AN319" s="2"/>
    </row>
    <row r="320" spans="4:40" x14ac:dyDescent="0.25">
      <c r="D320" s="2"/>
      <c r="G320" s="2"/>
      <c r="H320" s="2"/>
      <c r="I320" s="2"/>
      <c r="J320" s="2"/>
      <c r="K320" s="2"/>
      <c r="AC320" s="2"/>
      <c r="AD320" s="2"/>
      <c r="AE320" s="2"/>
      <c r="AI320" s="2"/>
      <c r="AJ320" s="2"/>
      <c r="AK320" s="2"/>
      <c r="AL320" s="2"/>
      <c r="AM320" s="2"/>
      <c r="AN320" s="2"/>
    </row>
    <row r="321" spans="4:40" x14ac:dyDescent="0.25">
      <c r="D321" s="2"/>
      <c r="G321" s="2"/>
      <c r="H321" s="2"/>
      <c r="I321" s="2"/>
      <c r="J321" s="2"/>
      <c r="K321" s="2"/>
      <c r="AC321" s="2"/>
      <c r="AD321" s="2"/>
      <c r="AE321" s="2"/>
      <c r="AI321" s="2"/>
      <c r="AJ321" s="2"/>
      <c r="AK321" s="2"/>
      <c r="AL321" s="2"/>
      <c r="AM321" s="2"/>
      <c r="AN321" s="2"/>
    </row>
    <row r="322" spans="4:40" x14ac:dyDescent="0.25">
      <c r="D322" s="2"/>
      <c r="G322" s="2"/>
      <c r="H322" s="2"/>
      <c r="I322" s="2"/>
      <c r="J322" s="2"/>
      <c r="K322" s="2"/>
      <c r="AC322" s="2"/>
      <c r="AD322" s="2"/>
      <c r="AE322" s="2"/>
      <c r="AI322" s="2"/>
      <c r="AJ322" s="2"/>
      <c r="AK322" s="2"/>
      <c r="AL322" s="2"/>
      <c r="AM322" s="2"/>
      <c r="AN322" s="2"/>
    </row>
    <row r="323" spans="4:40" x14ac:dyDescent="0.25">
      <c r="D323" s="2"/>
      <c r="G323" s="2"/>
      <c r="H323" s="2"/>
      <c r="I323" s="2"/>
      <c r="J323" s="2"/>
      <c r="K323" s="2"/>
      <c r="AC323" s="2"/>
      <c r="AD323" s="2"/>
      <c r="AE323" s="2"/>
      <c r="AI323" s="2"/>
      <c r="AJ323" s="2"/>
      <c r="AK323" s="2"/>
      <c r="AL323" s="2"/>
      <c r="AM323" s="2"/>
      <c r="AN323" s="2"/>
    </row>
    <row r="324" spans="4:40" x14ac:dyDescent="0.25">
      <c r="D324" s="2"/>
      <c r="G324" s="2"/>
      <c r="H324" s="2"/>
      <c r="I324" s="2"/>
      <c r="J324" s="2"/>
      <c r="K324" s="2"/>
      <c r="AC324" s="2"/>
      <c r="AD324" s="2"/>
      <c r="AE324" s="2"/>
      <c r="AI324" s="2"/>
      <c r="AJ324" s="2"/>
      <c r="AK324" s="2"/>
      <c r="AL324" s="2"/>
      <c r="AM324" s="2"/>
      <c r="AN324" s="2"/>
    </row>
    <row r="325" spans="4:40" x14ac:dyDescent="0.25">
      <c r="D325" s="2"/>
      <c r="G325" s="2"/>
      <c r="H325" s="2"/>
      <c r="I325" s="2"/>
      <c r="J325" s="2"/>
      <c r="K325" s="2"/>
      <c r="AC325" s="2"/>
      <c r="AD325" s="2"/>
      <c r="AE325" s="2"/>
      <c r="AI325" s="2"/>
      <c r="AJ325" s="2"/>
      <c r="AK325" s="2"/>
      <c r="AL325" s="2"/>
      <c r="AM325" s="2"/>
      <c r="AN325" s="2"/>
    </row>
    <row r="326" spans="4:40" x14ac:dyDescent="0.25">
      <c r="D326" s="2"/>
      <c r="G326" s="2"/>
      <c r="H326" s="2"/>
      <c r="I326" s="2"/>
      <c r="J326" s="2"/>
      <c r="K326" s="2"/>
      <c r="AC326" s="2"/>
      <c r="AD326" s="2"/>
      <c r="AE326" s="2"/>
      <c r="AI326" s="2"/>
      <c r="AJ326" s="2"/>
      <c r="AK326" s="2"/>
      <c r="AL326" s="2"/>
      <c r="AM326" s="2"/>
      <c r="AN326" s="2"/>
    </row>
    <row r="327" spans="4:40" x14ac:dyDescent="0.25">
      <c r="D327" s="2"/>
      <c r="G327" s="2"/>
      <c r="H327" s="2"/>
      <c r="I327" s="2"/>
      <c r="J327" s="2"/>
      <c r="K327" s="2"/>
      <c r="AC327" s="2"/>
      <c r="AD327" s="2"/>
      <c r="AE327" s="2"/>
      <c r="AI327" s="2"/>
      <c r="AJ327" s="2"/>
      <c r="AK327" s="2"/>
      <c r="AL327" s="2"/>
      <c r="AM327" s="2"/>
      <c r="AN327" s="2"/>
    </row>
    <row r="328" spans="4:40" x14ac:dyDescent="0.25">
      <c r="D328" s="2"/>
      <c r="G328" s="2"/>
      <c r="H328" s="2"/>
      <c r="I328" s="2"/>
      <c r="J328" s="2"/>
      <c r="K328" s="2"/>
      <c r="AC328" s="2"/>
      <c r="AD328" s="2"/>
      <c r="AE328" s="2"/>
      <c r="AI328" s="2"/>
      <c r="AJ328" s="2"/>
      <c r="AK328" s="2"/>
      <c r="AL328" s="2"/>
      <c r="AM328" s="2"/>
      <c r="AN328" s="2"/>
    </row>
    <row r="329" spans="4:40" x14ac:dyDescent="0.25">
      <c r="D329" s="2"/>
      <c r="G329" s="2"/>
      <c r="H329" s="2"/>
      <c r="I329" s="2"/>
      <c r="J329" s="2"/>
      <c r="K329" s="2"/>
      <c r="AC329" s="2"/>
      <c r="AD329" s="2"/>
      <c r="AE329" s="2"/>
      <c r="AI329" s="2"/>
      <c r="AJ329" s="2"/>
      <c r="AK329" s="2"/>
      <c r="AL329" s="2"/>
      <c r="AM329" s="2"/>
      <c r="AN329" s="2"/>
    </row>
    <row r="330" spans="4:40" x14ac:dyDescent="0.25">
      <c r="D330" s="2"/>
      <c r="G330" s="2"/>
      <c r="H330" s="2"/>
      <c r="I330" s="2"/>
      <c r="J330" s="2"/>
      <c r="K330" s="2"/>
      <c r="AC330" s="2"/>
      <c r="AD330" s="2"/>
      <c r="AE330" s="2"/>
      <c r="AI330" s="2"/>
      <c r="AJ330" s="2"/>
      <c r="AK330" s="2"/>
      <c r="AL330" s="2"/>
      <c r="AM330" s="2"/>
      <c r="AN330" s="2"/>
    </row>
    <row r="331" spans="4:40" x14ac:dyDescent="0.25">
      <c r="D331" s="2"/>
      <c r="G331" s="2"/>
      <c r="H331" s="2"/>
      <c r="I331" s="2"/>
      <c r="J331" s="2"/>
      <c r="K331" s="2"/>
      <c r="AC331" s="2"/>
      <c r="AD331" s="2"/>
      <c r="AE331" s="2"/>
      <c r="AI331" s="2"/>
      <c r="AJ331" s="2"/>
      <c r="AK331" s="2"/>
      <c r="AL331" s="2"/>
      <c r="AM331" s="2"/>
      <c r="AN331" s="2"/>
    </row>
    <row r="332" spans="4:40" x14ac:dyDescent="0.25">
      <c r="D332" s="2"/>
      <c r="G332" s="2"/>
      <c r="H332" s="2"/>
      <c r="I332" s="2"/>
      <c r="J332" s="2"/>
      <c r="K332" s="2"/>
      <c r="AC332" s="2"/>
      <c r="AD332" s="2"/>
      <c r="AE332" s="2"/>
      <c r="AI332" s="2"/>
      <c r="AJ332" s="2"/>
      <c r="AK332" s="2"/>
      <c r="AL332" s="2"/>
      <c r="AM332" s="2"/>
      <c r="AN332" s="2"/>
    </row>
    <row r="333" spans="4:40" x14ac:dyDescent="0.25">
      <c r="D333" s="2"/>
      <c r="G333" s="2"/>
      <c r="H333" s="2"/>
      <c r="I333" s="2"/>
      <c r="J333" s="2"/>
      <c r="K333" s="2"/>
      <c r="AC333" s="2"/>
      <c r="AD333" s="2"/>
      <c r="AE333" s="2"/>
      <c r="AI333" s="2"/>
      <c r="AJ333" s="2"/>
      <c r="AK333" s="2"/>
      <c r="AL333" s="2"/>
      <c r="AM333" s="2"/>
      <c r="AN333" s="2"/>
    </row>
    <row r="334" spans="4:40" x14ac:dyDescent="0.25">
      <c r="D334" s="2"/>
      <c r="G334" s="2"/>
      <c r="H334" s="2"/>
      <c r="I334" s="2"/>
      <c r="J334" s="2"/>
      <c r="K334" s="2"/>
      <c r="AC334" s="2"/>
      <c r="AD334" s="2"/>
      <c r="AE334" s="2"/>
      <c r="AI334" s="2"/>
      <c r="AJ334" s="2"/>
      <c r="AK334" s="2"/>
      <c r="AL334" s="2"/>
      <c r="AM334" s="2"/>
      <c r="AN334" s="2"/>
    </row>
    <row r="335" spans="4:40" x14ac:dyDescent="0.25">
      <c r="D335" s="2"/>
      <c r="G335" s="2"/>
      <c r="H335" s="2"/>
      <c r="I335" s="2"/>
      <c r="J335" s="2"/>
      <c r="K335" s="2"/>
      <c r="AC335" s="2"/>
      <c r="AD335" s="2"/>
      <c r="AE335" s="2"/>
      <c r="AI335" s="2"/>
      <c r="AJ335" s="2"/>
      <c r="AK335" s="2"/>
      <c r="AL335" s="2"/>
      <c r="AM335" s="2"/>
      <c r="AN335" s="2"/>
    </row>
    <row r="336" spans="4:40" x14ac:dyDescent="0.25">
      <c r="D336" s="2"/>
      <c r="G336" s="2"/>
      <c r="H336" s="2"/>
      <c r="I336" s="2"/>
      <c r="J336" s="2"/>
      <c r="K336" s="2"/>
      <c r="AC336" s="2"/>
      <c r="AD336" s="2"/>
      <c r="AE336" s="2"/>
      <c r="AI336" s="2"/>
      <c r="AJ336" s="2"/>
      <c r="AK336" s="2"/>
      <c r="AL336" s="2"/>
      <c r="AM336" s="2"/>
      <c r="AN336" s="2"/>
    </row>
    <row r="337" spans="2:57" x14ac:dyDescent="0.25">
      <c r="D337" s="2"/>
      <c r="G337" s="2"/>
      <c r="H337" s="2"/>
      <c r="I337" s="2"/>
      <c r="J337" s="2"/>
      <c r="K337" s="2"/>
      <c r="AC337" s="2"/>
      <c r="AD337" s="2"/>
      <c r="AE337" s="2"/>
      <c r="AI337" s="2"/>
      <c r="AJ337" s="2"/>
      <c r="AK337" s="2"/>
      <c r="AL337" s="2"/>
      <c r="AM337" s="2"/>
      <c r="AN337" s="2"/>
    </row>
    <row r="338" spans="2:57" x14ac:dyDescent="0.25">
      <c r="D338" s="2"/>
      <c r="G338" s="2"/>
      <c r="H338" s="2"/>
      <c r="I338" s="2"/>
      <c r="J338" s="2"/>
      <c r="K338" s="2"/>
      <c r="AC338" s="2"/>
      <c r="AD338" s="2"/>
      <c r="AE338" s="2"/>
      <c r="AI338" s="2"/>
      <c r="AJ338" s="2"/>
      <c r="AK338" s="2"/>
      <c r="AL338" s="2"/>
      <c r="AM338" s="2"/>
      <c r="AN338" s="2"/>
    </row>
    <row r="339" spans="2:57" x14ac:dyDescent="0.25">
      <c r="D339" s="2"/>
      <c r="G339" s="2"/>
      <c r="H339" s="2"/>
      <c r="I339" s="2"/>
      <c r="J339" s="2"/>
      <c r="K339" s="2"/>
      <c r="AC339" s="2"/>
      <c r="AD339" s="2"/>
      <c r="AE339" s="2"/>
      <c r="AI339" s="2"/>
      <c r="AJ339" s="2"/>
      <c r="AK339" s="2"/>
      <c r="AL339" s="2"/>
      <c r="AM339" s="2"/>
      <c r="AN339" s="2"/>
    </row>
    <row r="340" spans="2:57" s="9" customFormat="1" x14ac:dyDescent="0.2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68"/>
      <c r="Z340" s="68"/>
      <c r="AA340" s="68"/>
      <c r="AB340" s="68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</row>
    <row r="341" spans="2:57" s="9" customFormat="1" x14ac:dyDescent="0.2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68"/>
      <c r="Z341" s="68"/>
      <c r="AA341" s="68"/>
      <c r="AB341" s="68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</row>
    <row r="342" spans="2:57" s="9" customFormat="1" x14ac:dyDescent="0.2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68"/>
      <c r="Z342" s="68"/>
      <c r="AA342" s="68"/>
      <c r="AB342" s="68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</row>
    <row r="343" spans="2:57" s="9" customFormat="1" x14ac:dyDescent="0.2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68"/>
      <c r="Z343" s="68"/>
      <c r="AA343" s="68"/>
      <c r="AB343" s="68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</row>
    <row r="344" spans="2:57" x14ac:dyDescent="0.25">
      <c r="D344" s="2"/>
      <c r="G344" s="2"/>
      <c r="H344" s="2"/>
      <c r="I344" s="2"/>
      <c r="J344" s="2"/>
      <c r="K344" s="2"/>
      <c r="AC344" s="2"/>
      <c r="AD344" s="2"/>
      <c r="AE344" s="2"/>
      <c r="AI344" s="2"/>
      <c r="AJ344" s="2"/>
      <c r="AK344" s="2"/>
      <c r="AL344" s="2"/>
      <c r="AM344" s="2"/>
      <c r="AN344" s="2"/>
    </row>
    <row r="345" spans="2:57" x14ac:dyDescent="0.25">
      <c r="D345" s="2"/>
      <c r="G345" s="2"/>
      <c r="H345" s="2"/>
      <c r="I345" s="2"/>
      <c r="J345" s="2"/>
      <c r="K345" s="2"/>
      <c r="AC345" s="2"/>
      <c r="AD345" s="2"/>
      <c r="AE345" s="2"/>
      <c r="AI345" s="2"/>
      <c r="AJ345" s="2"/>
      <c r="AK345" s="2"/>
      <c r="AL345" s="2"/>
      <c r="AM345" s="2"/>
      <c r="AN345" s="2"/>
    </row>
    <row r="346" spans="2:57" x14ac:dyDescent="0.25">
      <c r="D346" s="2"/>
      <c r="G346" s="2"/>
      <c r="H346" s="2"/>
      <c r="I346" s="2"/>
      <c r="J346" s="2"/>
      <c r="K346" s="2"/>
      <c r="AC346" s="2"/>
      <c r="AD346" s="2"/>
      <c r="AE346" s="2"/>
      <c r="AI346" s="2"/>
      <c r="AJ346" s="2"/>
      <c r="AK346" s="2"/>
      <c r="AL346" s="2"/>
      <c r="AM346" s="2"/>
      <c r="AN346" s="2"/>
    </row>
    <row r="347" spans="2:57" x14ac:dyDescent="0.25">
      <c r="D347" s="2"/>
      <c r="G347" s="2"/>
      <c r="H347" s="2"/>
      <c r="I347" s="2"/>
      <c r="J347" s="2"/>
      <c r="K347" s="2"/>
      <c r="AC347" s="2"/>
      <c r="AD347" s="2"/>
      <c r="AE347" s="2"/>
      <c r="AI347" s="2"/>
      <c r="AJ347" s="2"/>
      <c r="AK347" s="2"/>
      <c r="AL347" s="2"/>
      <c r="AM347" s="2"/>
      <c r="AN347" s="2"/>
    </row>
    <row r="348" spans="2:57" x14ac:dyDescent="0.25">
      <c r="D348" s="2"/>
      <c r="G348" s="2"/>
      <c r="H348" s="2"/>
      <c r="I348" s="2"/>
      <c r="J348" s="2"/>
      <c r="K348" s="2"/>
      <c r="AC348" s="2"/>
      <c r="AD348" s="2"/>
      <c r="AE348" s="2"/>
      <c r="AI348" s="2"/>
      <c r="AJ348" s="2"/>
      <c r="AK348" s="2"/>
      <c r="AL348" s="2"/>
      <c r="AM348" s="2"/>
      <c r="AN348" s="2"/>
    </row>
    <row r="349" spans="2:57" x14ac:dyDescent="0.25">
      <c r="D349" s="2"/>
      <c r="G349" s="2"/>
      <c r="H349" s="2"/>
      <c r="I349" s="2"/>
      <c r="J349" s="2"/>
      <c r="K349" s="2"/>
      <c r="AC349" s="2"/>
      <c r="AD349" s="2"/>
      <c r="AE349" s="2"/>
      <c r="AI349" s="2"/>
      <c r="AJ349" s="2"/>
      <c r="AK349" s="2"/>
      <c r="AL349" s="2"/>
      <c r="AM349" s="2"/>
      <c r="AN349" s="2"/>
    </row>
    <row r="350" spans="2:57" x14ac:dyDescent="0.25">
      <c r="D350" s="2"/>
      <c r="G350" s="2"/>
      <c r="H350" s="2"/>
      <c r="I350" s="2"/>
      <c r="J350" s="2"/>
      <c r="K350" s="2"/>
      <c r="AC350" s="2"/>
      <c r="AD350" s="2"/>
      <c r="AE350" s="2"/>
      <c r="AI350" s="2"/>
      <c r="AJ350" s="2"/>
      <c r="AK350" s="2"/>
      <c r="AL350" s="2"/>
      <c r="AM350" s="2"/>
      <c r="AN350" s="2"/>
    </row>
    <row r="351" spans="2:57" x14ac:dyDescent="0.25">
      <c r="D351" s="2"/>
      <c r="G351" s="2"/>
      <c r="H351" s="2"/>
      <c r="I351" s="2"/>
      <c r="J351" s="2"/>
      <c r="K351" s="2"/>
      <c r="AC351" s="2"/>
      <c r="AD351" s="2"/>
      <c r="AE351" s="2"/>
      <c r="AI351" s="2"/>
      <c r="AJ351" s="2"/>
      <c r="AK351" s="2"/>
      <c r="AL351" s="2"/>
      <c r="AM351" s="2"/>
      <c r="AN351" s="2"/>
    </row>
    <row r="352" spans="2:57" x14ac:dyDescent="0.25">
      <c r="D352" s="2"/>
      <c r="G352" s="2"/>
      <c r="H352" s="2"/>
      <c r="I352" s="2"/>
      <c r="J352" s="2"/>
      <c r="K352" s="2"/>
      <c r="AC352" s="2"/>
      <c r="AD352" s="2"/>
      <c r="AE352" s="2"/>
      <c r="AI352" s="2"/>
      <c r="AJ352" s="2"/>
      <c r="AK352" s="2"/>
      <c r="AL352" s="2"/>
      <c r="AM352" s="2"/>
      <c r="AN352" s="2"/>
    </row>
    <row r="353" spans="2:57" x14ac:dyDescent="0.25">
      <c r="D353" s="2"/>
      <c r="G353" s="2"/>
      <c r="H353" s="2"/>
      <c r="I353" s="2"/>
      <c r="J353" s="2"/>
      <c r="K353" s="2"/>
      <c r="AC353" s="2"/>
      <c r="AD353" s="2"/>
      <c r="AE353" s="2"/>
      <c r="AI353" s="2"/>
      <c r="AJ353" s="2"/>
      <c r="AK353" s="2"/>
      <c r="AL353" s="2"/>
      <c r="AM353" s="2"/>
      <c r="AN353" s="2"/>
    </row>
    <row r="354" spans="2:57" x14ac:dyDescent="0.25">
      <c r="D354" s="2"/>
      <c r="G354" s="2"/>
      <c r="H354" s="2"/>
      <c r="I354" s="2"/>
      <c r="J354" s="2"/>
      <c r="K354" s="2"/>
      <c r="AC354" s="2"/>
      <c r="AD354" s="2"/>
      <c r="AE354" s="2"/>
      <c r="AI354" s="2"/>
      <c r="AJ354" s="2"/>
      <c r="AK354" s="2"/>
      <c r="AL354" s="2"/>
      <c r="AM354" s="2"/>
      <c r="AN354" s="2"/>
    </row>
    <row r="355" spans="2:57" x14ac:dyDescent="0.25">
      <c r="D355" s="2"/>
      <c r="G355" s="2"/>
      <c r="H355" s="2"/>
      <c r="I355" s="2"/>
      <c r="J355" s="2"/>
      <c r="K355" s="2"/>
      <c r="AC355" s="2"/>
      <c r="AD355" s="2"/>
      <c r="AE355" s="2"/>
      <c r="AI355" s="2"/>
      <c r="AJ355" s="2"/>
      <c r="AK355" s="2"/>
      <c r="AL355" s="2"/>
      <c r="AM355" s="2"/>
      <c r="AN355" s="2"/>
    </row>
    <row r="356" spans="2:57" x14ac:dyDescent="0.25">
      <c r="D356" s="2"/>
      <c r="G356" s="2"/>
      <c r="H356" s="2"/>
      <c r="I356" s="2"/>
      <c r="J356" s="2"/>
      <c r="K356" s="2"/>
      <c r="AC356" s="2"/>
      <c r="AD356" s="2"/>
      <c r="AE356" s="2"/>
      <c r="AI356" s="2"/>
      <c r="AJ356" s="2"/>
      <c r="AK356" s="2"/>
      <c r="AL356" s="2"/>
      <c r="AM356" s="2"/>
      <c r="AN356" s="2"/>
    </row>
    <row r="357" spans="2:57" x14ac:dyDescent="0.25">
      <c r="D357" s="2"/>
      <c r="G357" s="2"/>
      <c r="H357" s="2"/>
      <c r="I357" s="2"/>
      <c r="J357" s="2"/>
      <c r="K357" s="2"/>
      <c r="AC357" s="2"/>
      <c r="AD357" s="2"/>
      <c r="AE357" s="2"/>
      <c r="AI357" s="2"/>
      <c r="AJ357" s="2"/>
      <c r="AK357" s="2"/>
      <c r="AL357" s="2"/>
      <c r="AM357" s="2"/>
      <c r="AN357" s="2"/>
    </row>
    <row r="358" spans="2:57" x14ac:dyDescent="0.25">
      <c r="D358" s="2"/>
      <c r="G358" s="2"/>
      <c r="H358" s="2"/>
      <c r="I358" s="2"/>
      <c r="J358" s="2"/>
      <c r="K358" s="2"/>
      <c r="AC358" s="2"/>
      <c r="AD358" s="2"/>
      <c r="AE358" s="2"/>
      <c r="AI358" s="2"/>
      <c r="AJ358" s="2"/>
      <c r="AK358" s="2"/>
      <c r="AL358" s="2"/>
      <c r="AM358" s="2"/>
      <c r="AN358" s="2"/>
    </row>
    <row r="359" spans="2:57" x14ac:dyDescent="0.25">
      <c r="D359" s="2"/>
      <c r="G359" s="2"/>
      <c r="H359" s="2"/>
      <c r="I359" s="2"/>
      <c r="J359" s="2"/>
      <c r="K359" s="2"/>
      <c r="AC359" s="2"/>
      <c r="AD359" s="2"/>
      <c r="AE359" s="2"/>
      <c r="AI359" s="2"/>
      <c r="AJ359" s="2"/>
      <c r="AK359" s="2"/>
      <c r="AL359" s="2"/>
      <c r="AM359" s="2"/>
      <c r="AN359" s="2"/>
    </row>
    <row r="360" spans="2:57" x14ac:dyDescent="0.25">
      <c r="D360" s="2"/>
      <c r="G360" s="2"/>
      <c r="H360" s="2"/>
      <c r="I360" s="2"/>
      <c r="J360" s="2"/>
      <c r="K360" s="2"/>
      <c r="AC360" s="2"/>
      <c r="AD360" s="2"/>
      <c r="AE360" s="2"/>
      <c r="AI360" s="2"/>
      <c r="AJ360" s="2"/>
      <c r="AK360" s="2"/>
      <c r="AL360" s="2"/>
      <c r="AM360" s="2"/>
      <c r="AN360" s="2"/>
    </row>
    <row r="361" spans="2:57" x14ac:dyDescent="0.25">
      <c r="D361" s="2"/>
      <c r="G361" s="2"/>
      <c r="H361" s="2"/>
      <c r="I361" s="2"/>
      <c r="J361" s="2"/>
      <c r="K361" s="2"/>
      <c r="AC361" s="2"/>
      <c r="AD361" s="2"/>
      <c r="AE361" s="2"/>
      <c r="AI361" s="2"/>
      <c r="AJ361" s="2"/>
      <c r="AK361" s="2"/>
      <c r="AL361" s="2"/>
      <c r="AM361" s="2"/>
      <c r="AN361" s="2"/>
    </row>
    <row r="362" spans="2:57" x14ac:dyDescent="0.25">
      <c r="D362" s="2"/>
      <c r="G362" s="2"/>
      <c r="H362" s="2"/>
      <c r="I362" s="2"/>
      <c r="J362" s="2"/>
      <c r="K362" s="2"/>
      <c r="AC362" s="2"/>
      <c r="AD362" s="2"/>
      <c r="AE362" s="2"/>
      <c r="AI362" s="2"/>
      <c r="AJ362" s="2"/>
      <c r="AK362" s="2"/>
      <c r="AL362" s="2"/>
      <c r="AM362" s="2"/>
      <c r="AN362" s="2"/>
    </row>
    <row r="363" spans="2:57" x14ac:dyDescent="0.25">
      <c r="D363" s="2"/>
      <c r="G363" s="2"/>
      <c r="H363" s="2"/>
      <c r="I363" s="2"/>
      <c r="J363" s="2"/>
      <c r="K363" s="2"/>
      <c r="AC363" s="2"/>
      <c r="AD363" s="2"/>
      <c r="AE363" s="2"/>
      <c r="AI363" s="2"/>
      <c r="AJ363" s="2"/>
      <c r="AK363" s="2"/>
      <c r="AL363" s="2"/>
      <c r="AM363" s="2"/>
      <c r="AN363" s="2"/>
    </row>
    <row r="364" spans="2:57" s="10" customFormat="1" x14ac:dyDescent="0.2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68"/>
      <c r="Z364" s="68"/>
      <c r="AA364" s="68"/>
      <c r="AB364" s="68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</row>
    <row r="365" spans="2:57" s="10" customFormat="1" x14ac:dyDescent="0.2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68"/>
      <c r="Z365" s="68"/>
      <c r="AA365" s="68"/>
      <c r="AB365" s="68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</row>
    <row r="366" spans="2:57" s="10" customFormat="1" x14ac:dyDescent="0.2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68"/>
      <c r="Z366" s="68"/>
      <c r="AA366" s="68"/>
      <c r="AB366" s="68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</row>
    <row r="367" spans="2:57" s="10" customFormat="1" x14ac:dyDescent="0.2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68"/>
      <c r="Z367" s="68"/>
      <c r="AA367" s="68"/>
      <c r="AB367" s="68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</row>
    <row r="368" spans="2:57" s="10" customFormat="1" x14ac:dyDescent="0.2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68"/>
      <c r="Z368" s="68"/>
      <c r="AA368" s="68"/>
      <c r="AB368" s="68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</row>
    <row r="369" spans="2:57" s="10" customFormat="1" x14ac:dyDescent="0.2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68"/>
      <c r="Z369" s="68"/>
      <c r="AA369" s="68"/>
      <c r="AB369" s="68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</row>
    <row r="370" spans="2:57" x14ac:dyDescent="0.25">
      <c r="D370" s="2"/>
      <c r="G370" s="2"/>
      <c r="H370" s="2"/>
      <c r="I370" s="2"/>
      <c r="J370" s="2"/>
      <c r="K370" s="2"/>
      <c r="AC370" s="2"/>
      <c r="AD370" s="2"/>
      <c r="AE370" s="2"/>
      <c r="AI370" s="2"/>
      <c r="AJ370" s="2"/>
      <c r="AK370" s="2"/>
      <c r="AL370" s="2"/>
      <c r="AM370" s="2"/>
      <c r="AN370" s="2"/>
    </row>
    <row r="371" spans="2:57" x14ac:dyDescent="0.25">
      <c r="D371" s="2"/>
      <c r="G371" s="2"/>
      <c r="H371" s="2"/>
      <c r="I371" s="2"/>
      <c r="J371" s="2"/>
      <c r="K371" s="2"/>
      <c r="AC371" s="2"/>
      <c r="AD371" s="2"/>
      <c r="AE371" s="2"/>
      <c r="AI371" s="2"/>
      <c r="AJ371" s="2"/>
      <c r="AK371" s="2"/>
      <c r="AL371" s="2"/>
      <c r="AM371" s="2"/>
      <c r="AN371" s="2"/>
    </row>
    <row r="372" spans="2:57" s="10" customFormat="1" x14ac:dyDescent="0.2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68"/>
      <c r="Z372" s="68"/>
      <c r="AA372" s="68"/>
      <c r="AB372" s="68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</row>
    <row r="373" spans="2:57" s="10" customFormat="1" x14ac:dyDescent="0.2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68"/>
      <c r="Z373" s="68"/>
      <c r="AA373" s="68"/>
      <c r="AB373" s="68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</row>
    <row r="374" spans="2:57" s="10" customFormat="1" x14ac:dyDescent="0.2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68"/>
      <c r="Z374" s="68"/>
      <c r="AA374" s="68"/>
      <c r="AB374" s="68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</row>
    <row r="375" spans="2:57" s="10" customFormat="1" x14ac:dyDescent="0.2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68"/>
      <c r="Z375" s="68"/>
      <c r="AA375" s="68"/>
      <c r="AB375" s="68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</row>
    <row r="376" spans="2:57" s="10" customFormat="1" x14ac:dyDescent="0.2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68"/>
      <c r="Z376" s="68"/>
      <c r="AA376" s="68"/>
      <c r="AB376" s="68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</row>
    <row r="377" spans="2:57" x14ac:dyDescent="0.25">
      <c r="D377" s="2"/>
      <c r="G377" s="2"/>
      <c r="H377" s="2"/>
      <c r="I377" s="2"/>
      <c r="J377" s="2"/>
      <c r="K377" s="2"/>
      <c r="AC377" s="2"/>
      <c r="AD377" s="2"/>
      <c r="AE377" s="2"/>
      <c r="AI377" s="2"/>
      <c r="AJ377" s="2"/>
      <c r="AK377" s="2"/>
      <c r="AL377" s="2"/>
      <c r="AM377" s="2"/>
      <c r="AN377" s="2"/>
    </row>
    <row r="378" spans="2:57" x14ac:dyDescent="0.25">
      <c r="D378" s="2"/>
      <c r="G378" s="2"/>
      <c r="H378" s="2"/>
      <c r="I378" s="2"/>
      <c r="J378" s="2"/>
      <c r="K378" s="2"/>
      <c r="AC378" s="2"/>
      <c r="AD378" s="2"/>
      <c r="AE378" s="2"/>
      <c r="AI378" s="2"/>
      <c r="AJ378" s="2"/>
      <c r="AK378" s="2"/>
      <c r="AL378" s="2"/>
      <c r="AM378" s="2"/>
      <c r="AN378" s="2"/>
    </row>
    <row r="379" spans="2:57" x14ac:dyDescent="0.25">
      <c r="D379" s="2"/>
      <c r="G379" s="2"/>
      <c r="H379" s="2"/>
      <c r="I379" s="2"/>
      <c r="J379" s="2"/>
      <c r="K379" s="2"/>
      <c r="AC379" s="2"/>
      <c r="AD379" s="2"/>
      <c r="AE379" s="2"/>
      <c r="AI379" s="2"/>
      <c r="AJ379" s="2"/>
      <c r="AK379" s="2"/>
      <c r="AL379" s="2"/>
      <c r="AM379" s="2"/>
      <c r="AN379" s="2"/>
    </row>
    <row r="380" spans="2:57" s="10" customFormat="1" x14ac:dyDescent="0.2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68"/>
      <c r="Z380" s="68"/>
      <c r="AA380" s="68"/>
      <c r="AB380" s="68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</row>
    <row r="381" spans="2:57" x14ac:dyDescent="0.25">
      <c r="D381" s="2"/>
      <c r="G381" s="2"/>
      <c r="H381" s="2"/>
      <c r="I381" s="2"/>
      <c r="J381" s="2"/>
      <c r="K381" s="2"/>
      <c r="AC381" s="2"/>
      <c r="AD381" s="2"/>
      <c r="AE381" s="2"/>
      <c r="AI381" s="2"/>
      <c r="AJ381" s="2"/>
      <c r="AK381" s="2"/>
      <c r="AL381" s="2"/>
      <c r="AM381" s="2"/>
      <c r="AN381" s="2"/>
    </row>
    <row r="382" spans="2:57" x14ac:dyDescent="0.25">
      <c r="D382" s="2"/>
      <c r="G382" s="2"/>
      <c r="H382" s="2"/>
      <c r="I382" s="2"/>
      <c r="J382" s="2"/>
      <c r="K382" s="2"/>
      <c r="AC382" s="2"/>
      <c r="AD382" s="2"/>
      <c r="AE382" s="2"/>
      <c r="AI382" s="2"/>
      <c r="AJ382" s="2"/>
      <c r="AK382" s="2"/>
      <c r="AL382" s="2"/>
      <c r="AM382" s="2"/>
      <c r="AN382" s="2"/>
    </row>
    <row r="383" spans="2:57" s="10" customFormat="1" x14ac:dyDescent="0.2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68"/>
      <c r="Z383" s="68"/>
      <c r="AA383" s="68"/>
      <c r="AB383" s="68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</row>
    <row r="384" spans="2:57" s="10" customFormat="1" x14ac:dyDescent="0.2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68"/>
      <c r="Z384" s="68"/>
      <c r="AA384" s="68"/>
      <c r="AB384" s="68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</row>
    <row r="385" spans="2:57" s="10" customFormat="1" x14ac:dyDescent="0.2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68"/>
      <c r="Z385" s="68"/>
      <c r="AA385" s="68"/>
      <c r="AB385" s="68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</row>
    <row r="386" spans="2:57" s="10" customFormat="1" x14ac:dyDescent="0.2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68"/>
      <c r="Z386" s="68"/>
      <c r="AA386" s="68"/>
      <c r="AB386" s="68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</row>
    <row r="387" spans="2:57" s="10" customFormat="1" x14ac:dyDescent="0.2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68"/>
      <c r="Z387" s="68"/>
      <c r="AA387" s="68"/>
      <c r="AB387" s="68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</row>
    <row r="388" spans="2:57" x14ac:dyDescent="0.25">
      <c r="D388" s="2"/>
      <c r="G388" s="2"/>
      <c r="H388" s="2"/>
      <c r="I388" s="2"/>
      <c r="J388" s="2"/>
      <c r="K388" s="2"/>
      <c r="AC388" s="2"/>
      <c r="AD388" s="2"/>
      <c r="AE388" s="2"/>
      <c r="AI388" s="2"/>
      <c r="AJ388" s="2"/>
      <c r="AK388" s="2"/>
      <c r="AL388" s="2"/>
      <c r="AM388" s="2"/>
      <c r="AN388" s="2"/>
    </row>
    <row r="389" spans="2:57" x14ac:dyDescent="0.25">
      <c r="D389" s="2"/>
      <c r="G389" s="2"/>
      <c r="H389" s="2"/>
      <c r="I389" s="2"/>
      <c r="J389" s="2"/>
      <c r="K389" s="2"/>
      <c r="AC389" s="2"/>
      <c r="AD389" s="2"/>
      <c r="AE389" s="2"/>
      <c r="AI389" s="2"/>
      <c r="AJ389" s="2"/>
      <c r="AK389" s="2"/>
      <c r="AL389" s="2"/>
      <c r="AM389" s="2"/>
      <c r="AN389" s="2"/>
    </row>
    <row r="390" spans="2:57" x14ac:dyDescent="0.25">
      <c r="D390" s="2"/>
      <c r="G390" s="2"/>
      <c r="H390" s="2"/>
      <c r="I390" s="2"/>
      <c r="J390" s="2"/>
      <c r="K390" s="2"/>
      <c r="AC390" s="2"/>
      <c r="AD390" s="2"/>
      <c r="AE390" s="2"/>
      <c r="AI390" s="2"/>
      <c r="AJ390" s="2"/>
      <c r="AK390" s="2"/>
      <c r="AL390" s="2"/>
      <c r="AM390" s="2"/>
      <c r="AN390" s="2"/>
    </row>
    <row r="391" spans="2:57" x14ac:dyDescent="0.25">
      <c r="D391" s="2"/>
      <c r="G391" s="2"/>
      <c r="H391" s="2"/>
      <c r="I391" s="2"/>
      <c r="J391" s="2"/>
      <c r="K391" s="2"/>
      <c r="AC391" s="2"/>
      <c r="AD391" s="2"/>
      <c r="AE391" s="2"/>
      <c r="AI391" s="2"/>
      <c r="AJ391" s="2"/>
      <c r="AK391" s="2"/>
      <c r="AL391" s="2"/>
      <c r="AM391" s="2"/>
      <c r="AN391" s="2"/>
    </row>
    <row r="392" spans="2:57" x14ac:dyDescent="0.25">
      <c r="D392" s="2"/>
      <c r="G392" s="2"/>
      <c r="H392" s="2"/>
      <c r="I392" s="2"/>
      <c r="J392" s="2"/>
      <c r="K392" s="2"/>
      <c r="AC392" s="2"/>
      <c r="AD392" s="2"/>
      <c r="AE392" s="2"/>
      <c r="AI392" s="2"/>
      <c r="AJ392" s="2"/>
      <c r="AK392" s="2"/>
      <c r="AL392" s="2"/>
      <c r="AM392" s="2"/>
      <c r="AN392" s="2"/>
    </row>
    <row r="393" spans="2:57" x14ac:dyDescent="0.25">
      <c r="D393" s="2"/>
      <c r="G393" s="2"/>
      <c r="H393" s="2"/>
      <c r="I393" s="2"/>
      <c r="J393" s="2"/>
      <c r="K393" s="2"/>
      <c r="AC393" s="2"/>
      <c r="AD393" s="2"/>
      <c r="AE393" s="2"/>
      <c r="AI393" s="2"/>
      <c r="AJ393" s="2"/>
      <c r="AK393" s="2"/>
      <c r="AL393" s="2"/>
      <c r="AM393" s="2"/>
      <c r="AN393" s="2"/>
    </row>
    <row r="394" spans="2:57" x14ac:dyDescent="0.25">
      <c r="D394" s="2"/>
      <c r="G394" s="2"/>
      <c r="H394" s="2"/>
      <c r="I394" s="2"/>
      <c r="J394" s="2"/>
      <c r="K394" s="2"/>
      <c r="AC394" s="2"/>
      <c r="AD394" s="2"/>
      <c r="AE394" s="2"/>
      <c r="AI394" s="2"/>
      <c r="AJ394" s="2"/>
      <c r="AK394" s="2"/>
      <c r="AL394" s="2"/>
      <c r="AM394" s="2"/>
      <c r="AN394" s="2"/>
    </row>
    <row r="395" spans="2:57" x14ac:dyDescent="0.25">
      <c r="D395" s="2"/>
      <c r="G395" s="2"/>
      <c r="H395" s="2"/>
      <c r="I395" s="2"/>
      <c r="J395" s="2"/>
      <c r="K395" s="2"/>
      <c r="AC395" s="2"/>
      <c r="AD395" s="2"/>
      <c r="AE395" s="2"/>
      <c r="AI395" s="2"/>
      <c r="AJ395" s="2"/>
      <c r="AK395" s="2"/>
      <c r="AL395" s="2"/>
      <c r="AM395" s="2"/>
      <c r="AN395" s="2"/>
    </row>
    <row r="396" spans="2:57" x14ac:dyDescent="0.25">
      <c r="D396" s="2"/>
      <c r="G396" s="2"/>
      <c r="H396" s="2"/>
      <c r="I396" s="2"/>
      <c r="J396" s="2"/>
      <c r="K396" s="2"/>
      <c r="AC396" s="2"/>
      <c r="AD396" s="2"/>
      <c r="AE396" s="2"/>
      <c r="AI396" s="2"/>
      <c r="AJ396" s="2"/>
      <c r="AK396" s="2"/>
      <c r="AL396" s="2"/>
      <c r="AM396" s="2"/>
      <c r="AN396" s="2"/>
    </row>
    <row r="397" spans="2:57" x14ac:dyDescent="0.25">
      <c r="D397" s="2"/>
      <c r="G397" s="2"/>
      <c r="H397" s="2"/>
      <c r="I397" s="2"/>
      <c r="J397" s="2"/>
      <c r="K397" s="2"/>
      <c r="AC397" s="2"/>
      <c r="AD397" s="2"/>
      <c r="AE397" s="2"/>
      <c r="AI397" s="2"/>
      <c r="AJ397" s="2"/>
      <c r="AK397" s="2"/>
      <c r="AL397" s="2"/>
      <c r="AM397" s="2"/>
      <c r="AN397" s="2"/>
    </row>
    <row r="398" spans="2:57" x14ac:dyDescent="0.25">
      <c r="D398" s="2"/>
      <c r="G398" s="2"/>
      <c r="H398" s="2"/>
      <c r="I398" s="2"/>
      <c r="J398" s="2"/>
      <c r="K398" s="2"/>
      <c r="AC398" s="2"/>
      <c r="AD398" s="2"/>
      <c r="AE398" s="2"/>
      <c r="AI398" s="2"/>
      <c r="AJ398" s="2"/>
      <c r="AK398" s="2"/>
      <c r="AL398" s="2"/>
      <c r="AM398" s="2"/>
      <c r="AN398" s="2"/>
    </row>
    <row r="399" spans="2:57" x14ac:dyDescent="0.25">
      <c r="D399" s="2"/>
      <c r="G399" s="2"/>
      <c r="H399" s="2"/>
      <c r="I399" s="2"/>
      <c r="J399" s="2"/>
      <c r="K399" s="2"/>
      <c r="AC399" s="2"/>
      <c r="AD399" s="2"/>
      <c r="AE399" s="2"/>
      <c r="AI399" s="2"/>
      <c r="AJ399" s="2"/>
      <c r="AK399" s="2"/>
      <c r="AL399" s="2"/>
      <c r="AM399" s="2"/>
      <c r="AN399" s="2"/>
    </row>
    <row r="400" spans="2:57" x14ac:dyDescent="0.25">
      <c r="D400" s="2"/>
      <c r="G400" s="2"/>
      <c r="H400" s="2"/>
      <c r="I400" s="2"/>
      <c r="J400" s="2"/>
      <c r="K400" s="2"/>
      <c r="AC400" s="2"/>
      <c r="AD400" s="2"/>
      <c r="AE400" s="2"/>
      <c r="AI400" s="2"/>
      <c r="AJ400" s="2"/>
      <c r="AK400" s="2"/>
      <c r="AL400" s="2"/>
      <c r="AM400" s="2"/>
      <c r="AN400" s="2"/>
    </row>
    <row r="401" spans="4:40" x14ac:dyDescent="0.25">
      <c r="D401" s="2"/>
      <c r="G401" s="2"/>
      <c r="H401" s="2"/>
      <c r="I401" s="2"/>
      <c r="J401" s="2"/>
      <c r="K401" s="2"/>
      <c r="AC401" s="2"/>
      <c r="AD401" s="2"/>
      <c r="AE401" s="2"/>
      <c r="AI401" s="2"/>
      <c r="AJ401" s="2"/>
      <c r="AK401" s="2"/>
      <c r="AL401" s="2"/>
      <c r="AM401" s="2"/>
      <c r="AN401" s="2"/>
    </row>
    <row r="402" spans="4:40" x14ac:dyDescent="0.25">
      <c r="D402" s="2"/>
      <c r="G402" s="2"/>
      <c r="H402" s="2"/>
      <c r="I402" s="2"/>
      <c r="J402" s="2"/>
      <c r="K402" s="2"/>
      <c r="AC402" s="2"/>
      <c r="AD402" s="2"/>
      <c r="AE402" s="2"/>
      <c r="AI402" s="2"/>
      <c r="AJ402" s="2"/>
      <c r="AK402" s="2"/>
      <c r="AL402" s="2"/>
      <c r="AM402" s="2"/>
      <c r="AN402" s="2"/>
    </row>
    <row r="403" spans="4:40" x14ac:dyDescent="0.25">
      <c r="D403" s="2"/>
      <c r="G403" s="2"/>
      <c r="H403" s="2"/>
      <c r="I403" s="2"/>
      <c r="J403" s="2"/>
      <c r="K403" s="2"/>
      <c r="AC403" s="2"/>
      <c r="AD403" s="2"/>
      <c r="AE403" s="2"/>
      <c r="AI403" s="2"/>
      <c r="AJ403" s="2"/>
      <c r="AK403" s="2"/>
      <c r="AL403" s="2"/>
      <c r="AM403" s="2"/>
      <c r="AN403" s="2"/>
    </row>
    <row r="404" spans="4:40" x14ac:dyDescent="0.25">
      <c r="D404" s="2"/>
      <c r="G404" s="2"/>
      <c r="H404" s="2"/>
      <c r="I404" s="2"/>
      <c r="J404" s="2"/>
      <c r="K404" s="2"/>
      <c r="AC404" s="2"/>
      <c r="AD404" s="2"/>
      <c r="AE404" s="2"/>
      <c r="AI404" s="2"/>
      <c r="AJ404" s="2"/>
      <c r="AK404" s="2"/>
      <c r="AL404" s="2"/>
      <c r="AM404" s="2"/>
      <c r="AN404" s="2"/>
    </row>
    <row r="405" spans="4:40" x14ac:dyDescent="0.25">
      <c r="D405" s="2"/>
      <c r="G405" s="2"/>
      <c r="H405" s="2"/>
      <c r="I405" s="2"/>
      <c r="J405" s="2"/>
      <c r="K405" s="2"/>
      <c r="AC405" s="2"/>
      <c r="AD405" s="2"/>
      <c r="AE405" s="2"/>
      <c r="AI405" s="2"/>
      <c r="AJ405" s="2"/>
      <c r="AK405" s="2"/>
      <c r="AL405" s="2"/>
      <c r="AM405" s="2"/>
      <c r="AN405" s="2"/>
    </row>
    <row r="406" spans="4:40" x14ac:dyDescent="0.25">
      <c r="D406" s="2"/>
      <c r="G406" s="2"/>
      <c r="H406" s="2"/>
      <c r="I406" s="2"/>
      <c r="J406" s="2"/>
      <c r="K406" s="2"/>
      <c r="AC406" s="2"/>
      <c r="AD406" s="2"/>
      <c r="AE406" s="2"/>
      <c r="AI406" s="2"/>
      <c r="AJ406" s="2"/>
      <c r="AK406" s="2"/>
      <c r="AL406" s="2"/>
      <c r="AM406" s="2"/>
      <c r="AN406" s="2"/>
    </row>
    <row r="407" spans="4:40" x14ac:dyDescent="0.25">
      <c r="D407" s="2"/>
      <c r="G407" s="2"/>
      <c r="H407" s="2"/>
      <c r="I407" s="2"/>
      <c r="J407" s="2"/>
      <c r="K407" s="2"/>
      <c r="AC407" s="2"/>
      <c r="AD407" s="2"/>
      <c r="AE407" s="2"/>
      <c r="AI407" s="2"/>
      <c r="AJ407" s="2"/>
      <c r="AK407" s="2"/>
      <c r="AL407" s="2"/>
      <c r="AM407" s="2"/>
      <c r="AN407" s="2"/>
    </row>
    <row r="408" spans="4:40" x14ac:dyDescent="0.25">
      <c r="D408" s="2"/>
      <c r="G408" s="2"/>
      <c r="H408" s="2"/>
      <c r="I408" s="2"/>
      <c r="J408" s="2"/>
      <c r="K408" s="2"/>
      <c r="AC408" s="2"/>
      <c r="AD408" s="2"/>
      <c r="AE408" s="2"/>
      <c r="AI408" s="2"/>
      <c r="AJ408" s="2"/>
      <c r="AK408" s="2"/>
      <c r="AL408" s="2"/>
      <c r="AM408" s="2"/>
      <c r="AN408" s="2"/>
    </row>
    <row r="409" spans="4:40" x14ac:dyDescent="0.25">
      <c r="D409" s="2"/>
      <c r="G409" s="2"/>
      <c r="H409" s="2"/>
      <c r="I409" s="2"/>
      <c r="J409" s="2"/>
      <c r="K409" s="2"/>
      <c r="AC409" s="2"/>
      <c r="AD409" s="2"/>
      <c r="AE409" s="2"/>
      <c r="AI409" s="2"/>
      <c r="AJ409" s="2"/>
      <c r="AK409" s="2"/>
      <c r="AL409" s="2"/>
      <c r="AM409" s="2"/>
      <c r="AN409" s="2"/>
    </row>
    <row r="410" spans="4:40" x14ac:dyDescent="0.25">
      <c r="D410" s="2"/>
      <c r="G410" s="2"/>
      <c r="H410" s="2"/>
      <c r="I410" s="2"/>
      <c r="J410" s="2"/>
      <c r="K410" s="2"/>
      <c r="AC410" s="2"/>
      <c r="AD410" s="2"/>
      <c r="AE410" s="2"/>
      <c r="AI410" s="2"/>
      <c r="AJ410" s="2"/>
      <c r="AK410" s="2"/>
      <c r="AL410" s="2"/>
      <c r="AM410" s="2"/>
      <c r="AN410" s="2"/>
    </row>
    <row r="411" spans="4:40" x14ac:dyDescent="0.25">
      <c r="D411" s="2"/>
      <c r="G411" s="2"/>
      <c r="H411" s="2"/>
      <c r="I411" s="2"/>
      <c r="J411" s="2"/>
      <c r="K411" s="2"/>
      <c r="AC411" s="2"/>
      <c r="AD411" s="2"/>
      <c r="AE411" s="2"/>
      <c r="AI411" s="2"/>
      <c r="AJ411" s="2"/>
      <c r="AK411" s="2"/>
      <c r="AL411" s="2"/>
      <c r="AM411" s="2"/>
      <c r="AN411" s="2"/>
    </row>
    <row r="412" spans="4:40" x14ac:dyDescent="0.25">
      <c r="D412" s="2"/>
      <c r="G412" s="2"/>
      <c r="H412" s="2"/>
      <c r="I412" s="2"/>
      <c r="J412" s="2"/>
      <c r="K412" s="2"/>
      <c r="AC412" s="2"/>
      <c r="AD412" s="2"/>
      <c r="AE412" s="2"/>
      <c r="AI412" s="2"/>
      <c r="AJ412" s="2"/>
      <c r="AK412" s="2"/>
      <c r="AL412" s="2"/>
      <c r="AM412" s="2"/>
      <c r="AN412" s="2"/>
    </row>
    <row r="413" spans="4:40" x14ac:dyDescent="0.25">
      <c r="D413" s="2"/>
      <c r="G413" s="2"/>
      <c r="H413" s="2"/>
      <c r="I413" s="2"/>
      <c r="J413" s="2"/>
      <c r="K413" s="2"/>
      <c r="AC413" s="2"/>
      <c r="AD413" s="2"/>
      <c r="AE413" s="2"/>
      <c r="AI413" s="2"/>
      <c r="AJ413" s="2"/>
      <c r="AK413" s="2"/>
      <c r="AL413" s="2"/>
      <c r="AM413" s="2"/>
      <c r="AN413" s="2"/>
    </row>
    <row r="414" spans="4:40" x14ac:dyDescent="0.25">
      <c r="D414" s="2"/>
      <c r="G414" s="2"/>
      <c r="H414" s="2"/>
      <c r="I414" s="2"/>
      <c r="J414" s="2"/>
      <c r="K414" s="2"/>
      <c r="AC414" s="2"/>
      <c r="AD414" s="2"/>
      <c r="AE414" s="2"/>
      <c r="AI414" s="2"/>
      <c r="AJ414" s="2"/>
      <c r="AK414" s="2"/>
      <c r="AL414" s="2"/>
      <c r="AM414" s="2"/>
      <c r="AN414" s="2"/>
    </row>
    <row r="415" spans="4:40" x14ac:dyDescent="0.25">
      <c r="D415" s="2"/>
      <c r="G415" s="2"/>
      <c r="H415" s="2"/>
      <c r="I415" s="2"/>
      <c r="J415" s="2"/>
      <c r="K415" s="2"/>
      <c r="AC415" s="2"/>
      <c r="AD415" s="2"/>
      <c r="AE415" s="2"/>
      <c r="AI415" s="2"/>
      <c r="AJ415" s="2"/>
      <c r="AK415" s="2"/>
      <c r="AL415" s="2"/>
      <c r="AM415" s="2"/>
      <c r="AN415" s="2"/>
    </row>
    <row r="416" spans="4:40" x14ac:dyDescent="0.25">
      <c r="D416" s="2"/>
      <c r="G416" s="2"/>
      <c r="H416" s="2"/>
      <c r="I416" s="2"/>
      <c r="J416" s="2"/>
      <c r="K416" s="2"/>
      <c r="AC416" s="2"/>
      <c r="AD416" s="2"/>
      <c r="AE416" s="2"/>
      <c r="AI416" s="2"/>
      <c r="AJ416" s="2"/>
      <c r="AK416" s="2"/>
      <c r="AL416" s="2"/>
      <c r="AM416" s="2"/>
      <c r="AN416" s="2"/>
    </row>
    <row r="417" spans="2:57" x14ac:dyDescent="0.25">
      <c r="D417" s="2"/>
      <c r="G417" s="2"/>
      <c r="H417" s="2"/>
      <c r="I417" s="2"/>
      <c r="J417" s="2"/>
      <c r="K417" s="2"/>
      <c r="AC417" s="2"/>
      <c r="AD417" s="2"/>
      <c r="AE417" s="2"/>
      <c r="AI417" s="2"/>
      <c r="AJ417" s="2"/>
      <c r="AK417" s="2"/>
      <c r="AL417" s="2"/>
      <c r="AM417" s="2"/>
      <c r="AN417" s="2"/>
    </row>
    <row r="418" spans="2:57" x14ac:dyDescent="0.25">
      <c r="D418" s="2"/>
      <c r="G418" s="2"/>
      <c r="H418" s="2"/>
      <c r="I418" s="2"/>
      <c r="J418" s="2"/>
      <c r="K418" s="2"/>
      <c r="AC418" s="2"/>
      <c r="AD418" s="2"/>
      <c r="AE418" s="2"/>
      <c r="AI418" s="2"/>
      <c r="AJ418" s="2"/>
      <c r="AK418" s="2"/>
      <c r="AL418" s="2"/>
      <c r="AM418" s="2"/>
      <c r="AN418" s="2"/>
    </row>
    <row r="419" spans="2:57" x14ac:dyDescent="0.25">
      <c r="D419" s="2"/>
      <c r="G419" s="2"/>
      <c r="H419" s="2"/>
      <c r="I419" s="2"/>
      <c r="J419" s="2"/>
      <c r="K419" s="2"/>
      <c r="AC419" s="2"/>
      <c r="AD419" s="2"/>
      <c r="AE419" s="2"/>
      <c r="AI419" s="2"/>
      <c r="AJ419" s="2"/>
      <c r="AK419" s="2"/>
      <c r="AL419" s="2"/>
      <c r="AM419" s="2"/>
      <c r="AN419" s="2"/>
    </row>
    <row r="420" spans="2:57" s="9" customFormat="1" x14ac:dyDescent="0.2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68"/>
      <c r="Z420" s="68"/>
      <c r="AA420" s="68"/>
      <c r="AB420" s="68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</row>
    <row r="421" spans="2:57" s="9" customFormat="1" x14ac:dyDescent="0.2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68"/>
      <c r="Z421" s="68"/>
      <c r="AA421" s="68"/>
      <c r="AB421" s="68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</row>
    <row r="422" spans="2:57" s="9" customFormat="1" x14ac:dyDescent="0.2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68"/>
      <c r="Z422" s="68"/>
      <c r="AA422" s="68"/>
      <c r="AB422" s="68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</row>
    <row r="423" spans="2:57" s="9" customFormat="1" x14ac:dyDescent="0.2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68"/>
      <c r="Z423" s="68"/>
      <c r="AA423" s="68"/>
      <c r="AB423" s="68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</row>
    <row r="424" spans="2:57" s="9" customFormat="1" x14ac:dyDescent="0.2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68"/>
      <c r="Z424" s="68"/>
      <c r="AA424" s="68"/>
      <c r="AB424" s="68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</row>
    <row r="425" spans="2:57" s="9" customFormat="1" x14ac:dyDescent="0.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68"/>
      <c r="Z425" s="68"/>
      <c r="AA425" s="68"/>
      <c r="AB425" s="68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</row>
    <row r="426" spans="2:57" s="9" customFormat="1" x14ac:dyDescent="0.2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68"/>
      <c r="Z426" s="68"/>
      <c r="AA426" s="68"/>
      <c r="AB426" s="68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</row>
    <row r="427" spans="2:57" s="9" customFormat="1" x14ac:dyDescent="0.2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68"/>
      <c r="Z427" s="68"/>
      <c r="AA427" s="68"/>
      <c r="AB427" s="68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</row>
    <row r="428" spans="2:57" s="9" customFormat="1" x14ac:dyDescent="0.2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68"/>
      <c r="Z428" s="68"/>
      <c r="AA428" s="68"/>
      <c r="AB428" s="68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</row>
    <row r="429" spans="2:57" s="9" customFormat="1" x14ac:dyDescent="0.2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68"/>
      <c r="Z429" s="68"/>
      <c r="AA429" s="68"/>
      <c r="AB429" s="68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</row>
    <row r="430" spans="2:57" s="9" customFormat="1" x14ac:dyDescent="0.2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68"/>
      <c r="Z430" s="68"/>
      <c r="AA430" s="68"/>
      <c r="AB430" s="68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</row>
    <row r="431" spans="2:57" s="9" customFormat="1" x14ac:dyDescent="0.2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68"/>
      <c r="Z431" s="68"/>
      <c r="AA431" s="68"/>
      <c r="AB431" s="68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</row>
    <row r="432" spans="2:57" s="9" customFormat="1" x14ac:dyDescent="0.2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68"/>
      <c r="Z432" s="68"/>
      <c r="AA432" s="68"/>
      <c r="AB432" s="68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</row>
    <row r="433" spans="2:57" s="9" customFormat="1" x14ac:dyDescent="0.2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68"/>
      <c r="Z433" s="68"/>
      <c r="AA433" s="68"/>
      <c r="AB433" s="68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</row>
    <row r="434" spans="2:57" s="9" customFormat="1" x14ac:dyDescent="0.2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68"/>
      <c r="Z434" s="68"/>
      <c r="AA434" s="68"/>
      <c r="AB434" s="68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</row>
    <row r="435" spans="2:57" s="9" customFormat="1" x14ac:dyDescent="0.2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68"/>
      <c r="Z435" s="68"/>
      <c r="AA435" s="68"/>
      <c r="AB435" s="68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</row>
    <row r="436" spans="2:57" x14ac:dyDescent="0.25">
      <c r="D436" s="2"/>
      <c r="G436" s="2"/>
      <c r="H436" s="2"/>
      <c r="I436" s="2"/>
      <c r="J436" s="2"/>
      <c r="K436" s="2"/>
      <c r="AC436" s="2"/>
      <c r="AD436" s="2"/>
      <c r="AE436" s="2"/>
      <c r="AI436" s="2"/>
      <c r="AJ436" s="2"/>
      <c r="AK436" s="2"/>
      <c r="AL436" s="2"/>
      <c r="AM436" s="2"/>
      <c r="AN436" s="2"/>
    </row>
    <row r="437" spans="2:57" x14ac:dyDescent="0.25">
      <c r="D437" s="2"/>
      <c r="G437" s="2"/>
      <c r="H437" s="2"/>
      <c r="I437" s="2"/>
      <c r="J437" s="2"/>
      <c r="K437" s="2"/>
      <c r="AC437" s="2"/>
      <c r="AD437" s="2"/>
      <c r="AE437" s="2"/>
      <c r="AI437" s="2"/>
      <c r="AJ437" s="2"/>
      <c r="AK437" s="2"/>
      <c r="AL437" s="2"/>
      <c r="AM437" s="2"/>
      <c r="AN437" s="2"/>
    </row>
    <row r="438" spans="2:57" x14ac:dyDescent="0.25">
      <c r="D438" s="2"/>
      <c r="G438" s="2"/>
      <c r="H438" s="2"/>
      <c r="I438" s="2"/>
      <c r="J438" s="2"/>
      <c r="K438" s="2"/>
      <c r="AC438" s="2"/>
      <c r="AD438" s="2"/>
      <c r="AE438" s="2"/>
      <c r="AI438" s="2"/>
      <c r="AJ438" s="2"/>
      <c r="AK438" s="2"/>
      <c r="AL438" s="2"/>
      <c r="AM438" s="2"/>
      <c r="AN438" s="2"/>
    </row>
    <row r="439" spans="2:57" x14ac:dyDescent="0.25">
      <c r="D439" s="2"/>
      <c r="G439" s="2"/>
      <c r="H439" s="2"/>
      <c r="I439" s="2"/>
      <c r="J439" s="2"/>
      <c r="K439" s="2"/>
      <c r="AC439" s="2"/>
      <c r="AD439" s="2"/>
      <c r="AE439" s="2"/>
      <c r="AI439" s="2"/>
      <c r="AJ439" s="2"/>
      <c r="AK439" s="2"/>
      <c r="AL439" s="2"/>
      <c r="AM439" s="2"/>
      <c r="AN439" s="2"/>
    </row>
    <row r="440" spans="2:57" x14ac:dyDescent="0.25">
      <c r="D440" s="2"/>
      <c r="G440" s="2"/>
      <c r="H440" s="2"/>
      <c r="I440" s="2"/>
      <c r="J440" s="2"/>
      <c r="K440" s="2"/>
      <c r="AC440" s="2"/>
      <c r="AD440" s="2"/>
      <c r="AE440" s="2"/>
      <c r="AI440" s="2"/>
      <c r="AJ440" s="2"/>
      <c r="AK440" s="2"/>
      <c r="AL440" s="2"/>
      <c r="AM440" s="2"/>
      <c r="AN440" s="2"/>
    </row>
    <row r="441" spans="2:57" x14ac:dyDescent="0.25">
      <c r="D441" s="2"/>
      <c r="G441" s="2"/>
      <c r="H441" s="2"/>
      <c r="I441" s="2"/>
      <c r="J441" s="2"/>
      <c r="K441" s="2"/>
      <c r="AC441" s="2"/>
      <c r="AD441" s="2"/>
      <c r="AE441" s="2"/>
      <c r="AI441" s="2"/>
      <c r="AJ441" s="2"/>
      <c r="AK441" s="2"/>
      <c r="AL441" s="2"/>
      <c r="AM441" s="2"/>
      <c r="AN441" s="2"/>
    </row>
    <row r="442" spans="2:57" x14ac:dyDescent="0.25">
      <c r="D442" s="2"/>
      <c r="G442" s="2"/>
      <c r="H442" s="2"/>
      <c r="I442" s="2"/>
      <c r="J442" s="2"/>
      <c r="K442" s="2"/>
      <c r="AC442" s="2"/>
      <c r="AD442" s="2"/>
      <c r="AE442" s="2"/>
      <c r="AI442" s="2"/>
      <c r="AJ442" s="2"/>
      <c r="AK442" s="2"/>
      <c r="AL442" s="2"/>
      <c r="AM442" s="2"/>
      <c r="AN442" s="2"/>
    </row>
    <row r="443" spans="2:57" x14ac:dyDescent="0.25">
      <c r="D443" s="2"/>
      <c r="G443" s="2"/>
      <c r="H443" s="2"/>
      <c r="I443" s="2"/>
      <c r="J443" s="2"/>
      <c r="K443" s="2"/>
      <c r="AC443" s="2"/>
      <c r="AD443" s="2"/>
      <c r="AE443" s="2"/>
      <c r="AI443" s="2"/>
      <c r="AJ443" s="2"/>
      <c r="AK443" s="2"/>
      <c r="AL443" s="2"/>
      <c r="AM443" s="2"/>
      <c r="AN443" s="2"/>
    </row>
    <row r="444" spans="2:57" x14ac:dyDescent="0.25">
      <c r="D444" s="2"/>
      <c r="G444" s="2"/>
      <c r="H444" s="2"/>
      <c r="I444" s="2"/>
      <c r="J444" s="2"/>
      <c r="K444" s="2"/>
      <c r="AC444" s="2"/>
      <c r="AD444" s="2"/>
      <c r="AE444" s="2"/>
      <c r="AI444" s="2"/>
      <c r="AJ444" s="2"/>
      <c r="AK444" s="2"/>
      <c r="AL444" s="2"/>
      <c r="AM444" s="2"/>
      <c r="AN444" s="2"/>
    </row>
    <row r="445" spans="2:57" x14ac:dyDescent="0.25">
      <c r="D445" s="2"/>
      <c r="G445" s="2"/>
      <c r="H445" s="2"/>
      <c r="I445" s="2"/>
      <c r="J445" s="2"/>
      <c r="K445" s="2"/>
      <c r="AC445" s="2"/>
      <c r="AD445" s="2"/>
      <c r="AE445" s="2"/>
      <c r="AI445" s="2"/>
      <c r="AJ445" s="2"/>
      <c r="AK445" s="2"/>
      <c r="AL445" s="2"/>
      <c r="AM445" s="2"/>
      <c r="AN445" s="2"/>
    </row>
    <row r="446" spans="2:57" x14ac:dyDescent="0.25">
      <c r="D446" s="2"/>
      <c r="G446" s="2"/>
      <c r="H446" s="2"/>
      <c r="I446" s="2"/>
      <c r="J446" s="2"/>
      <c r="K446" s="2"/>
      <c r="AC446" s="2"/>
      <c r="AD446" s="2"/>
      <c r="AE446" s="2"/>
      <c r="AI446" s="2"/>
      <c r="AJ446" s="2"/>
      <c r="AK446" s="2"/>
      <c r="AL446" s="2"/>
      <c r="AM446" s="2"/>
      <c r="AN446" s="2"/>
    </row>
    <row r="447" spans="2:57" x14ac:dyDescent="0.25">
      <c r="D447" s="2"/>
      <c r="G447" s="2"/>
      <c r="H447" s="2"/>
      <c r="I447" s="2"/>
      <c r="J447" s="2"/>
      <c r="K447" s="2"/>
      <c r="AC447" s="2"/>
      <c r="AD447" s="2"/>
      <c r="AE447" s="2"/>
      <c r="AI447" s="2"/>
      <c r="AJ447" s="2"/>
      <c r="AK447" s="2"/>
      <c r="AL447" s="2"/>
      <c r="AM447" s="2"/>
      <c r="AN447" s="2"/>
    </row>
    <row r="448" spans="2:57" x14ac:dyDescent="0.25">
      <c r="D448" s="2"/>
      <c r="G448" s="2"/>
      <c r="H448" s="2"/>
      <c r="I448" s="2"/>
      <c r="J448" s="2"/>
      <c r="K448" s="2"/>
      <c r="AC448" s="2"/>
      <c r="AD448" s="2"/>
      <c r="AE448" s="2"/>
      <c r="AI448" s="2"/>
      <c r="AJ448" s="2"/>
      <c r="AK448" s="2"/>
      <c r="AL448" s="2"/>
      <c r="AM448" s="2"/>
      <c r="AN448" s="2"/>
    </row>
  </sheetData>
  <mergeCells count="128">
    <mergeCell ref="B6:B57"/>
    <mergeCell ref="B58:B121"/>
    <mergeCell ref="G4:K4"/>
    <mergeCell ref="L4:P4"/>
    <mergeCell ref="Q4:S4"/>
    <mergeCell ref="T4:X4"/>
    <mergeCell ref="Y4:AB4"/>
    <mergeCell ref="C6:C9"/>
    <mergeCell ref="D106:D109"/>
    <mergeCell ref="E106:E109"/>
    <mergeCell ref="D110:D113"/>
    <mergeCell ref="E110:E113"/>
    <mergeCell ref="E114:E117"/>
    <mergeCell ref="D114:D117"/>
    <mergeCell ref="E90:E93"/>
    <mergeCell ref="D90:D93"/>
    <mergeCell ref="D94:D97"/>
    <mergeCell ref="E94:E97"/>
    <mergeCell ref="D98:D101"/>
    <mergeCell ref="E98:E101"/>
    <mergeCell ref="E74:E77"/>
    <mergeCell ref="E78:E81"/>
    <mergeCell ref="D78:D81"/>
    <mergeCell ref="D82:D85"/>
    <mergeCell ref="E82:E85"/>
    <mergeCell ref="D86:D89"/>
    <mergeCell ref="E86:E89"/>
    <mergeCell ref="D58:D61"/>
    <mergeCell ref="E58:E61"/>
    <mergeCell ref="E62:E65"/>
    <mergeCell ref="D62:D65"/>
    <mergeCell ref="D66:D69"/>
    <mergeCell ref="E66:E69"/>
    <mergeCell ref="E42:E45"/>
    <mergeCell ref="E46:E49"/>
    <mergeCell ref="D46:D49"/>
    <mergeCell ref="D50:D53"/>
    <mergeCell ref="E50:E53"/>
    <mergeCell ref="E54:E57"/>
    <mergeCell ref="D54:D57"/>
    <mergeCell ref="D6:D9"/>
    <mergeCell ref="D14:D17"/>
    <mergeCell ref="E14:E17"/>
    <mergeCell ref="D18:D21"/>
    <mergeCell ref="E18:E21"/>
    <mergeCell ref="E22:E25"/>
    <mergeCell ref="D22:D25"/>
    <mergeCell ref="C106:C109"/>
    <mergeCell ref="C110:C113"/>
    <mergeCell ref="C114:C117"/>
    <mergeCell ref="C118:C121"/>
    <mergeCell ref="D10:D13"/>
    <mergeCell ref="E10:E13"/>
    <mergeCell ref="D26:D29"/>
    <mergeCell ref="E26:E29"/>
    <mergeCell ref="E30:E33"/>
    <mergeCell ref="D30:D33"/>
    <mergeCell ref="C62:C65"/>
    <mergeCell ref="C66:C69"/>
    <mergeCell ref="C70:C73"/>
    <mergeCell ref="C74:C77"/>
    <mergeCell ref="C78:C81"/>
    <mergeCell ref="C82:C85"/>
    <mergeCell ref="C10:C13"/>
    <mergeCell ref="C14:C17"/>
    <mergeCell ref="C18:C21"/>
    <mergeCell ref="C22:C25"/>
    <mergeCell ref="C26:C29"/>
    <mergeCell ref="C30:C33"/>
    <mergeCell ref="C34:C37"/>
    <mergeCell ref="F102:F103"/>
    <mergeCell ref="C102:C105"/>
    <mergeCell ref="D102:D105"/>
    <mergeCell ref="E102:E105"/>
    <mergeCell ref="F94:F95"/>
    <mergeCell ref="F98:F99"/>
    <mergeCell ref="C94:C97"/>
    <mergeCell ref="C98:C101"/>
    <mergeCell ref="F86:F87"/>
    <mergeCell ref="F90:F91"/>
    <mergeCell ref="C86:C89"/>
    <mergeCell ref="C90:C93"/>
    <mergeCell ref="F78:F79"/>
    <mergeCell ref="F82:F83"/>
    <mergeCell ref="F74:F75"/>
    <mergeCell ref="D74:D77"/>
    <mergeCell ref="F66:F67"/>
    <mergeCell ref="F70:F71"/>
    <mergeCell ref="E70:E73"/>
    <mergeCell ref="D70:D73"/>
    <mergeCell ref="F58:F59"/>
    <mergeCell ref="F62:F63"/>
    <mergeCell ref="C58:C61"/>
    <mergeCell ref="F114:F115"/>
    <mergeCell ref="F118:F119"/>
    <mergeCell ref="D118:D121"/>
    <mergeCell ref="E118:E121"/>
    <mergeCell ref="F106:F107"/>
    <mergeCell ref="F110:F111"/>
    <mergeCell ref="C38:C41"/>
    <mergeCell ref="F18:F19"/>
    <mergeCell ref="F22:F23"/>
    <mergeCell ref="F10:F11"/>
    <mergeCell ref="F14:F15"/>
    <mergeCell ref="C42:C45"/>
    <mergeCell ref="F50:F51"/>
    <mergeCell ref="F54:F55"/>
    <mergeCell ref="C50:C53"/>
    <mergeCell ref="C54:C57"/>
    <mergeCell ref="F38:F39"/>
    <mergeCell ref="F42:F43"/>
    <mergeCell ref="E38:E41"/>
    <mergeCell ref="F26:F27"/>
    <mergeCell ref="F34:F35"/>
    <mergeCell ref="D34:D37"/>
    <mergeCell ref="E34:E37"/>
    <mergeCell ref="F46:F47"/>
    <mergeCell ref="F6:F7"/>
    <mergeCell ref="C46:C49"/>
    <mergeCell ref="E6:E9"/>
    <mergeCell ref="F30:F31"/>
    <mergeCell ref="D38:D41"/>
    <mergeCell ref="D42:D45"/>
    <mergeCell ref="G3:K3"/>
    <mergeCell ref="L3:P3"/>
    <mergeCell ref="Q3:S3"/>
    <mergeCell ref="T3:X3"/>
    <mergeCell ref="Y3:AB3"/>
  </mergeCells>
  <pageMargins left="0.7" right="0.7" top="0.75" bottom="0.75" header="0.3" footer="0.3"/>
  <pageSetup paperSize="9" scale="93" orientation="landscape" r:id="rId1"/>
  <rowBreaks count="1" manualBreakCount="1">
    <brk id="122" max="16383" man="1"/>
  </rowBreaks>
  <colBreaks count="3" manualBreakCount="3">
    <brk id="11" max="1048575" man="1"/>
    <brk id="16" max="1048575" man="1"/>
    <brk id="2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55"/>
  <sheetViews>
    <sheetView zoomScale="80" zoomScaleNormal="80" workbookViewId="0"/>
  </sheetViews>
  <sheetFormatPr defaultColWidth="9.1796875" defaultRowHeight="14" x14ac:dyDescent="0.3"/>
  <cols>
    <col min="1" max="1" width="3.26953125" style="148" customWidth="1"/>
    <col min="2" max="2" width="13.7265625" style="148" bestFit="1" customWidth="1"/>
    <col min="3" max="3" width="8.54296875" style="148" customWidth="1"/>
    <col min="4" max="4" width="11.26953125" style="149" bestFit="1" customWidth="1"/>
    <col min="5" max="8" width="9.1796875" style="149"/>
    <col min="9" max="9" width="9.1796875" style="148"/>
    <col min="10" max="10" width="3.26953125" style="148" customWidth="1"/>
    <col min="11" max="11" width="13.7265625" style="148" bestFit="1" customWidth="1"/>
    <col min="12" max="12" width="14.1796875" style="148" bestFit="1" customWidth="1"/>
    <col min="13" max="16" width="9.1796875" style="148"/>
    <col min="17" max="17" width="3.26953125" style="148" customWidth="1"/>
    <col min="18" max="18" width="13.7265625" style="148" bestFit="1" customWidth="1"/>
    <col min="19" max="19" width="12.54296875" style="148" bestFit="1" customWidth="1"/>
    <col min="20" max="20" width="9.1796875" style="148"/>
    <col min="21" max="21" width="13.7265625" style="148" bestFit="1" customWidth="1"/>
    <col min="22" max="16384" width="9.1796875" style="148"/>
  </cols>
  <sheetData>
    <row r="1" spans="1:38" s="1" customFormat="1" ht="18" x14ac:dyDescent="0.4">
      <c r="A1" s="1" t="s">
        <v>44</v>
      </c>
      <c r="D1" s="65"/>
      <c r="G1" s="66"/>
      <c r="H1" s="66"/>
      <c r="I1" s="66"/>
      <c r="J1" s="66"/>
      <c r="K1" s="66"/>
      <c r="W1" s="67"/>
      <c r="X1" s="67"/>
      <c r="Y1" s="67"/>
      <c r="Z1" s="67"/>
      <c r="AA1" s="66"/>
      <c r="AB1" s="66"/>
      <c r="AC1" s="66"/>
      <c r="AG1" s="67"/>
      <c r="AH1" s="67"/>
      <c r="AI1" s="67"/>
      <c r="AJ1" s="67"/>
      <c r="AK1" s="67"/>
      <c r="AL1" s="67"/>
    </row>
    <row r="3" spans="1:38" x14ac:dyDescent="0.3">
      <c r="A3" s="147" t="s">
        <v>21</v>
      </c>
      <c r="J3" s="147" t="s">
        <v>22</v>
      </c>
      <c r="Q3" s="147" t="s">
        <v>23</v>
      </c>
      <c r="U3" s="147" t="s">
        <v>24</v>
      </c>
    </row>
    <row r="4" spans="1:38" x14ac:dyDescent="0.3">
      <c r="A4" s="147"/>
      <c r="J4" s="147"/>
      <c r="Q4" s="147"/>
    </row>
    <row r="5" spans="1:38" x14ac:dyDescent="0.3">
      <c r="B5" s="147" t="s">
        <v>25</v>
      </c>
      <c r="C5" s="147"/>
      <c r="D5" s="149" t="s">
        <v>26</v>
      </c>
      <c r="E5" s="150"/>
      <c r="F5" s="150"/>
      <c r="K5" s="147" t="s">
        <v>25</v>
      </c>
      <c r="L5" s="148" t="s">
        <v>26</v>
      </c>
      <c r="R5" s="147" t="s">
        <v>25</v>
      </c>
      <c r="S5" s="148" t="s">
        <v>26</v>
      </c>
      <c r="U5" s="147" t="s">
        <v>25</v>
      </c>
      <c r="V5" s="148" t="s">
        <v>26</v>
      </c>
    </row>
    <row r="7" spans="1:38" x14ac:dyDescent="0.3">
      <c r="B7" s="156" t="s">
        <v>29</v>
      </c>
      <c r="C7" s="151"/>
      <c r="D7" s="152" t="s">
        <v>30</v>
      </c>
      <c r="E7" s="152"/>
      <c r="F7" s="152"/>
      <c r="G7" s="152"/>
      <c r="H7" s="152"/>
      <c r="I7" s="152"/>
      <c r="K7" s="156" t="s">
        <v>29</v>
      </c>
      <c r="L7" s="152" t="s">
        <v>30</v>
      </c>
      <c r="M7" s="152"/>
      <c r="N7" s="152"/>
      <c r="O7" s="152"/>
      <c r="P7" s="152"/>
      <c r="R7" s="151"/>
      <c r="S7" s="153" t="s">
        <v>30</v>
      </c>
      <c r="U7" s="151"/>
      <c r="V7" s="153"/>
      <c r="W7" s="154"/>
      <c r="X7" s="154"/>
      <c r="Y7" s="154"/>
      <c r="Z7" s="154"/>
      <c r="AA7" s="154"/>
    </row>
    <row r="8" spans="1:38" x14ac:dyDescent="0.3">
      <c r="B8" s="151">
        <v>-3</v>
      </c>
      <c r="C8" s="151">
        <v>0</v>
      </c>
      <c r="D8" s="155">
        <v>10</v>
      </c>
      <c r="E8" s="155">
        <v>20</v>
      </c>
      <c r="F8" s="155">
        <v>30</v>
      </c>
      <c r="G8" s="155">
        <v>40</v>
      </c>
      <c r="H8" s="155">
        <v>50</v>
      </c>
      <c r="I8" s="151"/>
      <c r="K8" s="156"/>
      <c r="L8" s="155">
        <v>10</v>
      </c>
      <c r="M8" s="155">
        <v>25</v>
      </c>
      <c r="N8" s="155">
        <v>30</v>
      </c>
      <c r="O8" s="155">
        <v>40</v>
      </c>
      <c r="P8" s="151"/>
      <c r="R8" s="156" t="s">
        <v>29</v>
      </c>
      <c r="S8" s="155">
        <v>35</v>
      </c>
      <c r="U8" s="156" t="s">
        <v>29</v>
      </c>
      <c r="V8" s="151"/>
      <c r="W8" s="157"/>
      <c r="X8" s="157"/>
      <c r="Y8" s="157"/>
      <c r="Z8" s="157"/>
      <c r="AA8" s="157"/>
    </row>
    <row r="9" spans="1:38" x14ac:dyDescent="0.3">
      <c r="B9" s="158">
        <v>1000</v>
      </c>
      <c r="C9" s="158">
        <f>V9</f>
        <v>936</v>
      </c>
      <c r="D9" s="155">
        <f>767</f>
        <v>767</v>
      </c>
      <c r="E9" s="164">
        <f>602</f>
        <v>602</v>
      </c>
      <c r="F9" s="164">
        <f>213</f>
        <v>213</v>
      </c>
      <c r="G9" s="155">
        <f>70</f>
        <v>70</v>
      </c>
      <c r="H9" s="155">
        <f>28</f>
        <v>28</v>
      </c>
      <c r="I9" s="151"/>
      <c r="K9" s="158">
        <v>1000</v>
      </c>
      <c r="L9" s="155">
        <v>783</v>
      </c>
      <c r="M9" s="155">
        <v>666</v>
      </c>
      <c r="N9" s="155">
        <v>348</v>
      </c>
      <c r="O9" s="155">
        <v>164</v>
      </c>
      <c r="P9" s="151"/>
      <c r="R9" s="158">
        <v>1000</v>
      </c>
      <c r="S9" s="155">
        <v>685</v>
      </c>
      <c r="U9" s="158">
        <v>1000</v>
      </c>
      <c r="V9" s="155">
        <v>936</v>
      </c>
      <c r="W9" s="159"/>
      <c r="X9" s="159"/>
      <c r="Y9" s="159"/>
      <c r="Z9" s="159"/>
      <c r="AA9" s="159"/>
    </row>
    <row r="10" spans="1:38" x14ac:dyDescent="0.3">
      <c r="B10" s="158" t="s">
        <v>31</v>
      </c>
      <c r="C10" s="158"/>
      <c r="D10" s="160">
        <f>D9/$V$9</f>
        <v>0.81944444444444442</v>
      </c>
      <c r="E10" s="165">
        <f>E9/$V$9</f>
        <v>0.64316239316239321</v>
      </c>
      <c r="F10" s="165">
        <f>F9/$V$9</f>
        <v>0.22756410256410256</v>
      </c>
      <c r="G10" s="160">
        <f>G9/$V$9</f>
        <v>7.4786324786324784E-2</v>
      </c>
      <c r="H10" s="160">
        <f>H9/$V$9</f>
        <v>2.9914529914529916E-2</v>
      </c>
      <c r="I10" s="151"/>
      <c r="K10" s="158" t="s">
        <v>31</v>
      </c>
      <c r="L10" s="160">
        <f>L9/$V$9</f>
        <v>0.83653846153846156</v>
      </c>
      <c r="M10" s="160">
        <f>M9/$V$9</f>
        <v>0.71153846153846156</v>
      </c>
      <c r="N10" s="160">
        <f>N9/$V$9</f>
        <v>0.37179487179487181</v>
      </c>
      <c r="O10" s="160">
        <f>O9/$V$9</f>
        <v>0.1752136752136752</v>
      </c>
      <c r="P10" s="151"/>
      <c r="R10" s="158" t="s">
        <v>31</v>
      </c>
      <c r="S10" s="160">
        <f>S9/$V$9</f>
        <v>0.73183760683760679</v>
      </c>
      <c r="U10" s="158"/>
      <c r="V10" s="155"/>
      <c r="W10" s="159"/>
      <c r="X10" s="159"/>
      <c r="Y10" s="159"/>
      <c r="Z10" s="159"/>
      <c r="AA10" s="159"/>
    </row>
    <row r="11" spans="1:38" x14ac:dyDescent="0.3">
      <c r="B11" s="158" t="s">
        <v>32</v>
      </c>
      <c r="C11" s="158"/>
      <c r="D11" s="161">
        <f>(-LOG(D10)/D8)</f>
        <v>8.6480484789124273E-3</v>
      </c>
      <c r="E11" s="161">
        <f>(-LOG(E10)/E8)</f>
        <v>9.5839678740140318E-3</v>
      </c>
      <c r="F11" s="161">
        <f>(-LOG(F10)/F8)</f>
        <v>2.1429874843312251E-2</v>
      </c>
      <c r="G11" s="162">
        <f>(-LOG(G10)/G8)</f>
        <v>2.8154445218096208E-2</v>
      </c>
      <c r="H11" s="162">
        <f>(-LOG(H10)/H8)</f>
        <v>3.0482356347917721E-2</v>
      </c>
      <c r="I11" s="163">
        <f>MAX(D11:H11)</f>
        <v>3.0482356347917721E-2</v>
      </c>
      <c r="K11" s="158" t="s">
        <v>32</v>
      </c>
      <c r="L11" s="161">
        <f>(-LOG(L10)/L8)</f>
        <v>7.751408668016181E-3</v>
      </c>
      <c r="M11" s="162">
        <f>(-LOG(M10)/M8)</f>
        <v>5.9120647827121666E-3</v>
      </c>
      <c r="N11" s="162">
        <f>(-LOG(N10)/N8)</f>
        <v>1.4323220159717478E-2</v>
      </c>
      <c r="O11" s="162">
        <f>(-LOG(O10)/O8)</f>
        <v>1.8910800017260185E-2</v>
      </c>
      <c r="P11" s="163">
        <f>O11</f>
        <v>1.8910800017260185E-2</v>
      </c>
      <c r="R11" s="158" t="s">
        <v>32</v>
      </c>
      <c r="S11" s="161">
        <f>(-LOG(S10)/$S$8)</f>
        <v>3.8738650641622764E-3</v>
      </c>
      <c r="U11" s="158"/>
      <c r="V11" s="155"/>
      <c r="W11" s="159"/>
      <c r="X11" s="159"/>
      <c r="Y11" s="159"/>
      <c r="Z11" s="159"/>
      <c r="AA11" s="159"/>
    </row>
    <row r="12" spans="1:38" x14ac:dyDescent="0.3">
      <c r="B12" s="158">
        <v>800</v>
      </c>
      <c r="C12" s="158">
        <f>V12</f>
        <v>758</v>
      </c>
      <c r="D12" s="164">
        <f>624</f>
        <v>624</v>
      </c>
      <c r="E12" s="164">
        <f>492</f>
        <v>492</v>
      </c>
      <c r="F12" s="164">
        <f>172</f>
        <v>172</v>
      </c>
      <c r="G12" s="155">
        <f>57</f>
        <v>57</v>
      </c>
      <c r="H12" s="155">
        <f>22</f>
        <v>22</v>
      </c>
      <c r="I12" s="151"/>
      <c r="K12" s="158">
        <v>800</v>
      </c>
      <c r="L12" s="155">
        <v>631</v>
      </c>
      <c r="M12" s="155">
        <v>544</v>
      </c>
      <c r="N12" s="155">
        <v>280</v>
      </c>
      <c r="O12" s="155">
        <v>133</v>
      </c>
      <c r="P12" s="151"/>
      <c r="R12" s="158">
        <v>800</v>
      </c>
      <c r="S12" s="155"/>
      <c r="U12" s="158">
        <v>800</v>
      </c>
      <c r="V12" s="155">
        <v>758</v>
      </c>
      <c r="W12" s="159"/>
      <c r="X12" s="159"/>
      <c r="Y12" s="159"/>
      <c r="Z12" s="159"/>
      <c r="AA12" s="159"/>
    </row>
    <row r="13" spans="1:38" x14ac:dyDescent="0.3">
      <c r="B13" s="158" t="s">
        <v>31</v>
      </c>
      <c r="C13" s="158"/>
      <c r="D13" s="165">
        <f>D12/$V$12</f>
        <v>0.82321899736147752</v>
      </c>
      <c r="E13" s="165">
        <f>E12/$V$12</f>
        <v>0.64907651715039583</v>
      </c>
      <c r="F13" s="165">
        <f>F12/$V$12</f>
        <v>0.22691292875989447</v>
      </c>
      <c r="G13" s="160">
        <f>G12/$V$12</f>
        <v>7.5197889182058053E-2</v>
      </c>
      <c r="H13" s="160">
        <f>H12/$V$12</f>
        <v>2.9023746701846966E-2</v>
      </c>
      <c r="I13" s="151"/>
      <c r="K13" s="158" t="s">
        <v>31</v>
      </c>
      <c r="L13" s="165">
        <f>L12/$V$12</f>
        <v>0.83245382585751981</v>
      </c>
      <c r="M13" s="160">
        <f>M12/$V$12</f>
        <v>0.71767810026385226</v>
      </c>
      <c r="N13" s="160">
        <f>N12/$V$12</f>
        <v>0.36939313984168864</v>
      </c>
      <c r="O13" s="160">
        <f>O12/$V$12</f>
        <v>0.17546174142480211</v>
      </c>
      <c r="P13" s="151"/>
      <c r="R13" s="158" t="s">
        <v>31</v>
      </c>
      <c r="S13" s="160">
        <f>S12/$V$9</f>
        <v>0</v>
      </c>
      <c r="U13" s="158"/>
      <c r="V13" s="155"/>
      <c r="W13" s="159"/>
      <c r="X13" s="159"/>
      <c r="Y13" s="159"/>
      <c r="Z13" s="159"/>
      <c r="AA13" s="159"/>
    </row>
    <row r="14" spans="1:38" x14ac:dyDescent="0.3">
      <c r="B14" s="158" t="s">
        <v>32</v>
      </c>
      <c r="C14" s="158"/>
      <c r="D14" s="165">
        <f>(-LOG(D13)/D8)</f>
        <v>8.4484615949629582E-3</v>
      </c>
      <c r="E14" s="165">
        <f>(-LOG(E13)/E8)</f>
        <v>9.3852051432346591E-3</v>
      </c>
      <c r="F14" s="165">
        <f>(-LOG(F13)/F8)</f>
        <v>2.1471358624150155E-2</v>
      </c>
      <c r="G14" s="160">
        <f>(-LOG(G13)/G8)</f>
        <v>2.8094858748989055E-2</v>
      </c>
      <c r="H14" s="160">
        <f>(-LOG(H13)/H8)</f>
        <v>3.0744930496196945E-2</v>
      </c>
      <c r="I14" s="163">
        <f>MAX(D14:H14)</f>
        <v>3.0744930496196945E-2</v>
      </c>
      <c r="K14" s="158" t="s">
        <v>32</v>
      </c>
      <c r="L14" s="165">
        <f>(-LOG(L13)/L8)</f>
        <v>7.9639846387919207E-3</v>
      </c>
      <c r="M14" s="160">
        <f>(-LOG(M13)/M8)</f>
        <v>5.7628122373549447E-3</v>
      </c>
      <c r="N14" s="160">
        <f>(-LOG(N13)/N8)</f>
        <v>1.4417039142994477E-2</v>
      </c>
      <c r="O14" s="160">
        <f>(-LOG(O13)/O8)</f>
        <v>1.8895439116624193E-2</v>
      </c>
      <c r="P14" s="163">
        <f>O14</f>
        <v>1.8895439116624193E-2</v>
      </c>
      <c r="R14" s="158" t="s">
        <v>32</v>
      </c>
      <c r="S14" s="161" t="e">
        <f>(-LOG(S13)/$S$8)</f>
        <v>#NUM!</v>
      </c>
      <c r="U14" s="158"/>
      <c r="V14" s="155"/>
      <c r="W14" s="159"/>
      <c r="X14" s="159"/>
      <c r="Y14" s="159"/>
      <c r="Z14" s="159"/>
      <c r="AA14" s="159"/>
    </row>
    <row r="15" spans="1:38" x14ac:dyDescent="0.3">
      <c r="B15" s="158">
        <v>600</v>
      </c>
      <c r="C15" s="158">
        <f>V15</f>
        <v>567</v>
      </c>
      <c r="D15" s="164">
        <f>471</f>
        <v>471</v>
      </c>
      <c r="E15" s="164">
        <v>373</v>
      </c>
      <c r="F15" s="164">
        <v>129</v>
      </c>
      <c r="G15" s="155">
        <v>43</v>
      </c>
      <c r="H15" s="155">
        <v>16</v>
      </c>
      <c r="I15" s="151"/>
      <c r="K15" s="158">
        <v>600</v>
      </c>
      <c r="L15" s="155">
        <v>472</v>
      </c>
      <c r="M15" s="155">
        <v>410</v>
      </c>
      <c r="N15" s="155">
        <v>210</v>
      </c>
      <c r="O15" s="155">
        <v>100</v>
      </c>
      <c r="P15" s="151"/>
      <c r="R15" s="158">
        <v>600</v>
      </c>
      <c r="S15" s="155"/>
      <c r="U15" s="158">
        <v>600</v>
      </c>
      <c r="V15" s="155">
        <v>567</v>
      </c>
      <c r="W15" s="159"/>
      <c r="X15" s="159"/>
      <c r="Y15" s="159"/>
      <c r="Z15" s="159"/>
      <c r="AA15" s="159"/>
    </row>
    <row r="16" spans="1:38" x14ac:dyDescent="0.3">
      <c r="B16" s="158" t="s">
        <v>31</v>
      </c>
      <c r="C16" s="158"/>
      <c r="D16" s="165">
        <f>D15/$V$15</f>
        <v>0.8306878306878307</v>
      </c>
      <c r="E16" s="165">
        <f>E15/$V$15</f>
        <v>0.6578483245149912</v>
      </c>
      <c r="F16" s="165">
        <f>F15/$V$15</f>
        <v>0.2275132275132275</v>
      </c>
      <c r="G16" s="160">
        <f>G15/$V$15</f>
        <v>7.5837742504409167E-2</v>
      </c>
      <c r="H16" s="160">
        <f>H15/$V$15</f>
        <v>2.821869488536155E-2</v>
      </c>
      <c r="I16" s="151"/>
      <c r="K16" s="158" t="s">
        <v>31</v>
      </c>
      <c r="L16" s="165">
        <f>L15/$V$15</f>
        <v>0.83245149911816574</v>
      </c>
      <c r="M16" s="160">
        <f>M15/$V$15</f>
        <v>0.72310405643738973</v>
      </c>
      <c r="N16" s="160">
        <f>N15/$V$15</f>
        <v>0.37037037037037035</v>
      </c>
      <c r="O16" s="160">
        <f>O15/$V$15</f>
        <v>0.17636684303350969</v>
      </c>
      <c r="P16" s="151"/>
      <c r="R16" s="158" t="s">
        <v>31</v>
      </c>
      <c r="S16" s="160">
        <f>S15/$V$9</f>
        <v>0</v>
      </c>
      <c r="U16" s="158"/>
      <c r="V16" s="155"/>
      <c r="W16" s="159"/>
      <c r="X16" s="159"/>
      <c r="Y16" s="159"/>
      <c r="Z16" s="159"/>
      <c r="AA16" s="159"/>
    </row>
    <row r="17" spans="2:27" x14ac:dyDescent="0.3">
      <c r="B17" s="158" t="s">
        <v>32</v>
      </c>
      <c r="C17" s="158"/>
      <c r="D17" s="165">
        <f>(-LOG(D16)/D8)</f>
        <v>8.0562151764010399E-3</v>
      </c>
      <c r="E17" s="165">
        <f>(-LOG(E16)/E8)</f>
        <v>9.0937113542109479E-3</v>
      </c>
      <c r="F17" s="165">
        <f>(-LOG(F16)/F8)</f>
        <v>2.143311161978859E-2</v>
      </c>
      <c r="G17" s="160">
        <f>(-LOG(G16)/G8)</f>
        <v>2.8002865082832999E-2</v>
      </c>
      <c r="H17" s="160">
        <f>(-LOG(H16)/H8)</f>
        <v>3.0989261524739638E-2</v>
      </c>
      <c r="I17" s="163">
        <f>MAX(D17:H17)</f>
        <v>3.0989261524739638E-2</v>
      </c>
      <c r="K17" s="158" t="s">
        <v>32</v>
      </c>
      <c r="L17" s="165">
        <f>(-LOG(L16)/L8)</f>
        <v>7.964106025881882E-3</v>
      </c>
      <c r="M17" s="160">
        <f>(-LOG(M16)/M8)</f>
        <v>5.6319680869268444E-3</v>
      </c>
      <c r="N17" s="160">
        <f>(-LOG(N16)/N8)</f>
        <v>1.4378792138632912E-2</v>
      </c>
      <c r="O17" s="160">
        <f>(-LOG(O16)/O8)</f>
        <v>1.8839576472322664E-2</v>
      </c>
      <c r="P17" s="163">
        <f>O17</f>
        <v>1.8839576472322664E-2</v>
      </c>
      <c r="R17" s="158" t="s">
        <v>32</v>
      </c>
      <c r="S17" s="161" t="e">
        <f>(-LOG(S16)/$S$8)</f>
        <v>#NUM!</v>
      </c>
      <c r="U17" s="158"/>
      <c r="V17" s="155"/>
      <c r="W17" s="159"/>
      <c r="X17" s="159"/>
      <c r="Y17" s="159"/>
      <c r="Z17" s="159"/>
      <c r="AA17" s="159"/>
    </row>
    <row r="18" spans="2:27" x14ac:dyDescent="0.3">
      <c r="B18" s="158">
        <v>400</v>
      </c>
      <c r="C18" s="158">
        <f>V18</f>
        <v>362</v>
      </c>
      <c r="D18" s="155">
        <f>339</f>
        <v>339</v>
      </c>
      <c r="E18" s="164">
        <v>248</v>
      </c>
      <c r="F18" s="164">
        <v>83</v>
      </c>
      <c r="G18" s="155">
        <v>27</v>
      </c>
      <c r="H18" s="155">
        <v>10</v>
      </c>
      <c r="I18" s="151"/>
      <c r="K18" s="158">
        <v>400</v>
      </c>
      <c r="L18" s="155">
        <v>302</v>
      </c>
      <c r="M18" s="155">
        <v>267</v>
      </c>
      <c r="N18" s="155">
        <v>139</v>
      </c>
      <c r="O18" s="155">
        <v>64</v>
      </c>
      <c r="P18" s="151"/>
      <c r="R18" s="158">
        <v>400</v>
      </c>
      <c r="S18" s="155"/>
      <c r="U18" s="158">
        <v>400</v>
      </c>
      <c r="V18" s="155">
        <v>362</v>
      </c>
      <c r="W18" s="159"/>
      <c r="X18" s="159"/>
      <c r="Y18" s="159"/>
      <c r="Z18" s="159"/>
      <c r="AA18" s="159"/>
    </row>
    <row r="19" spans="2:27" x14ac:dyDescent="0.3">
      <c r="B19" s="158" t="s">
        <v>31</v>
      </c>
      <c r="C19" s="158"/>
      <c r="D19" s="165">
        <f>D18/$V$18</f>
        <v>0.93646408839779005</v>
      </c>
      <c r="E19" s="165">
        <f>E18/$V$18</f>
        <v>0.68508287292817682</v>
      </c>
      <c r="F19" s="165">
        <f>F18/$V$18</f>
        <v>0.2292817679558011</v>
      </c>
      <c r="G19" s="165">
        <f>G18/$V$18</f>
        <v>7.4585635359116026E-2</v>
      </c>
      <c r="H19" s="165">
        <f>H18/$V$18</f>
        <v>2.7624309392265192E-2</v>
      </c>
      <c r="I19" s="151"/>
      <c r="K19" s="158" t="s">
        <v>31</v>
      </c>
      <c r="L19" s="165">
        <f>L18/$V$18</f>
        <v>0.83425414364640882</v>
      </c>
      <c r="M19" s="165">
        <f>M18/$V$18</f>
        <v>0.73756906077348061</v>
      </c>
      <c r="N19" s="165">
        <f>N18/$V$18</f>
        <v>0.38397790055248621</v>
      </c>
      <c r="O19" s="165">
        <f>O18/$V$18</f>
        <v>0.17679558011049723</v>
      </c>
      <c r="P19" s="151"/>
      <c r="R19" s="158" t="s">
        <v>31</v>
      </c>
      <c r="S19" s="160">
        <f>S18/$V$9</f>
        <v>0</v>
      </c>
      <c r="U19" s="158"/>
      <c r="V19" s="155"/>
      <c r="W19" s="159"/>
      <c r="X19" s="159"/>
      <c r="Y19" s="159"/>
      <c r="Z19" s="159"/>
      <c r="AA19" s="159"/>
    </row>
    <row r="20" spans="2:27" x14ac:dyDescent="0.3">
      <c r="B20" s="158" t="s">
        <v>32</v>
      </c>
      <c r="C20" s="158"/>
      <c r="D20" s="165">
        <f>(-LOG(D19)/D8)</f>
        <v>2.8508872330083547E-3</v>
      </c>
      <c r="E20" s="165">
        <f>(-LOG(E19)/E8)</f>
        <v>8.2128444853474709E-3</v>
      </c>
      <c r="F20" s="165">
        <f>(-LOG(F19)/F8)</f>
        <v>2.1321015938569728E-2</v>
      </c>
      <c r="G20" s="165">
        <f>(-LOG(G19)/G8)</f>
        <v>2.818362015935446E-2</v>
      </c>
      <c r="H20" s="165">
        <f>(-LOG(H19)/H8)</f>
        <v>3.1174171410663316E-2</v>
      </c>
      <c r="I20" s="163">
        <f>MAX(D20:H20)</f>
        <v>3.1174171410663316E-2</v>
      </c>
      <c r="K20" s="158" t="s">
        <v>32</v>
      </c>
      <c r="L20" s="165">
        <f>(-LOG(L19)/L8)</f>
        <v>7.8701627576015076E-3</v>
      </c>
      <c r="M20" s="165">
        <f>(-LOG(M19)/M8)</f>
        <v>5.2878923667436205E-3</v>
      </c>
      <c r="N20" s="165">
        <f>(-LOG(N19)/N8)</f>
        <v>1.3856459009302354E-2</v>
      </c>
      <c r="O20" s="165">
        <f>(-LOG(O19)/O8)</f>
        <v>1.8813214913731963E-2</v>
      </c>
      <c r="P20" s="163">
        <f>O20</f>
        <v>1.8813214913731963E-2</v>
      </c>
      <c r="R20" s="158" t="s">
        <v>32</v>
      </c>
      <c r="S20" s="161" t="e">
        <f>(-LOG(S19)/$S$8)</f>
        <v>#NUM!</v>
      </c>
      <c r="U20" s="158"/>
      <c r="V20" s="155"/>
      <c r="W20" s="159"/>
      <c r="X20" s="159"/>
      <c r="Y20" s="159"/>
      <c r="Z20" s="159"/>
      <c r="AA20" s="159"/>
    </row>
    <row r="21" spans="2:27" x14ac:dyDescent="0.3">
      <c r="B21" s="158">
        <v>200</v>
      </c>
      <c r="C21" s="158">
        <f>V21</f>
        <v>185</v>
      </c>
      <c r="D21" s="155">
        <f>175</f>
        <v>175</v>
      </c>
      <c r="E21" s="164">
        <v>125</v>
      </c>
      <c r="F21" s="164">
        <v>42.5</v>
      </c>
      <c r="G21" s="155">
        <v>13</v>
      </c>
      <c r="H21" s="155">
        <v>5</v>
      </c>
      <c r="I21" s="151"/>
      <c r="K21" s="158">
        <v>200</v>
      </c>
      <c r="L21" s="155">
        <v>154</v>
      </c>
      <c r="M21" s="155">
        <v>136</v>
      </c>
      <c r="N21" s="155">
        <v>71</v>
      </c>
      <c r="O21" s="155">
        <v>32</v>
      </c>
      <c r="P21" s="151"/>
      <c r="R21" s="158">
        <v>200</v>
      </c>
      <c r="S21" s="155"/>
      <c r="U21" s="158">
        <v>200</v>
      </c>
      <c r="V21" s="155">
        <v>185</v>
      </c>
      <c r="W21" s="159"/>
      <c r="X21" s="159"/>
      <c r="Y21" s="159"/>
      <c r="Z21" s="159"/>
      <c r="AA21" s="159"/>
    </row>
    <row r="22" spans="2:27" x14ac:dyDescent="0.3">
      <c r="B22" s="158" t="s">
        <v>31</v>
      </c>
      <c r="C22" s="158"/>
      <c r="D22" s="165">
        <f>D21/$V$21</f>
        <v>0.94594594594594594</v>
      </c>
      <c r="E22" s="165">
        <f>E21/$V$21</f>
        <v>0.67567567567567566</v>
      </c>
      <c r="F22" s="165">
        <f>F21/$V$21</f>
        <v>0.22972972972972974</v>
      </c>
      <c r="G22" s="165">
        <f>G21/$V$21</f>
        <v>7.0270270270270274E-2</v>
      </c>
      <c r="H22" s="165">
        <f>H21/$V$21</f>
        <v>2.7027027027027029E-2</v>
      </c>
      <c r="I22" s="151"/>
      <c r="K22" s="158" t="s">
        <v>31</v>
      </c>
      <c r="L22" s="165">
        <f>L21/$V$21</f>
        <v>0.83243243243243248</v>
      </c>
      <c r="M22" s="165">
        <f>M21/$V$21</f>
        <v>0.73513513513513518</v>
      </c>
      <c r="N22" s="165">
        <f>N21/$V$21</f>
        <v>0.38378378378378381</v>
      </c>
      <c r="O22" s="165">
        <f>O21/$V$21</f>
        <v>0.17297297297297298</v>
      </c>
      <c r="P22" s="151"/>
      <c r="R22" s="158" t="s">
        <v>31</v>
      </c>
      <c r="S22" s="160">
        <f>S21/$V$9</f>
        <v>0</v>
      </c>
      <c r="U22" s="158"/>
      <c r="V22" s="155"/>
      <c r="W22" s="159"/>
      <c r="X22" s="159"/>
      <c r="Y22" s="159"/>
      <c r="Z22" s="159"/>
      <c r="AA22" s="159"/>
    </row>
    <row r="23" spans="2:27" x14ac:dyDescent="0.3">
      <c r="B23" s="158" t="s">
        <v>32</v>
      </c>
      <c r="C23" s="158"/>
      <c r="D23" s="165">
        <f>(-LOG(D22)/D$8)</f>
        <v>2.4133679716719361E-3</v>
      </c>
      <c r="E23" s="165">
        <f>(-LOG(E22)/E$8)</f>
        <v>8.5130857697478697E-3</v>
      </c>
      <c r="F23" s="165">
        <f>(-LOG(F22)/F$8)</f>
        <v>2.1292759945090074E-2</v>
      </c>
      <c r="G23" s="165">
        <f>(-LOG(G22)/G$8)</f>
        <v>2.8830709402404425E-2</v>
      </c>
      <c r="H23" s="165">
        <f>(-LOG(H22)/H$8)</f>
        <v>3.1364034481339897E-2</v>
      </c>
      <c r="I23" s="163">
        <f>MAX(D23:H23)</f>
        <v>3.1364034481339897E-2</v>
      </c>
      <c r="K23" s="158" t="s">
        <v>32</v>
      </c>
      <c r="L23" s="165">
        <f>(-LOG(L22)/L$8)</f>
        <v>7.9651007566550712E-3</v>
      </c>
      <c r="M23" s="165">
        <f>(-LOG(M22)/M$8)</f>
        <v>5.3453128013118498E-3</v>
      </c>
      <c r="N23" s="165">
        <f>(-LOG(N22)/N$8)</f>
        <v>1.386377932279795E-2</v>
      </c>
      <c r="O23" s="165">
        <f>(-LOG(O22)/O$8)</f>
        <v>1.9050543752077695E-2</v>
      </c>
      <c r="P23" s="163">
        <f>O23</f>
        <v>1.9050543752077695E-2</v>
      </c>
      <c r="R23" s="158" t="s">
        <v>32</v>
      </c>
      <c r="S23" s="161" t="e">
        <f>(-LOG(S22)/$S$8)</f>
        <v>#NUM!</v>
      </c>
      <c r="U23" s="158"/>
      <c r="V23" s="155"/>
      <c r="W23" s="159"/>
      <c r="X23" s="159"/>
      <c r="Y23" s="159"/>
      <c r="Z23" s="159"/>
      <c r="AA23" s="159"/>
    </row>
    <row r="24" spans="2:27" x14ac:dyDescent="0.3">
      <c r="B24" s="158">
        <v>100</v>
      </c>
      <c r="C24" s="158">
        <f>V24</f>
        <v>96</v>
      </c>
      <c r="D24" s="155">
        <f>94</f>
        <v>94</v>
      </c>
      <c r="E24" s="155">
        <v>65</v>
      </c>
      <c r="F24" s="155">
        <v>21</v>
      </c>
      <c r="G24" s="155">
        <v>7</v>
      </c>
      <c r="H24" s="155">
        <v>3</v>
      </c>
      <c r="I24" s="151"/>
      <c r="K24" s="158">
        <v>100</v>
      </c>
      <c r="L24" s="155">
        <v>81</v>
      </c>
      <c r="M24" s="155">
        <v>71</v>
      </c>
      <c r="N24" s="155">
        <v>37</v>
      </c>
      <c r="O24" s="155">
        <v>16</v>
      </c>
      <c r="P24" s="151"/>
      <c r="R24" s="158">
        <v>100</v>
      </c>
      <c r="S24" s="155"/>
      <c r="U24" s="158">
        <v>100</v>
      </c>
      <c r="V24" s="155">
        <v>96</v>
      </c>
      <c r="W24" s="159"/>
      <c r="X24" s="159"/>
      <c r="Y24" s="159"/>
      <c r="Z24" s="159"/>
      <c r="AA24" s="159"/>
    </row>
    <row r="25" spans="2:27" x14ac:dyDescent="0.3">
      <c r="B25" s="158" t="s">
        <v>31</v>
      </c>
      <c r="C25" s="158"/>
      <c r="D25" s="165">
        <f>D24/$V$24</f>
        <v>0.97916666666666663</v>
      </c>
      <c r="E25" s="165">
        <f>E24/$V$24</f>
        <v>0.67708333333333337</v>
      </c>
      <c r="F25" s="165">
        <f>F24/$V$24</f>
        <v>0.21875</v>
      </c>
      <c r="G25" s="165">
        <f>G24/$V$24</f>
        <v>7.2916666666666671E-2</v>
      </c>
      <c r="H25" s="165">
        <f>H24/$V$24</f>
        <v>3.125E-2</v>
      </c>
      <c r="I25" s="151"/>
      <c r="K25" s="158" t="s">
        <v>31</v>
      </c>
      <c r="L25" s="165">
        <f>L24/$V$24</f>
        <v>0.84375</v>
      </c>
      <c r="M25" s="165">
        <f>M24/$V$24</f>
        <v>0.73958333333333337</v>
      </c>
      <c r="N25" s="165">
        <f>N24/$V$24</f>
        <v>0.38541666666666669</v>
      </c>
      <c r="O25" s="165">
        <f>O24/$V$24</f>
        <v>0.16666666666666666</v>
      </c>
      <c r="P25" s="151"/>
      <c r="R25" s="158" t="s">
        <v>31</v>
      </c>
      <c r="S25" s="160">
        <f>S24/$V$9</f>
        <v>0</v>
      </c>
      <c r="U25" s="166"/>
      <c r="V25" s="159"/>
      <c r="W25" s="159"/>
      <c r="X25" s="159"/>
      <c r="Y25" s="159"/>
      <c r="Z25" s="159"/>
      <c r="AA25" s="159"/>
    </row>
    <row r="26" spans="2:27" x14ac:dyDescent="0.3">
      <c r="B26" s="158" t="s">
        <v>32</v>
      </c>
      <c r="C26" s="158"/>
      <c r="D26" s="165">
        <f>(-LOG(D25)/D$8)</f>
        <v>9.1433794398697711E-4</v>
      </c>
      <c r="E26" s="165">
        <f>(-LOG(E25)/E$8)</f>
        <v>8.467893819835641E-3</v>
      </c>
      <c r="F26" s="165">
        <f>(-LOG(F25)/F$8)</f>
        <v>2.200173127685497E-2</v>
      </c>
      <c r="G26" s="165">
        <f>(-LOG(G25)/G$8)</f>
        <v>2.8429329825632788E-2</v>
      </c>
      <c r="H26" s="165">
        <f>(-LOG(H25)/H$8)</f>
        <v>3.0102999566398121E-2</v>
      </c>
      <c r="I26" s="163">
        <f>MAX(D26:H26)</f>
        <v>3.0102999566398121E-2</v>
      </c>
      <c r="K26" s="158" t="s">
        <v>32</v>
      </c>
      <c r="L26" s="165">
        <f>(-LOG(L25)/L$8)</f>
        <v>7.3786214160918668E-3</v>
      </c>
      <c r="M26" s="165">
        <f>(-LOG(M25)/M$8)</f>
        <v>5.2405153728197242E-3</v>
      </c>
      <c r="N26" s="165">
        <f>(-LOG(N25)/N$8)</f>
        <v>1.3802316965752447E-2</v>
      </c>
      <c r="O26" s="165">
        <f>(-LOG(O25)/O$8)</f>
        <v>1.9453781259591092E-2</v>
      </c>
      <c r="P26" s="163">
        <f>O26</f>
        <v>1.9453781259591092E-2</v>
      </c>
      <c r="R26" s="158" t="s">
        <v>32</v>
      </c>
      <c r="S26" s="161" t="e">
        <f>(-LOG(S25)/$S$8)</f>
        <v>#NUM!</v>
      </c>
      <c r="U26" s="166"/>
      <c r="V26" s="159"/>
      <c r="W26" s="159"/>
      <c r="X26" s="159"/>
      <c r="Y26" s="159"/>
      <c r="Z26" s="159"/>
      <c r="AA26" s="159"/>
    </row>
    <row r="27" spans="2:27" x14ac:dyDescent="0.3">
      <c r="L27" s="149"/>
      <c r="M27" s="149"/>
      <c r="N27" s="149"/>
      <c r="O27" s="149"/>
      <c r="S27" s="149"/>
      <c r="V27" s="149"/>
      <c r="W27" s="159"/>
      <c r="X27" s="159"/>
      <c r="Y27" s="159"/>
      <c r="Z27" s="159"/>
      <c r="AA27" s="159"/>
    </row>
    <row r="28" spans="2:27" x14ac:dyDescent="0.3">
      <c r="B28" s="147" t="s">
        <v>25</v>
      </c>
      <c r="C28" s="147"/>
      <c r="D28" s="149" t="s">
        <v>27</v>
      </c>
      <c r="F28" s="150"/>
      <c r="K28" s="147" t="s">
        <v>25</v>
      </c>
      <c r="L28" s="148" t="s">
        <v>27</v>
      </c>
      <c r="R28" s="147" t="s">
        <v>25</v>
      </c>
      <c r="S28" s="149" t="s">
        <v>27</v>
      </c>
      <c r="U28" s="147" t="s">
        <v>25</v>
      </c>
      <c r="V28" s="149" t="s">
        <v>27</v>
      </c>
      <c r="W28" s="159"/>
      <c r="X28" s="159"/>
      <c r="Y28" s="159"/>
      <c r="Z28" s="159"/>
      <c r="AA28" s="159"/>
    </row>
    <row r="29" spans="2:27" x14ac:dyDescent="0.3">
      <c r="S29" s="149"/>
      <c r="V29" s="149"/>
      <c r="W29" s="159"/>
      <c r="X29" s="159"/>
      <c r="Y29" s="159"/>
      <c r="Z29" s="159"/>
      <c r="AA29" s="159"/>
    </row>
    <row r="30" spans="2:27" x14ac:dyDescent="0.3">
      <c r="B30" s="178"/>
      <c r="C30" s="178"/>
      <c r="D30" s="179" t="s">
        <v>30</v>
      </c>
      <c r="E30" s="179"/>
      <c r="F30" s="179"/>
      <c r="G30" s="179"/>
      <c r="H30" s="179"/>
      <c r="I30" s="179"/>
      <c r="K30" s="178"/>
      <c r="L30" s="179" t="s">
        <v>30</v>
      </c>
      <c r="M30" s="179"/>
      <c r="N30" s="179"/>
      <c r="O30" s="179"/>
      <c r="P30" s="179"/>
      <c r="R30" s="178"/>
      <c r="S30" s="186" t="s">
        <v>30</v>
      </c>
      <c r="U30" s="178"/>
      <c r="V30" s="187"/>
      <c r="W30" s="154"/>
      <c r="X30" s="154"/>
      <c r="Y30" s="154"/>
      <c r="Z30" s="154"/>
      <c r="AA30" s="154"/>
    </row>
    <row r="31" spans="2:27" x14ac:dyDescent="0.3">
      <c r="B31" s="180" t="s">
        <v>29</v>
      </c>
      <c r="C31" s="180">
        <v>0</v>
      </c>
      <c r="D31" s="181">
        <v>10</v>
      </c>
      <c r="E31" s="181">
        <v>20</v>
      </c>
      <c r="F31" s="181">
        <v>30</v>
      </c>
      <c r="G31" s="181">
        <v>40</v>
      </c>
      <c r="H31" s="181">
        <v>50</v>
      </c>
      <c r="I31" s="178"/>
      <c r="K31" s="180" t="s">
        <v>29</v>
      </c>
      <c r="L31" s="181">
        <v>10</v>
      </c>
      <c r="M31" s="181">
        <v>25</v>
      </c>
      <c r="N31" s="181">
        <v>30</v>
      </c>
      <c r="O31" s="181">
        <v>40</v>
      </c>
      <c r="P31" s="178"/>
      <c r="R31" s="180" t="s">
        <v>29</v>
      </c>
      <c r="S31" s="181">
        <v>35</v>
      </c>
      <c r="U31" s="180" t="s">
        <v>29</v>
      </c>
      <c r="V31" s="181"/>
      <c r="W31" s="159"/>
      <c r="X31" s="159"/>
      <c r="Y31" s="159"/>
      <c r="Z31" s="159"/>
      <c r="AA31" s="159"/>
    </row>
    <row r="32" spans="2:27" x14ac:dyDescent="0.3">
      <c r="B32" s="182">
        <v>1000</v>
      </c>
      <c r="C32" s="182">
        <f>V32</f>
        <v>557.5</v>
      </c>
      <c r="D32" s="181">
        <f>503</f>
        <v>503</v>
      </c>
      <c r="E32" s="181">
        <v>474</v>
      </c>
      <c r="F32" s="181">
        <v>115</v>
      </c>
      <c r="G32" s="181">
        <v>35</v>
      </c>
      <c r="H32" s="181">
        <v>12</v>
      </c>
      <c r="I32" s="178"/>
      <c r="K32" s="182">
        <v>1000</v>
      </c>
      <c r="L32" s="181">
        <v>495</v>
      </c>
      <c r="M32" s="181">
        <v>451</v>
      </c>
      <c r="N32" s="181">
        <v>282</v>
      </c>
      <c r="O32" s="181">
        <v>165</v>
      </c>
      <c r="P32" s="178"/>
      <c r="R32" s="182">
        <v>1000</v>
      </c>
      <c r="S32" s="181">
        <v>380</v>
      </c>
      <c r="U32" s="182">
        <v>1000</v>
      </c>
      <c r="V32" s="181">
        <f>+(550+565)/2</f>
        <v>557.5</v>
      </c>
      <c r="W32" s="159"/>
      <c r="X32" s="159"/>
      <c r="Y32" s="159"/>
      <c r="Z32" s="159"/>
      <c r="AA32" s="159"/>
    </row>
    <row r="33" spans="2:27" x14ac:dyDescent="0.3">
      <c r="B33" s="182" t="s">
        <v>31</v>
      </c>
      <c r="C33" s="182">
        <f t="shared" ref="C33:C49" si="0">V33</f>
        <v>0</v>
      </c>
      <c r="D33" s="183">
        <f>D32/$V$32</f>
        <v>0.90224215246636774</v>
      </c>
      <c r="E33" s="183">
        <f>E32/$V$32</f>
        <v>0.85022421524663672</v>
      </c>
      <c r="F33" s="183">
        <f>F32/$V$32</f>
        <v>0.20627802690582961</v>
      </c>
      <c r="G33" s="183">
        <f>G32/$V$32</f>
        <v>6.2780269058295965E-2</v>
      </c>
      <c r="H33" s="183">
        <f>H32/$V$32</f>
        <v>2.1524663677130046E-2</v>
      </c>
      <c r="I33" s="178"/>
      <c r="K33" s="182" t="s">
        <v>31</v>
      </c>
      <c r="L33" s="183">
        <f>L32/$V$32</f>
        <v>0.88789237668161436</v>
      </c>
      <c r="M33" s="183">
        <f>M32/$V$32</f>
        <v>0.80896860986547081</v>
      </c>
      <c r="N33" s="183">
        <f>N32/$V$32</f>
        <v>0.50582959641255609</v>
      </c>
      <c r="O33" s="183">
        <f>O32/$V$32</f>
        <v>0.29596412556053814</v>
      </c>
      <c r="P33" s="183"/>
      <c r="R33" s="182" t="s">
        <v>31</v>
      </c>
      <c r="S33" s="183">
        <f>S32/$V$32</f>
        <v>0.68161434977578472</v>
      </c>
      <c r="U33" s="182"/>
      <c r="V33" s="181"/>
      <c r="W33" s="159"/>
      <c r="X33" s="159"/>
      <c r="Y33" s="159"/>
      <c r="Z33" s="159"/>
      <c r="AA33" s="159"/>
    </row>
    <row r="34" spans="2:27" x14ac:dyDescent="0.3">
      <c r="B34" s="182" t="s">
        <v>32</v>
      </c>
      <c r="C34" s="182">
        <f t="shared" si="0"/>
        <v>0</v>
      </c>
      <c r="D34" s="184">
        <f>(-LOG(D33)/D31)</f>
        <v>4.4676886664270872E-3</v>
      </c>
      <c r="E34" s="183">
        <f>(-LOG(E33)/E31)</f>
        <v>3.5233265023056626E-3</v>
      </c>
      <c r="F34" s="183">
        <f>(-LOG(F33)/F31)</f>
        <v>2.2851567712219554E-2</v>
      </c>
      <c r="G34" s="183">
        <f>(-LOG(G33)/G31)</f>
        <v>3.0054420684248066E-2</v>
      </c>
      <c r="H34" s="183">
        <f>(-LOG(H33)/H31)</f>
        <v>3.3341272513451467E-2</v>
      </c>
      <c r="I34" s="185">
        <f>MAX(D34:H34)</f>
        <v>3.3341272513451467E-2</v>
      </c>
      <c r="K34" s="182" t="s">
        <v>32</v>
      </c>
      <c r="L34" s="184">
        <f>(-LOG(L33)/L31)</f>
        <v>5.1639672786629558E-3</v>
      </c>
      <c r="M34" s="183">
        <f>(-LOG(M33)/M31)</f>
        <v>3.6827331936895107E-3</v>
      </c>
      <c r="N34" s="183">
        <f>(-LOG(N33)/N31)</f>
        <v>9.8665254466945729E-3</v>
      </c>
      <c r="O34" s="183">
        <f>(-LOG(O33)/O31)</f>
        <v>1.3219023187657299E-2</v>
      </c>
      <c r="P34" s="185">
        <f>MAX(K34:O34)</f>
        <v>1.3219023187657299E-2</v>
      </c>
      <c r="R34" s="182" t="s">
        <v>32</v>
      </c>
      <c r="S34" s="184">
        <f>(-LOG(S33)/S31)</f>
        <v>4.7560364315253761E-3</v>
      </c>
      <c r="U34" s="182"/>
      <c r="V34" s="181"/>
      <c r="W34" s="159"/>
      <c r="X34" s="159"/>
      <c r="Y34" s="159"/>
      <c r="Z34" s="159"/>
      <c r="AA34" s="159"/>
    </row>
    <row r="35" spans="2:27" x14ac:dyDescent="0.3">
      <c r="B35" s="182">
        <v>800</v>
      </c>
      <c r="C35" s="182">
        <f t="shared" si="0"/>
        <v>469</v>
      </c>
      <c r="D35" s="181">
        <f>416</f>
        <v>416</v>
      </c>
      <c r="E35" s="181">
        <v>391</v>
      </c>
      <c r="F35" s="181">
        <v>76</v>
      </c>
      <c r="G35" s="181">
        <v>29</v>
      </c>
      <c r="H35" s="181">
        <v>10</v>
      </c>
      <c r="I35" s="178"/>
      <c r="K35" s="182">
        <v>800</v>
      </c>
      <c r="L35" s="181">
        <v>411</v>
      </c>
      <c r="M35" s="181">
        <v>373</v>
      </c>
      <c r="N35" s="181">
        <v>234</v>
      </c>
      <c r="O35" s="181">
        <v>137</v>
      </c>
      <c r="P35" s="178"/>
      <c r="R35" s="182">
        <v>800</v>
      </c>
      <c r="S35" s="181"/>
      <c r="U35" s="182">
        <v>800</v>
      </c>
      <c r="V35" s="181">
        <v>469</v>
      </c>
      <c r="W35" s="159"/>
      <c r="X35" s="159"/>
      <c r="Y35" s="159"/>
      <c r="Z35" s="159"/>
      <c r="AA35" s="159"/>
    </row>
    <row r="36" spans="2:27" x14ac:dyDescent="0.3">
      <c r="B36" s="182" t="s">
        <v>31</v>
      </c>
      <c r="C36" s="182">
        <f t="shared" si="0"/>
        <v>0</v>
      </c>
      <c r="D36" s="183">
        <f>D35/$V$35</f>
        <v>0.8869936034115139</v>
      </c>
      <c r="E36" s="183">
        <f>E35/$V$35</f>
        <v>0.83368869936034118</v>
      </c>
      <c r="F36" s="183">
        <f>F35/$V$35</f>
        <v>0.16204690831556504</v>
      </c>
      <c r="G36" s="183">
        <f>G35/$V$35</f>
        <v>6.1833688699360338E-2</v>
      </c>
      <c r="H36" s="183">
        <f>H35/$V$35</f>
        <v>2.1321961620469083E-2</v>
      </c>
      <c r="I36" s="178"/>
      <c r="K36" s="182" t="s">
        <v>31</v>
      </c>
      <c r="L36" s="183">
        <f>L35/$V$35</f>
        <v>0.87633262260127931</v>
      </c>
      <c r="M36" s="183">
        <f>M35/$V$35</f>
        <v>0.79530916844349675</v>
      </c>
      <c r="N36" s="183">
        <f>N35/$V$35</f>
        <v>0.49893390191897652</v>
      </c>
      <c r="O36" s="183">
        <f>O35/$V$35</f>
        <v>0.29211087420042642</v>
      </c>
      <c r="P36" s="178"/>
      <c r="R36" s="182" t="s">
        <v>31</v>
      </c>
      <c r="S36" s="183">
        <f>S35/$V$32</f>
        <v>0</v>
      </c>
      <c r="U36" s="182"/>
      <c r="V36" s="181"/>
      <c r="W36" s="159"/>
      <c r="X36" s="159"/>
      <c r="Y36" s="159"/>
      <c r="Z36" s="159"/>
      <c r="AA36" s="159"/>
    </row>
    <row r="37" spans="2:27" x14ac:dyDescent="0.3">
      <c r="B37" s="182" t="s">
        <v>32</v>
      </c>
      <c r="C37" s="182">
        <f t="shared" si="0"/>
        <v>0</v>
      </c>
      <c r="D37" s="184">
        <f>(-LOG(D36)/D$31)</f>
        <v>5.2079512088340505E-3</v>
      </c>
      <c r="E37" s="184">
        <f>(-LOG(E36)/E$31)</f>
        <v>3.9498042659608223E-3</v>
      </c>
      <c r="F37" s="184">
        <f>(-LOG(F36)/F$31)</f>
        <v>2.634530834780973E-2</v>
      </c>
      <c r="G37" s="184">
        <f>(-LOG(G36)/G$31)</f>
        <v>3.0219371120403182E-2</v>
      </c>
      <c r="H37" s="184">
        <f>(-LOG(H36)/H$31)</f>
        <v>3.3423456854301668E-2</v>
      </c>
      <c r="I37" s="185">
        <f>MAX(D37:H37)</f>
        <v>3.3423456854301668E-2</v>
      </c>
      <c r="K37" s="182" t="s">
        <v>32</v>
      </c>
      <c r="L37" s="184">
        <f>(-LOG(L36)/L$31)</f>
        <v>5.7331020839014061E-3</v>
      </c>
      <c r="M37" s="184">
        <f>(-LOG(M36)/M$31)</f>
        <v>3.9785604362558274E-3</v>
      </c>
      <c r="N37" s="184">
        <f>(-LOG(N36)/N$31)</f>
        <v>1.0065232843498017E-2</v>
      </c>
      <c r="O37" s="184">
        <f>(-LOG(O36)/O$31)</f>
        <v>1.3361306888966914E-2</v>
      </c>
      <c r="P37" s="185">
        <f>MAX(K37:O37)</f>
        <v>1.3361306888966914E-2</v>
      </c>
      <c r="R37" s="182" t="s">
        <v>32</v>
      </c>
      <c r="S37" s="184" t="e">
        <f>(-LOG(S36)/S34)</f>
        <v>#NUM!</v>
      </c>
      <c r="U37" s="182"/>
      <c r="V37" s="181"/>
      <c r="W37" s="159"/>
      <c r="X37" s="159"/>
      <c r="Y37" s="159"/>
      <c r="Z37" s="159"/>
      <c r="AA37" s="159"/>
    </row>
    <row r="38" spans="2:27" x14ac:dyDescent="0.3">
      <c r="B38" s="182">
        <v>600</v>
      </c>
      <c r="C38" s="182">
        <f t="shared" si="0"/>
        <v>366</v>
      </c>
      <c r="D38" s="181">
        <f>323</f>
        <v>323</v>
      </c>
      <c r="E38" s="181">
        <v>304</v>
      </c>
      <c r="F38" s="181">
        <v>59</v>
      </c>
      <c r="G38" s="181">
        <v>22</v>
      </c>
      <c r="H38" s="181">
        <v>7</v>
      </c>
      <c r="I38" s="178"/>
      <c r="K38" s="182">
        <v>600</v>
      </c>
      <c r="L38" s="181">
        <v>320</v>
      </c>
      <c r="M38" s="181">
        <v>291</v>
      </c>
      <c r="N38" s="181">
        <v>182</v>
      </c>
      <c r="O38" s="181">
        <v>107</v>
      </c>
      <c r="P38" s="178"/>
      <c r="R38" s="182">
        <v>600</v>
      </c>
      <c r="S38" s="181"/>
      <c r="U38" s="182">
        <v>600</v>
      </c>
      <c r="V38" s="181">
        <v>366</v>
      </c>
      <c r="W38" s="159"/>
      <c r="X38" s="159"/>
      <c r="Y38" s="159"/>
      <c r="Z38" s="159"/>
      <c r="AA38" s="159"/>
    </row>
    <row r="39" spans="2:27" x14ac:dyDescent="0.3">
      <c r="B39" s="182" t="s">
        <v>31</v>
      </c>
      <c r="C39" s="182">
        <f t="shared" si="0"/>
        <v>0</v>
      </c>
      <c r="D39" s="183">
        <f>D38/$V$38</f>
        <v>0.88251366120218577</v>
      </c>
      <c r="E39" s="183">
        <f>E38/$V$38</f>
        <v>0.8306010928961749</v>
      </c>
      <c r="F39" s="183">
        <f>F38/$V$38</f>
        <v>0.16120218579234974</v>
      </c>
      <c r="G39" s="183">
        <f>G38/$V$38</f>
        <v>6.0109289617486336E-2</v>
      </c>
      <c r="H39" s="183">
        <f>H38/$V$38</f>
        <v>1.912568306010929E-2</v>
      </c>
      <c r="I39" s="178"/>
      <c r="K39" s="182" t="s">
        <v>31</v>
      </c>
      <c r="L39" s="183">
        <f>L38/$V$38</f>
        <v>0.87431693989071035</v>
      </c>
      <c r="M39" s="183">
        <f>M38/$V$38</f>
        <v>0.79508196721311475</v>
      </c>
      <c r="N39" s="183">
        <f>N38/$V$38</f>
        <v>0.49726775956284153</v>
      </c>
      <c r="O39" s="183">
        <f>O38/$V$38</f>
        <v>0.29234972677595628</v>
      </c>
      <c r="P39" s="178"/>
      <c r="R39" s="182" t="s">
        <v>31</v>
      </c>
      <c r="S39" s="183">
        <f>S38/$V$32</f>
        <v>0</v>
      </c>
      <c r="U39" s="182"/>
      <c r="V39" s="181"/>
      <c r="W39" s="159"/>
      <c r="X39" s="159"/>
      <c r="Y39" s="159"/>
      <c r="Z39" s="159"/>
      <c r="AA39" s="159"/>
    </row>
    <row r="40" spans="2:27" x14ac:dyDescent="0.3">
      <c r="B40" s="182" t="s">
        <v>32</v>
      </c>
      <c r="C40" s="182">
        <f t="shared" si="0"/>
        <v>0</v>
      </c>
      <c r="D40" s="184">
        <f>(-LOG(D39)/D$31)</f>
        <v>5.4278563063307785E-3</v>
      </c>
      <c r="E40" s="184">
        <f>(-LOG(E39)/E$31)</f>
        <v>4.030375089282846E-3</v>
      </c>
      <c r="F40" s="184">
        <f>(-LOG(F39)/F$31)</f>
        <v>2.6420969125075546E-2</v>
      </c>
      <c r="G40" s="184">
        <f>(-LOG(G39)/G$31)</f>
        <v>3.0526460114305109E-2</v>
      </c>
      <c r="H40" s="184">
        <f>(-LOG(H39)/H$31)</f>
        <v>3.4367660907603077E-2</v>
      </c>
      <c r="I40" s="185">
        <f>MAX(D40:H40)</f>
        <v>3.4367660907603077E-2</v>
      </c>
      <c r="K40" s="182" t="s">
        <v>32</v>
      </c>
      <c r="L40" s="184">
        <f>(-LOG(L39)/L$31)</f>
        <v>5.8331107074504705E-3</v>
      </c>
      <c r="M40" s="184">
        <f>(-LOG(M39)/M$31)</f>
        <v>3.9835238563401352E-3</v>
      </c>
      <c r="N40" s="184">
        <f>(-LOG(N39)/N$31)</f>
        <v>1.0113656580311195E-2</v>
      </c>
      <c r="O40" s="184">
        <f>(-LOG(O39)/O$31)</f>
        <v>1.3352432692730027E-2</v>
      </c>
      <c r="P40" s="185">
        <f>MAX(K40:O40)</f>
        <v>1.3352432692730027E-2</v>
      </c>
      <c r="R40" s="182" t="s">
        <v>32</v>
      </c>
      <c r="S40" s="184" t="e">
        <f>(-LOG(S39)/S37)</f>
        <v>#NUM!</v>
      </c>
      <c r="U40" s="182"/>
      <c r="V40" s="181"/>
      <c r="W40" s="159"/>
      <c r="X40" s="159"/>
      <c r="Y40" s="159"/>
      <c r="Z40" s="159"/>
      <c r="AA40" s="159"/>
    </row>
    <row r="41" spans="2:27" x14ac:dyDescent="0.3">
      <c r="B41" s="182">
        <v>400</v>
      </c>
      <c r="C41" s="182">
        <f t="shared" si="0"/>
        <v>252</v>
      </c>
      <c r="D41" s="181">
        <f>223</f>
        <v>223</v>
      </c>
      <c r="E41" s="181">
        <v>210</v>
      </c>
      <c r="F41" s="181">
        <v>41</v>
      </c>
      <c r="G41" s="181">
        <v>15</v>
      </c>
      <c r="H41" s="181">
        <v>5</v>
      </c>
      <c r="I41" s="178"/>
      <c r="K41" s="182">
        <v>400</v>
      </c>
      <c r="L41" s="181">
        <v>221</v>
      </c>
      <c r="M41" s="181">
        <v>201</v>
      </c>
      <c r="N41" s="181">
        <v>125</v>
      </c>
      <c r="O41" s="181">
        <v>74</v>
      </c>
      <c r="P41" s="178"/>
      <c r="R41" s="182">
        <v>400</v>
      </c>
      <c r="S41" s="181"/>
      <c r="U41" s="182">
        <v>400</v>
      </c>
      <c r="V41" s="181">
        <v>252</v>
      </c>
      <c r="W41" s="159"/>
      <c r="X41" s="159"/>
      <c r="Y41" s="159"/>
      <c r="Z41" s="159"/>
      <c r="AA41" s="159"/>
    </row>
    <row r="42" spans="2:27" x14ac:dyDescent="0.3">
      <c r="B42" s="182" t="s">
        <v>31</v>
      </c>
      <c r="C42" s="182">
        <f t="shared" si="0"/>
        <v>0</v>
      </c>
      <c r="D42" s="183">
        <f>D41/$V$41</f>
        <v>0.88492063492063489</v>
      </c>
      <c r="E42" s="183">
        <f>E41/$V$41</f>
        <v>0.83333333333333337</v>
      </c>
      <c r="F42" s="183">
        <f>F41/$V$41</f>
        <v>0.1626984126984127</v>
      </c>
      <c r="G42" s="183">
        <f>G41/$V$41</f>
        <v>5.9523809523809521E-2</v>
      </c>
      <c r="H42" s="183">
        <f>H41/$V$41</f>
        <v>1.984126984126984E-2</v>
      </c>
      <c r="I42" s="178"/>
      <c r="K42" s="182" t="s">
        <v>31</v>
      </c>
      <c r="L42" s="183">
        <f>L41/$V$41</f>
        <v>0.87698412698412698</v>
      </c>
      <c r="M42" s="183">
        <f>M41/$V$41</f>
        <v>0.79761904761904767</v>
      </c>
      <c r="N42" s="183">
        <f>N41/$V$41</f>
        <v>0.49603174603174605</v>
      </c>
      <c r="O42" s="183">
        <f>O41/$V$41</f>
        <v>0.29365079365079366</v>
      </c>
      <c r="P42" s="178"/>
      <c r="R42" s="182" t="s">
        <v>31</v>
      </c>
      <c r="S42" s="183">
        <f>S41/$V$32</f>
        <v>0</v>
      </c>
      <c r="U42" s="182"/>
      <c r="V42" s="181"/>
      <c r="W42" s="159"/>
      <c r="X42" s="159"/>
      <c r="Y42" s="159"/>
      <c r="Z42" s="159"/>
      <c r="AA42" s="159"/>
    </row>
    <row r="43" spans="2:27" x14ac:dyDescent="0.3">
      <c r="B43" s="182" t="s">
        <v>32</v>
      </c>
      <c r="C43" s="182">
        <f t="shared" si="0"/>
        <v>0</v>
      </c>
      <c r="D43" s="184">
        <f>(-LOG(D42)/D$31)</f>
        <v>5.3095677733383442E-3</v>
      </c>
      <c r="E43" s="184">
        <f>(-LOG(E42)/E$31)</f>
        <v>3.95906230238124E-3</v>
      </c>
      <c r="F43" s="184">
        <f>(-LOG(F42)/F$31)</f>
        <v>2.6287222802060289E-2</v>
      </c>
      <c r="G43" s="184">
        <f>(-LOG(G42)/G$31)</f>
        <v>3.0632732043146572E-2</v>
      </c>
      <c r="H43" s="184">
        <f>(-LOG(H42)/H$31)</f>
        <v>3.4048610728910501E-2</v>
      </c>
      <c r="I43" s="185">
        <f>MAX(D43:H43)</f>
        <v>3.4048610728910501E-2</v>
      </c>
      <c r="K43" s="182" t="s">
        <v>32</v>
      </c>
      <c r="L43" s="184">
        <f>(-LOG(L42)/L$31)</f>
        <v>5.7008267096433406E-3</v>
      </c>
      <c r="M43" s="184">
        <f>(-LOG(M42)/M$31)</f>
        <v>3.9281793344422078E-3</v>
      </c>
      <c r="N43" s="184">
        <f>(-LOG(N42)/N$31)</f>
        <v>1.0149684259116255E-2</v>
      </c>
      <c r="O43" s="184">
        <f>(-LOG(O42)/O$31)</f>
        <v>1.3304220526264196E-2</v>
      </c>
      <c r="P43" s="185">
        <f>MAX(K43:O43)</f>
        <v>1.3304220526264196E-2</v>
      </c>
      <c r="R43" s="182" t="s">
        <v>32</v>
      </c>
      <c r="S43" s="184" t="e">
        <f>(-LOG(S42)/S40)</f>
        <v>#NUM!</v>
      </c>
      <c r="U43" s="182"/>
      <c r="V43" s="181"/>
      <c r="W43" s="159"/>
      <c r="X43" s="159"/>
      <c r="Y43" s="159"/>
      <c r="Z43" s="159"/>
      <c r="AA43" s="159"/>
    </row>
    <row r="44" spans="2:27" x14ac:dyDescent="0.3">
      <c r="B44" s="182">
        <v>200</v>
      </c>
      <c r="C44" s="182">
        <f t="shared" si="0"/>
        <v>132</v>
      </c>
      <c r="D44" s="181">
        <f>116</f>
        <v>116</v>
      </c>
      <c r="E44" s="181">
        <v>110</v>
      </c>
      <c r="F44" s="181">
        <v>20</v>
      </c>
      <c r="G44" s="181">
        <v>7</v>
      </c>
      <c r="H44" s="181">
        <v>3</v>
      </c>
      <c r="I44" s="178"/>
      <c r="K44" s="182">
        <v>200</v>
      </c>
      <c r="L44" s="181">
        <v>116</v>
      </c>
      <c r="M44" s="181">
        <v>105</v>
      </c>
      <c r="N44" s="181">
        <v>65</v>
      </c>
      <c r="O44" s="181">
        <v>38</v>
      </c>
      <c r="P44" s="178"/>
      <c r="R44" s="182">
        <v>200</v>
      </c>
      <c r="S44" s="181"/>
      <c r="U44" s="182">
        <v>200</v>
      </c>
      <c r="V44" s="181">
        <v>132</v>
      </c>
      <c r="W44" s="159"/>
      <c r="X44" s="159"/>
      <c r="Y44" s="159"/>
      <c r="Z44" s="159"/>
      <c r="AA44" s="159"/>
    </row>
    <row r="45" spans="2:27" x14ac:dyDescent="0.3">
      <c r="B45" s="182" t="s">
        <v>31</v>
      </c>
      <c r="C45" s="182">
        <f t="shared" si="0"/>
        <v>0</v>
      </c>
      <c r="D45" s="183">
        <f>D44/$V$44</f>
        <v>0.87878787878787878</v>
      </c>
      <c r="E45" s="183">
        <f>E44/$V$44</f>
        <v>0.83333333333333337</v>
      </c>
      <c r="F45" s="183">
        <f>F44/$V$44</f>
        <v>0.15151515151515152</v>
      </c>
      <c r="G45" s="183">
        <f>G44/$V$44</f>
        <v>5.3030303030303032E-2</v>
      </c>
      <c r="H45" s="183">
        <f>H44/$V$44</f>
        <v>2.2727272727272728E-2</v>
      </c>
      <c r="I45" s="178"/>
      <c r="K45" s="182" t="s">
        <v>31</v>
      </c>
      <c r="L45" s="183">
        <f>L44/$V$44</f>
        <v>0.87878787878787878</v>
      </c>
      <c r="M45" s="183">
        <f>M44/$V$44</f>
        <v>0.79545454545454541</v>
      </c>
      <c r="N45" s="183">
        <f>N44/$V$44</f>
        <v>0.49242424242424243</v>
      </c>
      <c r="O45" s="183">
        <f>O44/$V$44</f>
        <v>0.2878787878787879</v>
      </c>
      <c r="P45" s="178"/>
      <c r="R45" s="182" t="s">
        <v>31</v>
      </c>
      <c r="S45" s="183">
        <f>S44/$V$32</f>
        <v>0</v>
      </c>
      <c r="U45" s="182"/>
      <c r="V45" s="181"/>
      <c r="W45" s="159"/>
      <c r="X45" s="159"/>
      <c r="Y45" s="159"/>
      <c r="Z45" s="159"/>
      <c r="AA45" s="159"/>
    </row>
    <row r="46" spans="2:27" x14ac:dyDescent="0.3">
      <c r="B46" s="182" t="s">
        <v>32</v>
      </c>
      <c r="C46" s="182">
        <f t="shared" si="0"/>
        <v>0</v>
      </c>
      <c r="D46" s="184">
        <f>(-LOG(D45)/D$31)</f>
        <v>5.6115941978931386E-3</v>
      </c>
      <c r="E46" s="184">
        <f>(-LOG(E45)/E$31)</f>
        <v>3.95906230238124E-3</v>
      </c>
      <c r="F46" s="184">
        <f>(-LOG(F45)/F$31)</f>
        <v>2.7318131184728957E-2</v>
      </c>
      <c r="G46" s="184">
        <f>(-LOG(G45)/G$31)</f>
        <v>3.1886897279789828E-2</v>
      </c>
      <c r="H46" s="184">
        <f>(-LOG(H45)/H$31)</f>
        <v>3.2869053529723746E-2</v>
      </c>
      <c r="I46" s="185">
        <f>MAX(D46:H46)</f>
        <v>3.2869053529723746E-2</v>
      </c>
      <c r="K46" s="182" t="s">
        <v>32</v>
      </c>
      <c r="L46" s="184">
        <f>(-LOG(L45)/L$31)</f>
        <v>5.6115941978931386E-3</v>
      </c>
      <c r="M46" s="184">
        <f>(-LOG(M45)/M$31)</f>
        <v>3.9753852854364728E-3</v>
      </c>
      <c r="N46" s="184">
        <f>(-LOG(N45)/N$31)</f>
        <v>1.0255352485433142E-2</v>
      </c>
      <c r="O46" s="184">
        <f>(-LOG(O45)/O$31)</f>
        <v>1.3519758364725992E-2</v>
      </c>
      <c r="P46" s="185">
        <f>MAX(K46:O46)</f>
        <v>1.3519758364725992E-2</v>
      </c>
      <c r="R46" s="182" t="s">
        <v>32</v>
      </c>
      <c r="S46" s="184" t="e">
        <f>(-LOG(S45)/S43)</f>
        <v>#NUM!</v>
      </c>
      <c r="U46" s="182"/>
      <c r="V46" s="181"/>
      <c r="W46" s="159"/>
      <c r="X46" s="159"/>
      <c r="Y46" s="159"/>
      <c r="Z46" s="159"/>
      <c r="AA46" s="159"/>
    </row>
    <row r="47" spans="2:27" x14ac:dyDescent="0.3">
      <c r="B47" s="182">
        <v>100</v>
      </c>
      <c r="C47" s="182">
        <f t="shared" si="0"/>
        <v>68</v>
      </c>
      <c r="D47" s="181">
        <f>60</f>
        <v>60</v>
      </c>
      <c r="E47" s="181">
        <v>56</v>
      </c>
      <c r="F47" s="181">
        <v>10</v>
      </c>
      <c r="G47" s="181">
        <v>4</v>
      </c>
      <c r="H47" s="181">
        <v>2</v>
      </c>
      <c r="I47" s="178"/>
      <c r="K47" s="182">
        <v>100</v>
      </c>
      <c r="L47" s="181">
        <v>59</v>
      </c>
      <c r="M47" s="181">
        <v>54</v>
      </c>
      <c r="N47" s="181">
        <v>33</v>
      </c>
      <c r="O47" s="181">
        <v>19</v>
      </c>
      <c r="P47" s="178"/>
      <c r="R47" s="182">
        <v>100</v>
      </c>
      <c r="S47" s="181"/>
      <c r="U47" s="182">
        <v>100</v>
      </c>
      <c r="V47" s="181">
        <v>68</v>
      </c>
      <c r="W47" s="159"/>
      <c r="X47" s="159"/>
      <c r="Y47" s="159"/>
      <c r="Z47" s="159"/>
      <c r="AA47" s="159"/>
    </row>
    <row r="48" spans="2:27" x14ac:dyDescent="0.3">
      <c r="B48" s="182" t="s">
        <v>31</v>
      </c>
      <c r="C48" s="182">
        <f t="shared" si="0"/>
        <v>0</v>
      </c>
      <c r="D48" s="183">
        <f>D47/$V$47</f>
        <v>0.88235294117647056</v>
      </c>
      <c r="E48" s="183">
        <f>E47/$V$47</f>
        <v>0.82352941176470584</v>
      </c>
      <c r="F48" s="183">
        <f>F47/$V$47</f>
        <v>0.14705882352941177</v>
      </c>
      <c r="G48" s="183">
        <f>G47/$V$47</f>
        <v>5.8823529411764705E-2</v>
      </c>
      <c r="H48" s="183">
        <f>H47/$V$47</f>
        <v>2.9411764705882353E-2</v>
      </c>
      <c r="I48" s="178"/>
      <c r="K48" s="182" t="s">
        <v>31</v>
      </c>
      <c r="L48" s="183">
        <f>L47/$V$47</f>
        <v>0.86764705882352944</v>
      </c>
      <c r="M48" s="183">
        <f>M47/$V$47</f>
        <v>0.79411764705882348</v>
      </c>
      <c r="N48" s="183">
        <f>N47/$V$47</f>
        <v>0.48529411764705882</v>
      </c>
      <c r="O48" s="183">
        <f>O47/$V$47</f>
        <v>0.27941176470588236</v>
      </c>
      <c r="P48" s="178"/>
      <c r="R48" s="182" t="s">
        <v>31</v>
      </c>
      <c r="S48" s="183">
        <f>S47/$V$32</f>
        <v>0</v>
      </c>
      <c r="U48" s="166"/>
      <c r="V48" s="159"/>
      <c r="W48" s="159"/>
      <c r="X48" s="159"/>
      <c r="Y48" s="159"/>
      <c r="Z48" s="159"/>
      <c r="AA48" s="159"/>
    </row>
    <row r="49" spans="2:27" x14ac:dyDescent="0.3">
      <c r="B49" s="182" t="s">
        <v>32</v>
      </c>
      <c r="C49" s="182">
        <f t="shared" si="0"/>
        <v>0</v>
      </c>
      <c r="D49" s="183">
        <f>(-LOG(D48)/D$31)</f>
        <v>5.4357662322592698E-3</v>
      </c>
      <c r="E49" s="183">
        <f>(-LOG(E48)/E$31)</f>
        <v>4.2160442850017969E-3</v>
      </c>
      <c r="F49" s="183">
        <f>(-LOG(F48)/F$31)</f>
        <v>2.7750297090207876E-2</v>
      </c>
      <c r="G49" s="183">
        <f>(-LOG(G48)/G$31)</f>
        <v>3.0761223034456848E-2</v>
      </c>
      <c r="H49" s="183">
        <f>(-LOG(H48)/H$31)</f>
        <v>3.0629578340845103E-2</v>
      </c>
      <c r="I49" s="185">
        <f>MAX(D49:H49)</f>
        <v>3.0761223034456848E-2</v>
      </c>
      <c r="K49" s="182" t="s">
        <v>32</v>
      </c>
      <c r="L49" s="183">
        <f>(-LOG(L48)/L$31)</f>
        <v>6.165690106409211E-3</v>
      </c>
      <c r="M49" s="183">
        <f>(-LOG(M48)/M$31)</f>
        <v>4.0046061153307137E-3</v>
      </c>
      <c r="N49" s="183">
        <f>(-LOG(N48)/N$31)</f>
        <v>1.0466499094278294E-2</v>
      </c>
      <c r="O49" s="183">
        <f>(-LOG(O48)/O$31)</f>
        <v>1.3843882793835183E-2</v>
      </c>
      <c r="P49" s="185">
        <f>MAX(K49:O49)</f>
        <v>1.3843882793835183E-2</v>
      </c>
      <c r="R49" s="182" t="s">
        <v>32</v>
      </c>
      <c r="S49" s="184" t="e">
        <f>(-LOG(S48)/S46)</f>
        <v>#NUM!</v>
      </c>
      <c r="U49" s="166"/>
      <c r="V49" s="159"/>
      <c r="W49" s="159"/>
      <c r="X49" s="159"/>
      <c r="Y49" s="159"/>
      <c r="Z49" s="159"/>
      <c r="AA49" s="159"/>
    </row>
    <row r="50" spans="2:27" x14ac:dyDescent="0.3">
      <c r="L50" s="149"/>
      <c r="M50" s="149"/>
      <c r="N50" s="149"/>
      <c r="O50" s="149"/>
      <c r="S50" s="149"/>
      <c r="V50" s="149"/>
      <c r="W50" s="159"/>
      <c r="X50" s="159"/>
      <c r="Y50" s="159"/>
      <c r="Z50" s="159"/>
      <c r="AA50" s="159"/>
    </row>
    <row r="51" spans="2:27" x14ac:dyDescent="0.3">
      <c r="B51" s="147" t="s">
        <v>25</v>
      </c>
      <c r="C51" s="147"/>
      <c r="D51" s="149" t="s">
        <v>28</v>
      </c>
      <c r="F51" s="150"/>
      <c r="K51" s="147" t="s">
        <v>25</v>
      </c>
      <c r="L51" s="148" t="s">
        <v>28</v>
      </c>
      <c r="R51" s="147" t="s">
        <v>25</v>
      </c>
      <c r="S51" s="149" t="s">
        <v>28</v>
      </c>
      <c r="U51" s="147" t="s">
        <v>25</v>
      </c>
      <c r="V51" s="149" t="s">
        <v>28</v>
      </c>
      <c r="W51" s="159"/>
      <c r="X51" s="159"/>
      <c r="Y51" s="159"/>
      <c r="Z51" s="159"/>
      <c r="AA51" s="159"/>
    </row>
    <row r="52" spans="2:27" x14ac:dyDescent="0.3">
      <c r="S52" s="149"/>
      <c r="V52" s="149"/>
      <c r="W52" s="159"/>
      <c r="X52" s="159"/>
      <c r="Y52" s="159"/>
      <c r="Z52" s="159"/>
      <c r="AA52" s="159"/>
    </row>
    <row r="53" spans="2:27" x14ac:dyDescent="0.3">
      <c r="B53" s="188" t="s">
        <v>29</v>
      </c>
      <c r="C53" s="188"/>
      <c r="D53" s="189" t="s">
        <v>30</v>
      </c>
      <c r="E53" s="189"/>
      <c r="F53" s="189"/>
      <c r="G53" s="189"/>
      <c r="H53" s="189"/>
      <c r="I53" s="189"/>
      <c r="K53" s="190"/>
      <c r="L53" s="189" t="s">
        <v>30</v>
      </c>
      <c r="M53" s="189"/>
      <c r="N53" s="189"/>
      <c r="O53" s="189"/>
      <c r="P53" s="189"/>
      <c r="R53" s="190"/>
      <c r="S53" s="195" t="s">
        <v>30</v>
      </c>
      <c r="U53" s="190"/>
      <c r="V53" s="196"/>
      <c r="W53" s="154"/>
      <c r="X53" s="154"/>
      <c r="Y53" s="154"/>
      <c r="Z53" s="154"/>
      <c r="AA53" s="154"/>
    </row>
    <row r="54" spans="2:27" x14ac:dyDescent="0.3">
      <c r="B54" s="190">
        <v>-3</v>
      </c>
      <c r="C54" s="190">
        <v>0</v>
      </c>
      <c r="D54" s="191">
        <v>10</v>
      </c>
      <c r="E54" s="191">
        <v>20</v>
      </c>
      <c r="F54" s="191">
        <v>30</v>
      </c>
      <c r="G54" s="191">
        <v>40</v>
      </c>
      <c r="H54" s="191">
        <v>50</v>
      </c>
      <c r="I54" s="190"/>
      <c r="K54" s="188" t="s">
        <v>29</v>
      </c>
      <c r="L54" s="191">
        <v>10</v>
      </c>
      <c r="M54" s="191">
        <v>25</v>
      </c>
      <c r="N54" s="191">
        <v>30</v>
      </c>
      <c r="O54" s="191">
        <v>40</v>
      </c>
      <c r="P54" s="190"/>
      <c r="R54" s="188" t="s">
        <v>29</v>
      </c>
      <c r="S54" s="191">
        <v>35</v>
      </c>
      <c r="U54" s="188" t="s">
        <v>29</v>
      </c>
      <c r="V54" s="191"/>
      <c r="W54" s="159"/>
      <c r="X54" s="159"/>
      <c r="Y54" s="159"/>
      <c r="Z54" s="159"/>
      <c r="AA54" s="159"/>
    </row>
    <row r="55" spans="2:27" x14ac:dyDescent="0.3">
      <c r="B55" s="192">
        <v>1000</v>
      </c>
      <c r="C55" s="192">
        <f>V55</f>
        <v>919</v>
      </c>
      <c r="D55" s="191">
        <f>789</f>
        <v>789</v>
      </c>
      <c r="E55" s="191">
        <f>+(634+621)/2</f>
        <v>627.5</v>
      </c>
      <c r="F55" s="191">
        <v>36</v>
      </c>
      <c r="G55" s="191">
        <v>6</v>
      </c>
      <c r="H55" s="191">
        <v>2</v>
      </c>
      <c r="I55" s="190"/>
      <c r="K55" s="192">
        <v>1000</v>
      </c>
      <c r="L55" s="191">
        <v>577</v>
      </c>
      <c r="M55" s="191">
        <v>394</v>
      </c>
      <c r="N55" s="191">
        <v>148</v>
      </c>
      <c r="O55" s="191">
        <v>37</v>
      </c>
      <c r="P55" s="190"/>
      <c r="R55" s="192">
        <v>1000</v>
      </c>
      <c r="S55" s="191">
        <v>260</v>
      </c>
      <c r="U55" s="192">
        <v>1000</v>
      </c>
      <c r="V55" s="191">
        <v>919</v>
      </c>
      <c r="W55" s="159"/>
      <c r="X55" s="159"/>
      <c r="Y55" s="159"/>
      <c r="Z55" s="159"/>
      <c r="AA55" s="159"/>
    </row>
    <row r="56" spans="2:27" x14ac:dyDescent="0.3">
      <c r="B56" s="192" t="s">
        <v>31</v>
      </c>
      <c r="C56" s="192">
        <f t="shared" ref="C56:C72" si="1">V56</f>
        <v>0</v>
      </c>
      <c r="D56" s="193">
        <f>D55/$V$55</f>
        <v>0.85854189336235043</v>
      </c>
      <c r="E56" s="193">
        <f>E55/$V$55</f>
        <v>0.68280739934711643</v>
      </c>
      <c r="F56" s="193">
        <f>F55/$V$55</f>
        <v>3.9173014145810661E-2</v>
      </c>
      <c r="G56" s="193">
        <f>G55/$V$55</f>
        <v>6.5288356909684441E-3</v>
      </c>
      <c r="H56" s="193">
        <f>H55/$V$55</f>
        <v>2.176278563656148E-3</v>
      </c>
      <c r="I56" s="190"/>
      <c r="K56" s="192" t="s">
        <v>31</v>
      </c>
      <c r="L56" s="193">
        <f>L55/$V$55</f>
        <v>0.62785636561479874</v>
      </c>
      <c r="M56" s="193">
        <f>M55/$V$55</f>
        <v>0.42872687704026113</v>
      </c>
      <c r="N56" s="193">
        <f>N55/$V$55</f>
        <v>0.16104461371055495</v>
      </c>
      <c r="O56" s="193">
        <f>O55/$V$55</f>
        <v>4.0261153427638738E-2</v>
      </c>
      <c r="P56" s="190"/>
      <c r="R56" s="192" t="s">
        <v>31</v>
      </c>
      <c r="S56" s="193">
        <f>S55/$V$55</f>
        <v>0.28291621327529926</v>
      </c>
      <c r="U56" s="192"/>
      <c r="V56" s="191"/>
      <c r="W56" s="159"/>
      <c r="X56" s="159"/>
      <c r="Y56" s="159"/>
      <c r="Z56" s="159"/>
      <c r="AA56" s="159"/>
    </row>
    <row r="57" spans="2:27" x14ac:dyDescent="0.3">
      <c r="B57" s="192" t="s">
        <v>32</v>
      </c>
      <c r="C57" s="192">
        <f t="shared" si="1"/>
        <v>0</v>
      </c>
      <c r="D57" s="193">
        <f>(-LOG(D56)/D54)</f>
        <v>6.6238508176690945E-3</v>
      </c>
      <c r="E57" s="193">
        <f>(-LOG(E56)/E54)</f>
        <v>8.2850890616517764E-3</v>
      </c>
      <c r="F57" s="193">
        <f>(-LOG(F56)/F54)</f>
        <v>4.6900433687294137E-2</v>
      </c>
      <c r="G57" s="193">
        <f>(-LOG(G56)/G54)</f>
        <v>5.4629106525061685E-2</v>
      </c>
      <c r="H57" s="193">
        <f>(-LOG(H56)/H54)</f>
        <v>5.3245710314442606E-2</v>
      </c>
      <c r="I57" s="194">
        <f>MAX(D57:H57)</f>
        <v>5.4629106525061685E-2</v>
      </c>
      <c r="K57" s="192" t="s">
        <v>32</v>
      </c>
      <c r="L57" s="193">
        <f>(-LOG(L56)/L54)</f>
        <v>2.021396982303798E-2</v>
      </c>
      <c r="M57" s="193">
        <f>(-LOG(M56)/M54)</f>
        <v>1.4712771582421487E-2</v>
      </c>
      <c r="N57" s="193">
        <f>(-LOG(N56)/N54)</f>
        <v>2.6435126533038464E-2</v>
      </c>
      <c r="O57" s="193">
        <f>(-LOG(O56)/O54)</f>
        <v>3.4877844682977902E-2</v>
      </c>
      <c r="P57" s="194">
        <f>MAX(K57:O57)</f>
        <v>3.4877844682977902E-2</v>
      </c>
      <c r="R57" s="192" t="s">
        <v>32</v>
      </c>
      <c r="S57" s="193">
        <f>(-LOG(S56)/$S$54)</f>
        <v>1.5666918954722664E-2</v>
      </c>
      <c r="U57" s="192"/>
      <c r="V57" s="191"/>
      <c r="W57" s="159"/>
      <c r="X57" s="159"/>
      <c r="Y57" s="159"/>
      <c r="Z57" s="159"/>
      <c r="AA57" s="159"/>
    </row>
    <row r="58" spans="2:27" x14ac:dyDescent="0.3">
      <c r="B58" s="192">
        <v>800</v>
      </c>
      <c r="C58" s="192">
        <f t="shared" si="1"/>
        <v>738</v>
      </c>
      <c r="D58" s="191">
        <f>632</f>
        <v>632</v>
      </c>
      <c r="E58" s="191">
        <v>561</v>
      </c>
      <c r="F58" s="191">
        <v>29</v>
      </c>
      <c r="G58" s="191">
        <v>5</v>
      </c>
      <c r="H58" s="191">
        <v>1</v>
      </c>
      <c r="I58" s="190"/>
      <c r="K58" s="192">
        <v>800</v>
      </c>
      <c r="L58" s="191">
        <v>464</v>
      </c>
      <c r="M58" s="191">
        <v>315</v>
      </c>
      <c r="N58" s="191">
        <v>120</v>
      </c>
      <c r="O58" s="191">
        <v>29</v>
      </c>
      <c r="P58" s="190"/>
      <c r="R58" s="192">
        <v>800</v>
      </c>
      <c r="S58" s="191"/>
      <c r="U58" s="192">
        <v>800</v>
      </c>
      <c r="V58" s="191">
        <v>738</v>
      </c>
      <c r="W58" s="159"/>
      <c r="X58" s="159"/>
      <c r="Y58" s="159"/>
      <c r="Z58" s="159"/>
      <c r="AA58" s="159"/>
    </row>
    <row r="59" spans="2:27" x14ac:dyDescent="0.3">
      <c r="B59" s="192" t="s">
        <v>31</v>
      </c>
      <c r="C59" s="192">
        <f t="shared" si="1"/>
        <v>0</v>
      </c>
      <c r="D59" s="193">
        <f>D58/$V$58</f>
        <v>0.85636856368563685</v>
      </c>
      <c r="E59" s="193">
        <f>E58/$V$58</f>
        <v>0.76016260162601623</v>
      </c>
      <c r="F59" s="193">
        <f>F58/$V$58</f>
        <v>3.9295392953929538E-2</v>
      </c>
      <c r="G59" s="193">
        <f>G58/$V$58</f>
        <v>6.7750677506775072E-3</v>
      </c>
      <c r="H59" s="193">
        <f>H58/$V$58</f>
        <v>1.3550135501355014E-3</v>
      </c>
      <c r="I59" s="190"/>
      <c r="K59" s="192" t="s">
        <v>31</v>
      </c>
      <c r="L59" s="193">
        <f>L58/$V$58</f>
        <v>0.62872628726287261</v>
      </c>
      <c r="M59" s="193">
        <f>M58/$V$58</f>
        <v>0.42682926829268292</v>
      </c>
      <c r="N59" s="193">
        <f>N58/$V$58</f>
        <v>0.16260162601626016</v>
      </c>
      <c r="O59" s="193">
        <f>O58/$V$58</f>
        <v>3.9295392953929538E-2</v>
      </c>
      <c r="P59" s="190"/>
      <c r="R59" s="192" t="s">
        <v>31</v>
      </c>
      <c r="S59" s="193">
        <f>S58/$V$55</f>
        <v>0</v>
      </c>
      <c r="U59" s="192"/>
      <c r="V59" s="191"/>
      <c r="W59" s="159"/>
      <c r="X59" s="159"/>
      <c r="Y59" s="159"/>
      <c r="Z59" s="159"/>
      <c r="AA59" s="159"/>
    </row>
    <row r="60" spans="2:27" x14ac:dyDescent="0.3">
      <c r="B60" s="192" t="s">
        <v>32</v>
      </c>
      <c r="C60" s="192">
        <f t="shared" si="1"/>
        <v>0</v>
      </c>
      <c r="D60" s="193">
        <f>(-LOG(D59)/D$54)</f>
        <v>6.7339283540656545E-3</v>
      </c>
      <c r="E60" s="193">
        <f>(-LOG(E59)/E$54)</f>
        <v>5.954675028344009E-3</v>
      </c>
      <c r="F60" s="193">
        <f>(-LOG(F59)/F$54)</f>
        <v>4.6855278797469514E-2</v>
      </c>
      <c r="G60" s="193">
        <f>(-LOG(G59)/G$54)</f>
        <v>5.4227158937175571E-2</v>
      </c>
      <c r="H60" s="193">
        <f>(-LOG(H59)/H$54)</f>
        <v>5.7361127236460828E-2</v>
      </c>
      <c r="I60" s="194">
        <f>MAX(D60:H60)</f>
        <v>5.7361127236460828E-2</v>
      </c>
      <c r="K60" s="192" t="s">
        <v>32</v>
      </c>
      <c r="L60" s="193">
        <f>(-LOG(L59)/L$54)</f>
        <v>2.0153838126816072E-2</v>
      </c>
      <c r="M60" s="193">
        <f>(-LOG(M59)/M$54)</f>
        <v>1.4789832321337642E-2</v>
      </c>
      <c r="N60" s="193">
        <f>(-LOG(N59)/N$54)</f>
        <v>2.6295837192513889E-2</v>
      </c>
      <c r="O60" s="193">
        <f>(-LOG(O59)/O$54)</f>
        <v>3.5141459098102137E-2</v>
      </c>
      <c r="P60" s="194">
        <f>MAX(K60:O60)</f>
        <v>3.5141459098102137E-2</v>
      </c>
      <c r="R60" s="192" t="s">
        <v>32</v>
      </c>
      <c r="S60" s="193" t="e">
        <f>(-LOG(S59)/$S$54)</f>
        <v>#NUM!</v>
      </c>
      <c r="U60" s="192"/>
      <c r="V60" s="191"/>
      <c r="W60" s="159"/>
      <c r="X60" s="159"/>
      <c r="Y60" s="159"/>
      <c r="Z60" s="159"/>
      <c r="AA60" s="159"/>
    </row>
    <row r="61" spans="2:27" x14ac:dyDescent="0.3">
      <c r="B61" s="192">
        <v>600</v>
      </c>
      <c r="C61" s="192">
        <f t="shared" si="1"/>
        <v>565</v>
      </c>
      <c r="D61" s="191">
        <f>484</f>
        <v>484</v>
      </c>
      <c r="E61" s="191">
        <v>385</v>
      </c>
      <c r="F61" s="191">
        <v>22</v>
      </c>
      <c r="G61" s="191">
        <v>4</v>
      </c>
      <c r="H61" s="191">
        <v>1</v>
      </c>
      <c r="I61" s="190"/>
      <c r="K61" s="192">
        <v>600</v>
      </c>
      <c r="L61" s="191">
        <v>356</v>
      </c>
      <c r="M61" s="191">
        <v>242</v>
      </c>
      <c r="N61" s="191">
        <v>93</v>
      </c>
      <c r="O61" s="191">
        <v>22</v>
      </c>
      <c r="P61" s="190"/>
      <c r="R61" s="192">
        <v>600</v>
      </c>
      <c r="S61" s="191"/>
      <c r="U61" s="192">
        <v>600</v>
      </c>
      <c r="V61" s="191">
        <v>565</v>
      </c>
      <c r="W61" s="159"/>
      <c r="X61" s="159"/>
      <c r="Y61" s="159"/>
      <c r="Z61" s="159"/>
      <c r="AA61" s="159"/>
    </row>
    <row r="62" spans="2:27" x14ac:dyDescent="0.3">
      <c r="B62" s="192" t="s">
        <v>31</v>
      </c>
      <c r="C62" s="192">
        <f t="shared" si="1"/>
        <v>0</v>
      </c>
      <c r="D62" s="193">
        <f>D61/$V$61</f>
        <v>0.85663716814159296</v>
      </c>
      <c r="E62" s="193">
        <f>E61/$V$61</f>
        <v>0.68141592920353977</v>
      </c>
      <c r="F62" s="193">
        <f>F61/$V$61</f>
        <v>3.8938053097345132E-2</v>
      </c>
      <c r="G62" s="193">
        <f>G61/$V$61</f>
        <v>7.0796460176991149E-3</v>
      </c>
      <c r="H62" s="193">
        <f>H61/$V$61</f>
        <v>1.7699115044247787E-3</v>
      </c>
      <c r="I62" s="190"/>
      <c r="K62" s="192" t="s">
        <v>31</v>
      </c>
      <c r="L62" s="193">
        <f>L61/$V$61</f>
        <v>0.63008849557522129</v>
      </c>
      <c r="M62" s="193">
        <f>M61/$V$61</f>
        <v>0.42831858407079648</v>
      </c>
      <c r="N62" s="193">
        <f>N61/$V$61</f>
        <v>0.16460176991150444</v>
      </c>
      <c r="O62" s="193">
        <f>O61/$V$61</f>
        <v>3.8938053097345132E-2</v>
      </c>
      <c r="P62" s="190"/>
      <c r="R62" s="192" t="s">
        <v>31</v>
      </c>
      <c r="S62" s="193">
        <f>S61/$V$55</f>
        <v>0</v>
      </c>
      <c r="U62" s="192"/>
      <c r="V62" s="191"/>
      <c r="W62" s="159"/>
      <c r="X62" s="159"/>
      <c r="Y62" s="159"/>
      <c r="Z62" s="159"/>
      <c r="AA62" s="159"/>
    </row>
    <row r="63" spans="2:27" x14ac:dyDescent="0.3">
      <c r="B63" s="192" t="s">
        <v>32</v>
      </c>
      <c r="C63" s="192">
        <f t="shared" si="1"/>
        <v>0</v>
      </c>
      <c r="D63" s="193">
        <f>(-LOG(D62)/D$54)</f>
        <v>6.7203086175026032E-3</v>
      </c>
      <c r="E63" s="193">
        <f>(-LOG(E62)/E$54)</f>
        <v>8.3293859155468934E-3</v>
      </c>
      <c r="F63" s="193">
        <f>(-LOG(F62)/F$54)</f>
        <v>4.6987525566574408E-2</v>
      </c>
      <c r="G63" s="193">
        <f>(-LOG(G62)/G$54)</f>
        <v>5.3749711412286905E-2</v>
      </c>
      <c r="H63" s="193">
        <f>(-LOG(H62)/H$54)</f>
        <v>5.5040968956388776E-2</v>
      </c>
      <c r="I63" s="194">
        <f>MAX(D63:H63)</f>
        <v>5.5040968956388776E-2</v>
      </c>
      <c r="K63" s="192" t="s">
        <v>32</v>
      </c>
      <c r="L63" s="193">
        <f>(-LOG(L62)/L$54)</f>
        <v>2.0059844984656332E-2</v>
      </c>
      <c r="M63" s="193">
        <f>(-LOG(M62)/M$54)</f>
        <v>1.4729323273560288E-2</v>
      </c>
      <c r="N63" s="193">
        <f>(-LOG(N62)/N$54)</f>
        <v>2.6118849975516778E-2</v>
      </c>
      <c r="O63" s="193">
        <f>(-LOG(O62)/O$54)</f>
        <v>3.5240644174930807E-2</v>
      </c>
      <c r="P63" s="194">
        <f>MAX(K63:O63)</f>
        <v>3.5240644174930807E-2</v>
      </c>
      <c r="R63" s="192" t="s">
        <v>32</v>
      </c>
      <c r="S63" s="193" t="e">
        <f>(-LOG(S62)/$S$54)</f>
        <v>#NUM!</v>
      </c>
      <c r="U63" s="192"/>
      <c r="V63" s="191"/>
      <c r="W63" s="159"/>
      <c r="X63" s="159"/>
      <c r="Y63" s="159"/>
      <c r="Z63" s="159"/>
      <c r="AA63" s="159"/>
    </row>
    <row r="64" spans="2:27" x14ac:dyDescent="0.3">
      <c r="B64" s="192">
        <v>400</v>
      </c>
      <c r="C64" s="192">
        <f t="shared" si="1"/>
        <v>375</v>
      </c>
      <c r="D64" s="191">
        <f>323</f>
        <v>323</v>
      </c>
      <c r="E64" s="191">
        <v>257</v>
      </c>
      <c r="F64" s="191">
        <v>14</v>
      </c>
      <c r="G64" s="191">
        <v>3</v>
      </c>
      <c r="H64" s="191">
        <v>1</v>
      </c>
      <c r="I64" s="190"/>
      <c r="K64" s="192">
        <v>400</v>
      </c>
      <c r="L64" s="191">
        <v>237</v>
      </c>
      <c r="M64" s="191">
        <v>161</v>
      </c>
      <c r="N64" s="191">
        <v>62</v>
      </c>
      <c r="O64" s="191">
        <v>15</v>
      </c>
      <c r="P64" s="190"/>
      <c r="R64" s="192">
        <v>400</v>
      </c>
      <c r="S64" s="191"/>
      <c r="U64" s="192">
        <v>400</v>
      </c>
      <c r="V64" s="191">
        <v>375</v>
      </c>
      <c r="W64" s="159"/>
      <c r="X64" s="159"/>
      <c r="Y64" s="159"/>
      <c r="Z64" s="159"/>
      <c r="AA64" s="159"/>
    </row>
    <row r="65" spans="1:27" x14ac:dyDescent="0.3">
      <c r="B65" s="192" t="s">
        <v>31</v>
      </c>
      <c r="C65" s="192">
        <f t="shared" si="1"/>
        <v>0</v>
      </c>
      <c r="D65" s="193">
        <f>D64/$V$64</f>
        <v>0.86133333333333328</v>
      </c>
      <c r="E65" s="193">
        <f>E64/$V$64</f>
        <v>0.68533333333333335</v>
      </c>
      <c r="F65" s="193">
        <f>F64/$V$64</f>
        <v>3.7333333333333336E-2</v>
      </c>
      <c r="G65" s="193">
        <f>G64/$V$64</f>
        <v>8.0000000000000002E-3</v>
      </c>
      <c r="H65" s="193">
        <f>H64/$V$64</f>
        <v>2.6666666666666666E-3</v>
      </c>
      <c r="I65" s="190"/>
      <c r="K65" s="192" t="s">
        <v>31</v>
      </c>
      <c r="L65" s="193">
        <f>L64/$V$64</f>
        <v>0.63200000000000001</v>
      </c>
      <c r="M65" s="193">
        <f>M64/$V$64</f>
        <v>0.42933333333333334</v>
      </c>
      <c r="N65" s="193">
        <f>N64/$V$64</f>
        <v>0.16533333333333333</v>
      </c>
      <c r="O65" s="193">
        <f>O64/$V$64</f>
        <v>0.04</v>
      </c>
      <c r="P65" s="190"/>
      <c r="R65" s="192" t="s">
        <v>31</v>
      </c>
      <c r="S65" s="193">
        <f>S64/$V$55</f>
        <v>0</v>
      </c>
      <c r="U65" s="192"/>
      <c r="V65" s="191"/>
      <c r="W65" s="159"/>
      <c r="X65" s="159"/>
      <c r="Y65" s="159"/>
      <c r="Z65" s="159"/>
      <c r="AA65" s="159"/>
    </row>
    <row r="66" spans="1:27" x14ac:dyDescent="0.3">
      <c r="B66" s="192" t="s">
        <v>32</v>
      </c>
      <c r="C66" s="192">
        <f t="shared" si="1"/>
        <v>0</v>
      </c>
      <c r="D66" s="193">
        <f>(-LOG(D65)/D$54)</f>
        <v>6.482874539661598E-3</v>
      </c>
      <c r="E66" s="193">
        <f>(-LOG(E65)/E$54)</f>
        <v>8.2049072198212159E-3</v>
      </c>
      <c r="F66" s="193">
        <f>(-LOG(F65)/F$54)</f>
        <v>4.7596774401649361E-2</v>
      </c>
      <c r="G66" s="193">
        <f>(-LOG(G65)/G$54)</f>
        <v>5.2422750325201405E-2</v>
      </c>
      <c r="H66" s="193">
        <f>(-LOG(H65)/H$54)</f>
        <v>5.1480625354554374E-2</v>
      </c>
      <c r="I66" s="194">
        <f>MAX(D66:H66)</f>
        <v>5.2422750325201405E-2</v>
      </c>
      <c r="K66" s="192" t="s">
        <v>32</v>
      </c>
      <c r="L66" s="193">
        <f>(-LOG(L65)/L$54)</f>
        <v>1.9928292171761498E-2</v>
      </c>
      <c r="M66" s="193">
        <f>(-LOG(M65)/M$54)</f>
        <v>1.4688215667834766E-2</v>
      </c>
      <c r="N66" s="193">
        <f>(-LOG(N65)/N$54)</f>
        <v>2.6054652607648832E-2</v>
      </c>
      <c r="O66" s="193">
        <f>(-LOG(O65)/O$54)</f>
        <v>3.4948500216800939E-2</v>
      </c>
      <c r="P66" s="194">
        <f>MAX(K66:O66)</f>
        <v>3.4948500216800939E-2</v>
      </c>
      <c r="R66" s="192" t="s">
        <v>32</v>
      </c>
      <c r="S66" s="193" t="e">
        <f>(-LOG(S65)/$S$54)</f>
        <v>#NUM!</v>
      </c>
      <c r="U66" s="192"/>
      <c r="V66" s="191"/>
      <c r="W66" s="159"/>
      <c r="X66" s="159"/>
      <c r="Y66" s="159"/>
      <c r="Z66" s="159"/>
      <c r="AA66" s="159"/>
    </row>
    <row r="67" spans="1:27" x14ac:dyDescent="0.3">
      <c r="B67" s="192">
        <v>200</v>
      </c>
      <c r="C67" s="192">
        <f t="shared" si="1"/>
        <v>191</v>
      </c>
      <c r="D67" s="191">
        <f>165</f>
        <v>165</v>
      </c>
      <c r="E67" s="191">
        <v>132</v>
      </c>
      <c r="F67" s="191">
        <v>7</v>
      </c>
      <c r="G67" s="191">
        <v>2</v>
      </c>
      <c r="H67" s="191">
        <v>1</v>
      </c>
      <c r="I67" s="190"/>
      <c r="K67" s="192">
        <v>200</v>
      </c>
      <c r="L67" s="191">
        <v>121</v>
      </c>
      <c r="M67" s="191">
        <v>82</v>
      </c>
      <c r="N67" s="191">
        <v>32</v>
      </c>
      <c r="O67" s="191">
        <v>7.5</v>
      </c>
      <c r="P67" s="190"/>
      <c r="R67" s="192">
        <v>200</v>
      </c>
      <c r="S67" s="191"/>
      <c r="U67" s="192">
        <v>200</v>
      </c>
      <c r="V67" s="191">
        <v>191</v>
      </c>
      <c r="W67" s="159"/>
      <c r="X67" s="159"/>
      <c r="Y67" s="159"/>
      <c r="Z67" s="159"/>
      <c r="AA67" s="159"/>
    </row>
    <row r="68" spans="1:27" x14ac:dyDescent="0.3">
      <c r="B68" s="192" t="s">
        <v>31</v>
      </c>
      <c r="C68" s="192">
        <f t="shared" si="1"/>
        <v>0</v>
      </c>
      <c r="D68" s="193">
        <f>D67/$V$67</f>
        <v>0.86387434554973819</v>
      </c>
      <c r="E68" s="193">
        <f>E67/$V$67</f>
        <v>0.69109947643979053</v>
      </c>
      <c r="F68" s="193">
        <f>F67/$V$67</f>
        <v>3.6649214659685861E-2</v>
      </c>
      <c r="G68" s="193">
        <f>G67/$V$67</f>
        <v>1.0471204188481676E-2</v>
      </c>
      <c r="H68" s="193">
        <f>H67/$V$67</f>
        <v>5.235602094240838E-3</v>
      </c>
      <c r="I68" s="190"/>
      <c r="K68" s="192" t="s">
        <v>31</v>
      </c>
      <c r="L68" s="193">
        <f>L67/$V$67</f>
        <v>0.63350785340314131</v>
      </c>
      <c r="M68" s="193">
        <f>M67/$V$67</f>
        <v>0.4293193717277487</v>
      </c>
      <c r="N68" s="193">
        <f>N67/$V$67</f>
        <v>0.16753926701570682</v>
      </c>
      <c r="O68" s="193">
        <f>O67/$V$67</f>
        <v>3.9267015706806283E-2</v>
      </c>
      <c r="P68" s="190"/>
      <c r="R68" s="192" t="s">
        <v>31</v>
      </c>
      <c r="S68" s="193">
        <f>S67/$V$55</f>
        <v>0</v>
      </c>
      <c r="U68" s="192"/>
      <c r="V68" s="191"/>
      <c r="W68" s="159"/>
      <c r="X68" s="159"/>
      <c r="Y68" s="159"/>
      <c r="Z68" s="159"/>
      <c r="AA68" s="159"/>
    </row>
    <row r="69" spans="1:27" x14ac:dyDescent="0.3">
      <c r="B69" s="192" t="s">
        <v>32</v>
      </c>
      <c r="C69" s="192">
        <f t="shared" si="1"/>
        <v>0</v>
      </c>
      <c r="D69" s="193">
        <f>(-LOG(D68)/D$54)</f>
        <v>6.3549423033821273E-3</v>
      </c>
      <c r="E69" s="193">
        <f>(-LOG(E68)/E$54)</f>
        <v>8.0229718020938846E-3</v>
      </c>
      <c r="F69" s="193">
        <f>(-LOG(F68)/F$54)</f>
        <v>4.7864510907782355E-2</v>
      </c>
      <c r="G69" s="193">
        <f>(-LOG(G68)/G$54)</f>
        <v>4.9500084289593661E-2</v>
      </c>
      <c r="H69" s="193">
        <f>(-LOG(H68)/H$54)</f>
        <v>4.5620667344954555E-2</v>
      </c>
      <c r="I69" s="194">
        <f>MAX(D69:H69)</f>
        <v>4.9500084289593661E-2</v>
      </c>
      <c r="K69" s="192" t="s">
        <v>32</v>
      </c>
      <c r="L69" s="193">
        <f>(-LOG(L68)/L$54)</f>
        <v>1.9824799693127747E-2</v>
      </c>
      <c r="M69" s="193">
        <f>(-LOG(M68)/M$54)</f>
        <v>1.4688780594560434E-2</v>
      </c>
      <c r="N69" s="193">
        <f>(-LOG(N68)/N$54)</f>
        <v>2.5862779630927382E-2</v>
      </c>
      <c r="O69" s="193">
        <f>(-LOG(O68)/O$54)</f>
        <v>3.5149302596400686E-2</v>
      </c>
      <c r="P69" s="194">
        <f>MAX(K69:O69)</f>
        <v>3.5149302596400686E-2</v>
      </c>
      <c r="R69" s="192" t="s">
        <v>32</v>
      </c>
      <c r="S69" s="193" t="e">
        <f>(-LOG(S68)/$S$54)</f>
        <v>#NUM!</v>
      </c>
      <c r="U69" s="192"/>
      <c r="V69" s="191"/>
      <c r="W69" s="159"/>
      <c r="X69" s="159"/>
      <c r="Y69" s="159"/>
      <c r="Z69" s="159"/>
      <c r="AA69" s="159"/>
    </row>
    <row r="70" spans="1:27" x14ac:dyDescent="0.3">
      <c r="B70" s="192">
        <v>100</v>
      </c>
      <c r="C70" s="192">
        <f t="shared" si="1"/>
        <v>99</v>
      </c>
      <c r="D70" s="191">
        <f>86</f>
        <v>86</v>
      </c>
      <c r="E70" s="191">
        <v>69</v>
      </c>
      <c r="F70" s="191">
        <v>4</v>
      </c>
      <c r="G70" s="191">
        <v>1</v>
      </c>
      <c r="H70" s="191">
        <v>1</v>
      </c>
      <c r="I70" s="190"/>
      <c r="K70" s="192">
        <v>100</v>
      </c>
      <c r="L70" s="191">
        <v>63</v>
      </c>
      <c r="M70" s="191">
        <v>43</v>
      </c>
      <c r="N70" s="191">
        <v>1</v>
      </c>
      <c r="O70" s="191">
        <v>4</v>
      </c>
      <c r="P70" s="190"/>
      <c r="R70" s="192">
        <v>100</v>
      </c>
      <c r="S70" s="191"/>
      <c r="U70" s="192">
        <v>100</v>
      </c>
      <c r="V70" s="191">
        <v>99</v>
      </c>
      <c r="W70" s="159"/>
      <c r="X70" s="159"/>
      <c r="Y70" s="159"/>
      <c r="Z70" s="159"/>
      <c r="AA70" s="159"/>
    </row>
    <row r="71" spans="1:27" x14ac:dyDescent="0.3">
      <c r="B71" s="192" t="s">
        <v>31</v>
      </c>
      <c r="C71" s="192">
        <f t="shared" si="1"/>
        <v>0</v>
      </c>
      <c r="D71" s="193">
        <f>D70/$V$70</f>
        <v>0.86868686868686873</v>
      </c>
      <c r="E71" s="193">
        <f>E70/$V$70</f>
        <v>0.69696969696969702</v>
      </c>
      <c r="F71" s="193">
        <f>F70/$V$70</f>
        <v>4.0404040404040407E-2</v>
      </c>
      <c r="G71" s="193">
        <f>G70/$V$70</f>
        <v>1.0101010101010102E-2</v>
      </c>
      <c r="H71" s="193">
        <f>H70/$V$70</f>
        <v>1.0101010101010102E-2</v>
      </c>
      <c r="I71" s="190"/>
      <c r="K71" s="192" t="s">
        <v>31</v>
      </c>
      <c r="L71" s="193">
        <f>L70/$V$70</f>
        <v>0.63636363636363635</v>
      </c>
      <c r="M71" s="193">
        <f>M70/$V$70</f>
        <v>0.43434343434343436</v>
      </c>
      <c r="N71" s="193">
        <f>N70/$V$70</f>
        <v>1.0101010101010102E-2</v>
      </c>
      <c r="O71" s="193">
        <f>O70/$V$70</f>
        <v>4.0404040404040407E-2</v>
      </c>
      <c r="P71" s="193"/>
      <c r="R71" s="192" t="s">
        <v>31</v>
      </c>
      <c r="S71" s="193">
        <f>S70/$V$55</f>
        <v>0</v>
      </c>
    </row>
    <row r="72" spans="1:27" x14ac:dyDescent="0.3">
      <c r="B72" s="192" t="s">
        <v>32</v>
      </c>
      <c r="C72" s="192">
        <f t="shared" si="1"/>
        <v>0</v>
      </c>
      <c r="D72" s="193">
        <f>(-LOG(D71)/D$54)</f>
        <v>6.1136743353982174E-3</v>
      </c>
      <c r="E72" s="193">
        <f>(-LOG(E71)/E$54)</f>
        <v>7.8393051930147287E-3</v>
      </c>
      <c r="F72" s="193">
        <f>(-LOG(F71)/F$54)</f>
        <v>4.6452506775652914E-2</v>
      </c>
      <c r="G72" s="193">
        <f>(-LOG(G71)/G$54)</f>
        <v>4.9890879864938745E-2</v>
      </c>
      <c r="H72" s="193">
        <f>(-LOG(H71)/H$54)</f>
        <v>3.9912703891951E-2</v>
      </c>
      <c r="I72" s="194">
        <f>MAX(D72:H72)</f>
        <v>4.9890879864938745E-2</v>
      </c>
      <c r="K72" s="192" t="s">
        <v>32</v>
      </c>
      <c r="L72" s="193">
        <f>(-LOG(L71)/L$54)</f>
        <v>1.9629464514396823E-2</v>
      </c>
      <c r="M72" s="193">
        <f>(-LOG(M71)/M$54)</f>
        <v>1.4486669560718535E-2</v>
      </c>
      <c r="N72" s="193">
        <f>(-LOG(N71)/N$54)</f>
        <v>6.6521173153251664E-2</v>
      </c>
      <c r="O72" s="193">
        <f>(-LOG(O71)/O$54)</f>
        <v>3.4839380081739688E-2</v>
      </c>
      <c r="P72" s="194">
        <f>MAX(K72:O72)</f>
        <v>6.6521173153251664E-2</v>
      </c>
      <c r="R72" s="192" t="s">
        <v>32</v>
      </c>
      <c r="S72" s="193" t="e">
        <f>(-LOG(S71)/$S$54)</f>
        <v>#NUM!</v>
      </c>
    </row>
    <row r="75" spans="1:27" ht="18" x14ac:dyDescent="0.4">
      <c r="A75" s="1" t="s">
        <v>45</v>
      </c>
    </row>
    <row r="76" spans="1:27" x14ac:dyDescent="0.3">
      <c r="C76" s="151"/>
      <c r="D76" s="152" t="s">
        <v>33</v>
      </c>
      <c r="E76" s="152"/>
      <c r="F76" s="152"/>
      <c r="G76" s="152"/>
      <c r="H76" s="152"/>
      <c r="I76" s="151"/>
      <c r="K76" s="178"/>
      <c r="L76" s="179" t="s">
        <v>34</v>
      </c>
      <c r="M76" s="179"/>
      <c r="N76" s="179"/>
      <c r="O76" s="179"/>
      <c r="P76" s="179"/>
      <c r="R76" s="190"/>
      <c r="S76" s="189" t="s">
        <v>35</v>
      </c>
      <c r="T76" s="189"/>
      <c r="U76" s="189"/>
      <c r="V76" s="189"/>
      <c r="W76" s="190"/>
    </row>
    <row r="77" spans="1:27" x14ac:dyDescent="0.3">
      <c r="C77" s="151" t="s">
        <v>36</v>
      </c>
      <c r="D77" s="155">
        <v>1000</v>
      </c>
      <c r="E77" s="155">
        <v>800</v>
      </c>
      <c r="F77" s="155">
        <v>600</v>
      </c>
      <c r="G77" s="155">
        <v>400</v>
      </c>
      <c r="H77" s="155">
        <v>200</v>
      </c>
      <c r="I77" s="155">
        <v>100</v>
      </c>
      <c r="K77" s="178" t="s">
        <v>36</v>
      </c>
      <c r="L77" s="181">
        <v>1000</v>
      </c>
      <c r="M77" s="181">
        <v>800</v>
      </c>
      <c r="N77" s="181">
        <v>600</v>
      </c>
      <c r="O77" s="181">
        <v>400</v>
      </c>
      <c r="P77" s="181">
        <v>200</v>
      </c>
      <c r="R77" s="190" t="s">
        <v>36</v>
      </c>
      <c r="S77" s="191">
        <v>1000</v>
      </c>
      <c r="T77" s="191">
        <v>800</v>
      </c>
      <c r="U77" s="191">
        <v>400</v>
      </c>
      <c r="V77" s="191">
        <v>200</v>
      </c>
      <c r="W77" s="191">
        <v>100</v>
      </c>
    </row>
    <row r="78" spans="1:27" x14ac:dyDescent="0.3">
      <c r="C78" s="151">
        <v>0</v>
      </c>
      <c r="D78" s="160">
        <f>10^-($I$11*C78)</f>
        <v>1</v>
      </c>
      <c r="E78" s="160">
        <f>10^-($I$14*$C78)</f>
        <v>1</v>
      </c>
      <c r="F78" s="160">
        <f t="shared" ref="F78:F110" si="2">10^-($I$17*$C78)</f>
        <v>1</v>
      </c>
      <c r="G78" s="160">
        <f t="shared" ref="G78:G110" si="3">10^-($I$20*$C78)</f>
        <v>1</v>
      </c>
      <c r="H78" s="160">
        <f t="shared" ref="H78:H110" si="4">10^-($I$23*$C78)</f>
        <v>1</v>
      </c>
      <c r="I78" s="160">
        <f t="shared" ref="I78:I110" si="5">10^-($I$26*$C78)</f>
        <v>1</v>
      </c>
      <c r="K78" s="178">
        <v>0</v>
      </c>
      <c r="L78" s="183">
        <f>10^-($I$34*K78)</f>
        <v>1</v>
      </c>
      <c r="M78" s="183">
        <f>10^-($I$37*$C78)</f>
        <v>1</v>
      </c>
      <c r="N78" s="183">
        <f>10^-($I$40*$C78)</f>
        <v>1</v>
      </c>
      <c r="O78" s="183">
        <f>10^-($I$43*$C78)</f>
        <v>1</v>
      </c>
      <c r="P78" s="183">
        <f>10^-($I$46*$C78)</f>
        <v>1</v>
      </c>
      <c r="R78" s="190">
        <v>0</v>
      </c>
      <c r="S78" s="193">
        <f>10^-($I$57*R78)</f>
        <v>1</v>
      </c>
      <c r="T78" s="193">
        <f t="shared" ref="T78:T110" si="6">10^-($I$60*$C78)</f>
        <v>1</v>
      </c>
      <c r="U78" s="193">
        <f t="shared" ref="U78:U110" si="7">10^-($I$66*$C78)</f>
        <v>1</v>
      </c>
      <c r="V78" s="193">
        <f t="shared" ref="V78:V110" si="8">10^-($I$69*$C78)</f>
        <v>1</v>
      </c>
      <c r="W78" s="193">
        <f t="shared" ref="W78:W110" si="9">10^-($I$72*$C78)</f>
        <v>1</v>
      </c>
    </row>
    <row r="79" spans="1:27" x14ac:dyDescent="0.3">
      <c r="C79" s="151">
        <v>2.5</v>
      </c>
      <c r="D79" s="160">
        <f>10^-($I$11*C79)</f>
        <v>0.83906210860238317</v>
      </c>
      <c r="E79" s="160">
        <f t="shared" ref="E79:E110" si="10">10^-($I$14*$C79)</f>
        <v>0.8377948256416976</v>
      </c>
      <c r="F79" s="160">
        <f t="shared" si="2"/>
        <v>0.83661731018572028</v>
      </c>
      <c r="G79" s="160">
        <f t="shared" si="3"/>
        <v>0.83572726602070069</v>
      </c>
      <c r="H79" s="160">
        <f t="shared" si="4"/>
        <v>0.83481436548461696</v>
      </c>
      <c r="I79" s="160">
        <f t="shared" si="5"/>
        <v>0.84089641525371461</v>
      </c>
      <c r="K79" s="178">
        <v>2.5</v>
      </c>
      <c r="L79" s="183">
        <f t="shared" ref="L79:L110" si="11">10^-($I$11*K79)</f>
        <v>0.83906210860238317</v>
      </c>
      <c r="M79" s="183">
        <f t="shared" ref="M79:M110" si="12">10^-($I$11*$C79)</f>
        <v>0.83906210860238317</v>
      </c>
      <c r="N79" s="183">
        <f t="shared" ref="N79:N110" si="13">10^-($I$17*$C79)</f>
        <v>0.83661731018572028</v>
      </c>
      <c r="O79" s="183">
        <f t="shared" ref="O79:O110" si="14">10^-($I$20*$C79)</f>
        <v>0.83572726602070069</v>
      </c>
      <c r="P79" s="183">
        <f t="shared" ref="P79:P110" si="15">10^-($I$23*$C79)</f>
        <v>0.83481436548461696</v>
      </c>
      <c r="R79" s="190">
        <v>2.5</v>
      </c>
      <c r="S79" s="193">
        <f t="shared" ref="S79:S110" si="16">10^-($I$57*R79)</f>
        <v>0.73017546126740551</v>
      </c>
      <c r="T79" s="193">
        <f t="shared" si="6"/>
        <v>0.718781981953171</v>
      </c>
      <c r="U79" s="193">
        <f t="shared" si="7"/>
        <v>0.73950842165874653</v>
      </c>
      <c r="V79" s="193">
        <f t="shared" si="8"/>
        <v>0.75205532258727936</v>
      </c>
      <c r="W79" s="193">
        <f t="shared" si="9"/>
        <v>0.75036540034648513</v>
      </c>
    </row>
    <row r="80" spans="1:27" x14ac:dyDescent="0.3">
      <c r="C80" s="151">
        <v>5</v>
      </c>
      <c r="D80" s="160">
        <f t="shared" ref="D80:D110" si="17">10^-($I$11*C80)</f>
        <v>0.70402522209227758</v>
      </c>
      <c r="E80" s="160">
        <f t="shared" si="10"/>
        <v>0.70190016987200243</v>
      </c>
      <c r="F80" s="160">
        <f t="shared" si="2"/>
        <v>0.69992852370238967</v>
      </c>
      <c r="G80" s="160">
        <f t="shared" si="3"/>
        <v>0.69844006317043494</v>
      </c>
      <c r="H80" s="160">
        <f t="shared" si="4"/>
        <v>0.69691502481948353</v>
      </c>
      <c r="I80" s="160">
        <f t="shared" si="5"/>
        <v>0.70710678118654746</v>
      </c>
      <c r="K80" s="178">
        <v>5</v>
      </c>
      <c r="L80" s="183">
        <f t="shared" si="11"/>
        <v>0.70402522209227758</v>
      </c>
      <c r="M80" s="183">
        <f t="shared" si="12"/>
        <v>0.70402522209227758</v>
      </c>
      <c r="N80" s="183">
        <f t="shared" si="13"/>
        <v>0.69992852370238967</v>
      </c>
      <c r="O80" s="183">
        <f t="shared" si="14"/>
        <v>0.69844006317043494</v>
      </c>
      <c r="P80" s="183">
        <f t="shared" si="15"/>
        <v>0.69691502481948353</v>
      </c>
      <c r="R80" s="190">
        <v>5</v>
      </c>
      <c r="S80" s="193">
        <f t="shared" si="16"/>
        <v>0.53315620423706844</v>
      </c>
      <c r="T80" s="193">
        <f t="shared" si="6"/>
        <v>0.51664753758052873</v>
      </c>
      <c r="U80" s="193">
        <f t="shared" si="7"/>
        <v>0.54687270570421054</v>
      </c>
      <c r="V80" s="193">
        <f t="shared" si="8"/>
        <v>0.56558720823185682</v>
      </c>
      <c r="W80" s="193">
        <f t="shared" si="9"/>
        <v>0.56304823403714099</v>
      </c>
    </row>
    <row r="81" spans="3:23" x14ac:dyDescent="0.3">
      <c r="C81" s="151">
        <v>7.5</v>
      </c>
      <c r="D81" s="160">
        <f t="shared" si="17"/>
        <v>0.59072088735800754</v>
      </c>
      <c r="E81" s="160">
        <f t="shared" si="10"/>
        <v>0.5880483304357923</v>
      </c>
      <c r="F81" s="160">
        <f t="shared" si="2"/>
        <v>0.58557231882215532</v>
      </c>
      <c r="G81" s="160">
        <f t="shared" si="3"/>
        <v>0.5837054044727531</v>
      </c>
      <c r="H81" s="160">
        <f t="shared" si="4"/>
        <v>0.5817946742413731</v>
      </c>
      <c r="I81" s="160">
        <f t="shared" si="5"/>
        <v>0.59460355750136051</v>
      </c>
      <c r="K81" s="178">
        <v>7.5</v>
      </c>
      <c r="L81" s="183">
        <f t="shared" si="11"/>
        <v>0.59072088735800754</v>
      </c>
      <c r="M81" s="183">
        <f t="shared" si="12"/>
        <v>0.59072088735800754</v>
      </c>
      <c r="N81" s="183">
        <f t="shared" si="13"/>
        <v>0.58557231882215532</v>
      </c>
      <c r="O81" s="183">
        <f t="shared" si="14"/>
        <v>0.5837054044727531</v>
      </c>
      <c r="P81" s="183">
        <f t="shared" si="15"/>
        <v>0.5817946742413731</v>
      </c>
      <c r="R81" s="190">
        <v>7.5</v>
      </c>
      <c r="S81" s="193">
        <f t="shared" si="16"/>
        <v>0.3892975773563806</v>
      </c>
      <c r="T81" s="193">
        <f t="shared" si="6"/>
        <v>0.37135694103335792</v>
      </c>
      <c r="U81" s="193">
        <f t="shared" si="7"/>
        <v>0.40441697144356897</v>
      </c>
      <c r="V81" s="193">
        <f t="shared" si="8"/>
        <v>0.42535287033804781</v>
      </c>
      <c r="W81" s="193">
        <f t="shared" si="9"/>
        <v>0.42249191354766075</v>
      </c>
    </row>
    <row r="82" spans="3:23" x14ac:dyDescent="0.3">
      <c r="C82" s="151">
        <v>10</v>
      </c>
      <c r="D82" s="160">
        <f t="shared" si="17"/>
        <v>0.49565151334208074</v>
      </c>
      <c r="E82" s="160">
        <f t="shared" si="10"/>
        <v>0.49266384846634598</v>
      </c>
      <c r="F82" s="160">
        <f t="shared" si="2"/>
        <v>0.48989993829220657</v>
      </c>
      <c r="G82" s="160">
        <f t="shared" si="3"/>
        <v>0.4878185218415213</v>
      </c>
      <c r="H82" s="160">
        <f t="shared" si="4"/>
        <v>0.48569055181914134</v>
      </c>
      <c r="I82" s="160">
        <f t="shared" si="5"/>
        <v>0.5</v>
      </c>
      <c r="K82" s="178">
        <v>10</v>
      </c>
      <c r="L82" s="183">
        <f t="shared" si="11"/>
        <v>0.49565151334208074</v>
      </c>
      <c r="M82" s="183">
        <f t="shared" si="12"/>
        <v>0.49565151334208074</v>
      </c>
      <c r="N82" s="183">
        <f t="shared" si="13"/>
        <v>0.48989993829220657</v>
      </c>
      <c r="O82" s="183">
        <f t="shared" si="14"/>
        <v>0.4878185218415213</v>
      </c>
      <c r="P82" s="183">
        <f t="shared" si="15"/>
        <v>0.48569055181914134</v>
      </c>
      <c r="R82" s="190">
        <v>10</v>
      </c>
      <c r="S82" s="193">
        <f t="shared" si="16"/>
        <v>0.28425553811647869</v>
      </c>
      <c r="T82" s="193">
        <f t="shared" si="6"/>
        <v>0.26692467808802384</v>
      </c>
      <c r="U82" s="193">
        <f t="shared" si="7"/>
        <v>0.29906975624424409</v>
      </c>
      <c r="V82" s="193">
        <f t="shared" si="8"/>
        <v>0.31988889011550575</v>
      </c>
      <c r="W82" s="193">
        <f t="shared" si="9"/>
        <v>0.31702331385234306</v>
      </c>
    </row>
    <row r="83" spans="3:23" x14ac:dyDescent="0.3">
      <c r="C83" s="151">
        <v>12.5</v>
      </c>
      <c r="D83" s="160">
        <f t="shared" si="17"/>
        <v>0.41588240391676856</v>
      </c>
      <c r="E83" s="160">
        <f t="shared" si="10"/>
        <v>0.41275122302583001</v>
      </c>
      <c r="F83" s="160">
        <f t="shared" si="2"/>
        <v>0.40985876863417614</v>
      </c>
      <c r="G83" s="160">
        <f t="shared" si="3"/>
        <v>0.40768323957287395</v>
      </c>
      <c r="H83" s="160">
        <f t="shared" si="4"/>
        <v>0.40546144983876981</v>
      </c>
      <c r="I83" s="160">
        <f t="shared" si="5"/>
        <v>0.4204482076268572</v>
      </c>
      <c r="K83" s="178">
        <v>12.5</v>
      </c>
      <c r="L83" s="183">
        <f t="shared" si="11"/>
        <v>0.41588240391676856</v>
      </c>
      <c r="M83" s="183">
        <f t="shared" si="12"/>
        <v>0.41588240391676856</v>
      </c>
      <c r="N83" s="183">
        <f t="shared" si="13"/>
        <v>0.40985876863417614</v>
      </c>
      <c r="O83" s="183">
        <f t="shared" si="14"/>
        <v>0.40768323957287395</v>
      </c>
      <c r="P83" s="183">
        <f t="shared" si="15"/>
        <v>0.40546144983876981</v>
      </c>
      <c r="R83" s="190">
        <v>12.5</v>
      </c>
      <c r="S83" s="193">
        <f t="shared" si="16"/>
        <v>0.20755641866201449</v>
      </c>
      <c r="T83" s="193">
        <f t="shared" si="6"/>
        <v>0.19186064914832202</v>
      </c>
      <c r="U83" s="193">
        <f t="shared" si="7"/>
        <v>0.22116460340604702</v>
      </c>
      <c r="V83" s="193">
        <f t="shared" si="8"/>
        <v>0.24057414244790348</v>
      </c>
      <c r="W83" s="193">
        <f t="shared" si="9"/>
        <v>0.2378833258179828</v>
      </c>
    </row>
    <row r="84" spans="3:23" x14ac:dyDescent="0.3">
      <c r="C84" s="151">
        <v>15</v>
      </c>
      <c r="D84" s="160">
        <f t="shared" si="17"/>
        <v>0.34895116676103188</v>
      </c>
      <c r="E84" s="160">
        <f t="shared" si="10"/>
        <v>0.3458008389283227</v>
      </c>
      <c r="F84" s="160">
        <f t="shared" si="2"/>
        <v>0.34289494057075592</v>
      </c>
      <c r="G84" s="160">
        <f t="shared" si="3"/>
        <v>0.34071199921070028</v>
      </c>
      <c r="H84" s="160">
        <f t="shared" si="4"/>
        <v>0.33848504297562543</v>
      </c>
      <c r="I84" s="160">
        <f t="shared" si="5"/>
        <v>0.35355339059327373</v>
      </c>
      <c r="K84" s="178">
        <v>15</v>
      </c>
      <c r="L84" s="183">
        <f t="shared" si="11"/>
        <v>0.34895116676103188</v>
      </c>
      <c r="M84" s="183">
        <f t="shared" si="12"/>
        <v>0.34895116676103188</v>
      </c>
      <c r="N84" s="183">
        <f t="shared" si="13"/>
        <v>0.34289494057075592</v>
      </c>
      <c r="O84" s="183">
        <f t="shared" si="14"/>
        <v>0.34071199921070028</v>
      </c>
      <c r="P84" s="183">
        <f t="shared" si="15"/>
        <v>0.33848504297562543</v>
      </c>
      <c r="R84" s="190">
        <v>15</v>
      </c>
      <c r="S84" s="193">
        <f t="shared" si="16"/>
        <v>0.15155260373554713</v>
      </c>
      <c r="T84" s="193">
        <f t="shared" si="6"/>
        <v>0.13790597765365287</v>
      </c>
      <c r="U84" s="193">
        <f t="shared" si="7"/>
        <v>0.1635530867915885</v>
      </c>
      <c r="V84" s="193">
        <f t="shared" si="8"/>
        <v>0.18092506430481611</v>
      </c>
      <c r="W84" s="193">
        <f t="shared" si="9"/>
        <v>0.17849941701316402</v>
      </c>
    </row>
    <row r="85" spans="3:23" x14ac:dyDescent="0.3">
      <c r="C85" s="151">
        <v>17.5</v>
      </c>
      <c r="D85" s="160">
        <f t="shared" si="17"/>
        <v>0.29279170178177327</v>
      </c>
      <c r="E85" s="160">
        <f t="shared" si="10"/>
        <v>0.28971015355670687</v>
      </c>
      <c r="F85" s="160">
        <f t="shared" si="2"/>
        <v>0.28687184285659822</v>
      </c>
      <c r="G85" s="160">
        <f t="shared" si="3"/>
        <v>0.28474230760080566</v>
      </c>
      <c r="H85" s="160">
        <f t="shared" si="4"/>
        <v>0.28257217637773008</v>
      </c>
      <c r="I85" s="160">
        <f t="shared" si="5"/>
        <v>0.2973017787506802</v>
      </c>
      <c r="K85" s="178">
        <v>17.5</v>
      </c>
      <c r="L85" s="183">
        <f t="shared" si="11"/>
        <v>0.29279170178177327</v>
      </c>
      <c r="M85" s="183">
        <f t="shared" si="12"/>
        <v>0.29279170178177327</v>
      </c>
      <c r="N85" s="183">
        <f t="shared" si="13"/>
        <v>0.28687184285659822</v>
      </c>
      <c r="O85" s="183">
        <f t="shared" si="14"/>
        <v>0.28474230760080566</v>
      </c>
      <c r="P85" s="183">
        <f t="shared" si="15"/>
        <v>0.28257217637773008</v>
      </c>
      <c r="R85" s="190">
        <v>17.5</v>
      </c>
      <c r="S85" s="193">
        <f t="shared" si="16"/>
        <v>0.11065999233887949</v>
      </c>
      <c r="T85" s="193">
        <f t="shared" si="6"/>
        <v>9.9124331941082333E-2</v>
      </c>
      <c r="U85" s="193">
        <f t="shared" si="7"/>
        <v>0.12094888507066359</v>
      </c>
      <c r="V85" s="193">
        <f t="shared" si="8"/>
        <v>0.13606565759988279</v>
      </c>
      <c r="W85" s="193">
        <f t="shared" si="9"/>
        <v>0.13393978650869703</v>
      </c>
    </row>
    <row r="86" spans="3:23" x14ac:dyDescent="0.3">
      <c r="C86" s="151">
        <v>20</v>
      </c>
      <c r="D86" s="160">
        <f t="shared" si="17"/>
        <v>0.24567042267829484</v>
      </c>
      <c r="E86" s="160">
        <f t="shared" si="10"/>
        <v>0.24271766758567076</v>
      </c>
      <c r="F86" s="160">
        <f t="shared" si="2"/>
        <v>0.24000194953870782</v>
      </c>
      <c r="G86" s="160">
        <f t="shared" si="3"/>
        <v>0.23796691025164673</v>
      </c>
      <c r="H86" s="160">
        <f t="shared" si="4"/>
        <v>0.23589531212638198</v>
      </c>
      <c r="I86" s="160">
        <f t="shared" si="5"/>
        <v>0.24999999999999994</v>
      </c>
      <c r="K86" s="178">
        <v>20</v>
      </c>
      <c r="L86" s="183">
        <f t="shared" si="11"/>
        <v>0.24567042267829484</v>
      </c>
      <c r="M86" s="183">
        <f t="shared" si="12"/>
        <v>0.24567042267829484</v>
      </c>
      <c r="N86" s="183">
        <f t="shared" si="13"/>
        <v>0.24000194953870782</v>
      </c>
      <c r="O86" s="183">
        <f t="shared" si="14"/>
        <v>0.23796691025164673</v>
      </c>
      <c r="P86" s="183">
        <f t="shared" si="15"/>
        <v>0.23589531212638198</v>
      </c>
      <c r="R86" s="190">
        <v>20</v>
      </c>
      <c r="S86" s="193">
        <f t="shared" si="16"/>
        <v>8.0801210949888874E-2</v>
      </c>
      <c r="T86" s="193">
        <f t="shared" si="6"/>
        <v>7.1248783772395172E-2</v>
      </c>
      <c r="U86" s="193">
        <f t="shared" si="7"/>
        <v>8.9442719099991574E-2</v>
      </c>
      <c r="V86" s="193">
        <f t="shared" si="8"/>
        <v>0.10232890201933013</v>
      </c>
      <c r="W86" s="193">
        <f t="shared" si="9"/>
        <v>0.10050378152592121</v>
      </c>
    </row>
    <row r="87" spans="3:23" x14ac:dyDescent="0.3">
      <c r="C87" s="151">
        <v>22.5</v>
      </c>
      <c r="D87" s="160">
        <f t="shared" si="17"/>
        <v>0.20613274287368885</v>
      </c>
      <c r="E87" s="160">
        <f t="shared" si="10"/>
        <v>0.20334760599509649</v>
      </c>
      <c r="F87" s="160">
        <f t="shared" si="2"/>
        <v>0.20078978546240264</v>
      </c>
      <c r="G87" s="160">
        <f t="shared" si="3"/>
        <v>0.19887543530800214</v>
      </c>
      <c r="H87" s="160">
        <f t="shared" si="4"/>
        <v>0.19692879531358115</v>
      </c>
      <c r="I87" s="160">
        <f t="shared" si="5"/>
        <v>0.2102241038134286</v>
      </c>
      <c r="K87" s="178">
        <v>22.5</v>
      </c>
      <c r="L87" s="183">
        <f t="shared" si="11"/>
        <v>0.20613274287368885</v>
      </c>
      <c r="M87" s="183">
        <f t="shared" si="12"/>
        <v>0.20613274287368885</v>
      </c>
      <c r="N87" s="183">
        <f t="shared" si="13"/>
        <v>0.20078978546240264</v>
      </c>
      <c r="O87" s="183">
        <f t="shared" si="14"/>
        <v>0.19887543530800214</v>
      </c>
      <c r="P87" s="183">
        <f t="shared" si="15"/>
        <v>0.19692879531358115</v>
      </c>
      <c r="R87" s="190">
        <v>22.5</v>
      </c>
      <c r="S87" s="193">
        <f t="shared" si="16"/>
        <v>5.8999061476300067E-2</v>
      </c>
      <c r="T87" s="193">
        <f t="shared" si="6"/>
        <v>5.1212342011675162E-2</v>
      </c>
      <c r="U87" s="193">
        <f t="shared" si="7"/>
        <v>6.6143644030501422E-2</v>
      </c>
      <c r="V87" s="193">
        <f t="shared" si="8"/>
        <v>7.6956995418149418E-2</v>
      </c>
      <c r="W87" s="193">
        <f t="shared" si="9"/>
        <v>7.5414560261033534E-2</v>
      </c>
    </row>
    <row r="88" spans="3:23" x14ac:dyDescent="0.3">
      <c r="C88" s="151">
        <v>25</v>
      </c>
      <c r="D88" s="160">
        <f t="shared" si="17"/>
        <v>0.17295817388759024</v>
      </c>
      <c r="E88" s="160">
        <f t="shared" si="10"/>
        <v>0.17036357210931849</v>
      </c>
      <c r="F88" s="160">
        <f t="shared" si="2"/>
        <v>0.16798421022632315</v>
      </c>
      <c r="G88" s="160">
        <f t="shared" si="3"/>
        <v>0.16620562382863335</v>
      </c>
      <c r="H88" s="160">
        <f t="shared" si="4"/>
        <v>0.16439898730535726</v>
      </c>
      <c r="I88" s="160">
        <f t="shared" si="5"/>
        <v>0.17677669529663684</v>
      </c>
      <c r="K88" s="178">
        <v>25</v>
      </c>
      <c r="L88" s="183">
        <f t="shared" si="11"/>
        <v>0.17295817388759024</v>
      </c>
      <c r="M88" s="183">
        <f t="shared" si="12"/>
        <v>0.17295817388759024</v>
      </c>
      <c r="N88" s="183">
        <f t="shared" si="13"/>
        <v>0.16798421022632315</v>
      </c>
      <c r="O88" s="183">
        <f t="shared" si="14"/>
        <v>0.16620562382863335</v>
      </c>
      <c r="P88" s="183">
        <f t="shared" si="15"/>
        <v>0.16439898730535726</v>
      </c>
      <c r="R88" s="190">
        <v>25</v>
      </c>
      <c r="S88" s="193">
        <f t="shared" si="16"/>
        <v>4.3079666927801435E-2</v>
      </c>
      <c r="T88" s="193">
        <f t="shared" si="6"/>
        <v>3.6810508691615514E-2</v>
      </c>
      <c r="U88" s="193">
        <f t="shared" si="7"/>
        <v>4.8913781799754072E-2</v>
      </c>
      <c r="V88" s="193">
        <f t="shared" si="8"/>
        <v>5.7875918014544156E-2</v>
      </c>
      <c r="W88" s="193">
        <f t="shared" si="9"/>
        <v>5.6588476702224569E-2</v>
      </c>
    </row>
    <row r="89" spans="3:23" x14ac:dyDescent="0.3">
      <c r="C89" s="151">
        <v>27.5</v>
      </c>
      <c r="D89" s="160">
        <f t="shared" si="17"/>
        <v>0.14512265008213909</v>
      </c>
      <c r="E89" s="160">
        <f t="shared" si="10"/>
        <v>0.14272971919102326</v>
      </c>
      <c r="F89" s="160">
        <f t="shared" si="2"/>
        <v>0.14053849811321903</v>
      </c>
      <c r="G89" s="160">
        <f t="shared" si="3"/>
        <v>0.13890257159956881</v>
      </c>
      <c r="H89" s="160">
        <f t="shared" si="4"/>
        <v>0.13724263627363542</v>
      </c>
      <c r="I89" s="160">
        <f t="shared" si="5"/>
        <v>0.1486508893753401</v>
      </c>
      <c r="K89" s="178">
        <v>27.5</v>
      </c>
      <c r="L89" s="183">
        <f t="shared" si="11"/>
        <v>0.14512265008213909</v>
      </c>
      <c r="M89" s="183">
        <f t="shared" si="12"/>
        <v>0.14512265008213909</v>
      </c>
      <c r="N89" s="183">
        <f t="shared" si="13"/>
        <v>0.14053849811321903</v>
      </c>
      <c r="O89" s="183">
        <f t="shared" si="14"/>
        <v>0.13890257159956881</v>
      </c>
      <c r="P89" s="183">
        <f t="shared" si="15"/>
        <v>0.13724263627363542</v>
      </c>
      <c r="R89" s="190">
        <v>27.5</v>
      </c>
      <c r="S89" s="193">
        <f t="shared" si="16"/>
        <v>3.1455715670253591E-2</v>
      </c>
      <c r="T89" s="193">
        <f t="shared" si="6"/>
        <v>2.6458730394063837E-2</v>
      </c>
      <c r="U89" s="193">
        <f t="shared" si="7"/>
        <v>3.6172153576096461E-2</v>
      </c>
      <c r="V89" s="193">
        <f t="shared" si="8"/>
        <v>4.3525892192462952E-2</v>
      </c>
      <c r="W89" s="193">
        <f t="shared" si="9"/>
        <v>4.2462034975662477E-2</v>
      </c>
    </row>
    <row r="90" spans="3:23" x14ac:dyDescent="0.3">
      <c r="C90" s="151">
        <v>30</v>
      </c>
      <c r="D90" s="160">
        <f t="shared" si="17"/>
        <v>0.12176691678388547</v>
      </c>
      <c r="E90" s="160">
        <f t="shared" si="10"/>
        <v>0.11957822020353179</v>
      </c>
      <c r="F90" s="160">
        <f t="shared" si="2"/>
        <v>0.11757694026902223</v>
      </c>
      <c r="G90" s="160">
        <f t="shared" si="3"/>
        <v>0.11608466640615221</v>
      </c>
      <c r="H90" s="160">
        <f t="shared" si="4"/>
        <v>0.114572124318211</v>
      </c>
      <c r="I90" s="160">
        <f t="shared" si="5"/>
        <v>0.12499999999999997</v>
      </c>
      <c r="K90" s="178">
        <v>30</v>
      </c>
      <c r="L90" s="183">
        <f t="shared" si="11"/>
        <v>0.12176691678388547</v>
      </c>
      <c r="M90" s="183">
        <f t="shared" si="12"/>
        <v>0.12176691678388547</v>
      </c>
      <c r="N90" s="183">
        <f t="shared" si="13"/>
        <v>0.11757694026902223</v>
      </c>
      <c r="O90" s="183">
        <f t="shared" si="14"/>
        <v>0.11608466640615221</v>
      </c>
      <c r="P90" s="183">
        <f t="shared" si="15"/>
        <v>0.114572124318211</v>
      </c>
      <c r="R90" s="190">
        <v>30</v>
      </c>
      <c r="S90" s="193">
        <f t="shared" si="16"/>
        <v>2.2968191699023779E-2</v>
      </c>
      <c r="T90" s="193">
        <f t="shared" si="6"/>
        <v>1.9018058672609806E-2</v>
      </c>
      <c r="U90" s="193">
        <f t="shared" si="7"/>
        <v>2.6749612199056881E-2</v>
      </c>
      <c r="V90" s="193">
        <f t="shared" si="8"/>
        <v>3.273387889370185E-2</v>
      </c>
      <c r="W90" s="193">
        <f t="shared" si="9"/>
        <v>3.1862041874039432E-2</v>
      </c>
    </row>
    <row r="91" spans="3:23" x14ac:dyDescent="0.3">
      <c r="C91" s="151">
        <v>32.5</v>
      </c>
      <c r="D91" s="160">
        <f t="shared" si="17"/>
        <v>0.10217000595469787</v>
      </c>
      <c r="E91" s="160">
        <f t="shared" si="10"/>
        <v>0.10018201414596248</v>
      </c>
      <c r="F91" s="160">
        <f t="shared" si="2"/>
        <v>9.836690350773647E-2</v>
      </c>
      <c r="G91" s="160">
        <f t="shared" si="3"/>
        <v>9.7015120882538664E-2</v>
      </c>
      <c r="H91" s="160">
        <f t="shared" si="4"/>
        <v>9.5646455264931984E-2</v>
      </c>
      <c r="I91" s="160">
        <f t="shared" si="5"/>
        <v>0.10511205190671428</v>
      </c>
      <c r="K91" s="178">
        <v>32.5</v>
      </c>
      <c r="L91" s="183">
        <f t="shared" si="11"/>
        <v>0.10217000595469787</v>
      </c>
      <c r="M91" s="183">
        <f t="shared" si="12"/>
        <v>0.10217000595469787</v>
      </c>
      <c r="N91" s="183">
        <f t="shared" si="13"/>
        <v>9.836690350773647E-2</v>
      </c>
      <c r="O91" s="183">
        <f t="shared" si="14"/>
        <v>9.7015120882538664E-2</v>
      </c>
      <c r="P91" s="183">
        <f t="shared" si="15"/>
        <v>9.5646455264931984E-2</v>
      </c>
      <c r="R91" s="190">
        <v>32.5</v>
      </c>
      <c r="S91" s="193">
        <f t="shared" si="16"/>
        <v>1.6770809968312896E-2</v>
      </c>
      <c r="T91" s="193">
        <f t="shared" si="6"/>
        <v>1.3669837905600174E-2</v>
      </c>
      <c r="U91" s="193">
        <f t="shared" si="7"/>
        <v>1.9781563497308103E-2</v>
      </c>
      <c r="V91" s="193">
        <f t="shared" si="8"/>
        <v>2.4617687850935883E-2</v>
      </c>
      <c r="W91" s="193">
        <f t="shared" si="9"/>
        <v>2.3908173806670079E-2</v>
      </c>
    </row>
    <row r="92" spans="3:23" x14ac:dyDescent="0.3">
      <c r="C92" s="151">
        <v>35</v>
      </c>
      <c r="D92" s="160">
        <f t="shared" si="17"/>
        <v>8.5726980632266872E-2</v>
      </c>
      <c r="E92" s="160">
        <f t="shared" si="10"/>
        <v>8.3931973073850669E-2</v>
      </c>
      <c r="F92" s="160">
        <f t="shared" si="2"/>
        <v>8.2295454223940787E-2</v>
      </c>
      <c r="G92" s="160">
        <f t="shared" si="3"/>
        <v>8.1078181737831823E-2</v>
      </c>
      <c r="H92" s="160">
        <f t="shared" si="4"/>
        <v>7.9847034862846999E-2</v>
      </c>
      <c r="I92" s="160">
        <f t="shared" si="5"/>
        <v>8.8388347648318405E-2</v>
      </c>
      <c r="K92" s="178">
        <v>35</v>
      </c>
      <c r="L92" s="183">
        <f t="shared" si="11"/>
        <v>8.5726980632266872E-2</v>
      </c>
      <c r="M92" s="183">
        <f t="shared" si="12"/>
        <v>8.5726980632266872E-2</v>
      </c>
      <c r="N92" s="183">
        <f t="shared" si="13"/>
        <v>8.2295454223940787E-2</v>
      </c>
      <c r="O92" s="183">
        <f t="shared" si="14"/>
        <v>8.1078181737831823E-2</v>
      </c>
      <c r="P92" s="183">
        <f t="shared" si="15"/>
        <v>7.9847034862846999E-2</v>
      </c>
      <c r="R92" s="190">
        <v>35</v>
      </c>
      <c r="S92" s="193">
        <f t="shared" si="16"/>
        <v>1.2245633904440863E-2</v>
      </c>
      <c r="T92" s="193">
        <f t="shared" si="6"/>
        <v>9.8256331827658756E-3</v>
      </c>
      <c r="U92" s="193">
        <f t="shared" si="7"/>
        <v>1.462863279983659E-2</v>
      </c>
      <c r="V92" s="193">
        <f t="shared" si="8"/>
        <v>1.8513863178088539E-2</v>
      </c>
      <c r="W92" s="193">
        <f t="shared" si="9"/>
        <v>1.7939866409995339E-2</v>
      </c>
    </row>
    <row r="93" spans="3:23" x14ac:dyDescent="0.3">
      <c r="C93" s="151">
        <v>37.5</v>
      </c>
      <c r="D93" s="160">
        <f t="shared" si="17"/>
        <v>7.1930261133425488E-2</v>
      </c>
      <c r="E93" s="160">
        <f t="shared" si="10"/>
        <v>7.0317772747170396E-2</v>
      </c>
      <c r="F93" s="160">
        <f t="shared" si="2"/>
        <v>6.8849801553345372E-2</v>
      </c>
      <c r="G93" s="160">
        <f t="shared" si="3"/>
        <v>6.7759247157687705E-2</v>
      </c>
      <c r="H93" s="160">
        <f t="shared" si="4"/>
        <v>6.6657451744855684E-2</v>
      </c>
      <c r="I93" s="160">
        <f t="shared" si="5"/>
        <v>7.4325444687670036E-2</v>
      </c>
      <c r="K93" s="178">
        <v>37.5</v>
      </c>
      <c r="L93" s="183">
        <f t="shared" si="11"/>
        <v>7.1930261133425488E-2</v>
      </c>
      <c r="M93" s="183">
        <f t="shared" si="12"/>
        <v>7.1930261133425488E-2</v>
      </c>
      <c r="N93" s="183">
        <f t="shared" si="13"/>
        <v>6.8849801553345372E-2</v>
      </c>
      <c r="O93" s="183">
        <f t="shared" si="14"/>
        <v>6.7759247157687705E-2</v>
      </c>
      <c r="P93" s="183">
        <f t="shared" si="15"/>
        <v>6.6657451744855684E-2</v>
      </c>
      <c r="R93" s="190">
        <v>37.5</v>
      </c>
      <c r="S93" s="193">
        <f t="shared" si="16"/>
        <v>8.9414613846868912E-3</v>
      </c>
      <c r="T93" s="193">
        <f t="shared" si="6"/>
        <v>7.062488093053299E-3</v>
      </c>
      <c r="U93" s="193">
        <f t="shared" si="7"/>
        <v>1.0817997152832532E-2</v>
      </c>
      <c r="V93" s="193">
        <f t="shared" si="8"/>
        <v>1.3923449344734129E-2</v>
      </c>
      <c r="W93" s="193">
        <f t="shared" si="9"/>
        <v>1.346145504089861E-2</v>
      </c>
    </row>
    <row r="94" spans="3:23" x14ac:dyDescent="0.3">
      <c r="C94" s="151">
        <v>40</v>
      </c>
      <c r="D94" s="160">
        <f t="shared" si="17"/>
        <v>6.0353956578932041E-2</v>
      </c>
      <c r="E94" s="160">
        <f t="shared" si="10"/>
        <v>5.891186615822816E-2</v>
      </c>
      <c r="F94" s="160">
        <f t="shared" si="2"/>
        <v>5.7600935782380458E-2</v>
      </c>
      <c r="G94" s="160">
        <f t="shared" si="3"/>
        <v>5.6628250374715292E-2</v>
      </c>
      <c r="H94" s="160">
        <f t="shared" si="4"/>
        <v>5.5646598283203175E-2</v>
      </c>
      <c r="I94" s="160">
        <f t="shared" si="5"/>
        <v>6.2499999999999972E-2</v>
      </c>
      <c r="K94" s="178">
        <v>40</v>
      </c>
      <c r="L94" s="183">
        <f t="shared" si="11"/>
        <v>6.0353956578932041E-2</v>
      </c>
      <c r="M94" s="183">
        <f t="shared" si="12"/>
        <v>6.0353956578932041E-2</v>
      </c>
      <c r="N94" s="183">
        <f t="shared" si="13"/>
        <v>5.7600935782380458E-2</v>
      </c>
      <c r="O94" s="183">
        <f t="shared" si="14"/>
        <v>5.6628250374715292E-2</v>
      </c>
      <c r="P94" s="183">
        <f t="shared" si="15"/>
        <v>5.5646598283203175E-2</v>
      </c>
      <c r="R94" s="190">
        <v>40</v>
      </c>
      <c r="S94" s="193">
        <f t="shared" si="16"/>
        <v>6.5288356909684415E-3</v>
      </c>
      <c r="T94" s="193">
        <f t="shared" si="6"/>
        <v>5.0763891890455212E-3</v>
      </c>
      <c r="U94" s="193">
        <f t="shared" si="7"/>
        <v>7.9999999999999967E-3</v>
      </c>
      <c r="V94" s="193">
        <f t="shared" si="8"/>
        <v>1.0471204188481667E-2</v>
      </c>
      <c r="W94" s="193">
        <f t="shared" si="9"/>
        <v>1.0101010101010102E-2</v>
      </c>
    </row>
    <row r="95" spans="3:23" x14ac:dyDescent="0.3">
      <c r="C95" s="151">
        <v>42.5</v>
      </c>
      <c r="D95" s="160">
        <f t="shared" si="17"/>
        <v>5.0640718069615405E-2</v>
      </c>
      <c r="E95" s="160">
        <f t="shared" si="10"/>
        <v>4.9356056636259783E-2</v>
      </c>
      <c r="F95" s="160">
        <f t="shared" si="2"/>
        <v>4.8189939958435547E-2</v>
      </c>
      <c r="G95" s="160">
        <f t="shared" si="3"/>
        <v>4.7325772865196535E-2</v>
      </c>
      <c r="H95" s="160">
        <f t="shared" si="4"/>
        <v>4.6454579637169618E-2</v>
      </c>
      <c r="I95" s="160">
        <f t="shared" si="5"/>
        <v>5.2556025953357142E-2</v>
      </c>
      <c r="K95" s="178">
        <v>42.5</v>
      </c>
      <c r="L95" s="183">
        <f t="shared" si="11"/>
        <v>5.0640718069615405E-2</v>
      </c>
      <c r="M95" s="183">
        <f t="shared" si="12"/>
        <v>5.0640718069615405E-2</v>
      </c>
      <c r="N95" s="183">
        <f t="shared" si="13"/>
        <v>4.8189939958435547E-2</v>
      </c>
      <c r="O95" s="183">
        <f t="shared" si="14"/>
        <v>4.7325772865196535E-2</v>
      </c>
      <c r="P95" s="183">
        <f t="shared" si="15"/>
        <v>4.6454579637169618E-2</v>
      </c>
      <c r="R95" s="190">
        <v>42.5</v>
      </c>
      <c r="S95" s="193">
        <f t="shared" si="16"/>
        <v>4.7671956121919882E-3</v>
      </c>
      <c r="T95" s="193">
        <f t="shared" si="6"/>
        <v>3.6488170824677895E-3</v>
      </c>
      <c r="U95" s="193">
        <f t="shared" si="7"/>
        <v>5.9160673732699728E-3</v>
      </c>
      <c r="V95" s="193">
        <f t="shared" si="8"/>
        <v>7.8749248438458493E-3</v>
      </c>
      <c r="W95" s="193">
        <f t="shared" si="9"/>
        <v>7.579448488348333E-3</v>
      </c>
    </row>
    <row r="96" spans="3:23" x14ac:dyDescent="0.3">
      <c r="C96" s="151">
        <v>45</v>
      </c>
      <c r="D96" s="160">
        <f t="shared" si="17"/>
        <v>4.249070768463032E-2</v>
      </c>
      <c r="E96" s="160">
        <f t="shared" si="10"/>
        <v>4.1350248863937004E-2</v>
      </c>
      <c r="F96" s="160">
        <f t="shared" si="2"/>
        <v>4.0316537946037685E-2</v>
      </c>
      <c r="G96" s="160">
        <f t="shared" si="3"/>
        <v>3.9551438768947345E-2</v>
      </c>
      <c r="H96" s="160">
        <f t="shared" si="4"/>
        <v>3.8780950423658353E-2</v>
      </c>
      <c r="I96" s="160">
        <f t="shared" si="5"/>
        <v>4.4194173824159202E-2</v>
      </c>
      <c r="K96" s="178">
        <v>45</v>
      </c>
      <c r="L96" s="183">
        <f t="shared" si="11"/>
        <v>4.249070768463032E-2</v>
      </c>
      <c r="M96" s="183">
        <f t="shared" si="12"/>
        <v>4.249070768463032E-2</v>
      </c>
      <c r="N96" s="183">
        <f t="shared" si="13"/>
        <v>4.0316537946037685E-2</v>
      </c>
      <c r="O96" s="183">
        <f t="shared" si="14"/>
        <v>3.9551438768947345E-2</v>
      </c>
      <c r="P96" s="183">
        <f t="shared" si="15"/>
        <v>3.8780950423658353E-2</v>
      </c>
      <c r="R96" s="190">
        <v>45</v>
      </c>
      <c r="S96" s="193">
        <f t="shared" si="16"/>
        <v>3.4808892550842346E-3</v>
      </c>
      <c r="T96" s="193">
        <f t="shared" si="6"/>
        <v>2.6227039743207891E-3</v>
      </c>
      <c r="U96" s="193">
        <f t="shared" si="7"/>
        <v>4.3749816456336863E-3</v>
      </c>
      <c r="V96" s="193">
        <f t="shared" si="8"/>
        <v>5.9223791437890702E-3</v>
      </c>
      <c r="W96" s="193">
        <f t="shared" si="9"/>
        <v>5.687355899365058E-3</v>
      </c>
    </row>
    <row r="97" spans="1:23" x14ac:dyDescent="0.3">
      <c r="C97" s="151">
        <v>47.5</v>
      </c>
      <c r="D97" s="160">
        <f t="shared" si="17"/>
        <v>3.5652342785873391E-2</v>
      </c>
      <c r="E97" s="160">
        <f t="shared" si="10"/>
        <v>3.4643024537202909E-2</v>
      </c>
      <c r="F97" s="160">
        <f t="shared" si="2"/>
        <v>3.3729513532414587E-2</v>
      </c>
      <c r="G97" s="160">
        <f t="shared" si="3"/>
        <v>3.3054215789557508E-2</v>
      </c>
      <c r="H97" s="160">
        <f t="shared" si="4"/>
        <v>3.2374894520816738E-2</v>
      </c>
      <c r="I97" s="160">
        <f t="shared" si="5"/>
        <v>3.7162722343835018E-2</v>
      </c>
      <c r="K97" s="178">
        <v>47.5</v>
      </c>
      <c r="L97" s="183">
        <f t="shared" si="11"/>
        <v>3.5652342785873391E-2</v>
      </c>
      <c r="M97" s="183">
        <f t="shared" si="12"/>
        <v>3.5652342785873391E-2</v>
      </c>
      <c r="N97" s="183">
        <f t="shared" si="13"/>
        <v>3.3729513532414587E-2</v>
      </c>
      <c r="O97" s="183">
        <f t="shared" si="14"/>
        <v>3.3054215789557508E-2</v>
      </c>
      <c r="P97" s="183">
        <f t="shared" si="15"/>
        <v>3.2374894520816738E-2</v>
      </c>
      <c r="R97" s="190">
        <v>47.5</v>
      </c>
      <c r="S97" s="193">
        <f t="shared" si="16"/>
        <v>2.5416599174518857E-3</v>
      </c>
      <c r="T97" s="193">
        <f t="shared" si="6"/>
        <v>1.885152360738755E-3</v>
      </c>
      <c r="U97" s="193">
        <f t="shared" si="7"/>
        <v>3.2353357715485514E-3</v>
      </c>
      <c r="V97" s="193">
        <f t="shared" si="8"/>
        <v>4.4539567574664683E-3</v>
      </c>
      <c r="W97" s="193">
        <f t="shared" si="9"/>
        <v>4.267595086340008E-3</v>
      </c>
    </row>
    <row r="98" spans="1:23" x14ac:dyDescent="0.3">
      <c r="C98" s="151">
        <v>50</v>
      </c>
      <c r="D98" s="160">
        <f t="shared" si="17"/>
        <v>2.9914529914529898E-2</v>
      </c>
      <c r="E98" s="160">
        <f t="shared" si="10"/>
        <v>2.9023746701846962E-2</v>
      </c>
      <c r="F98" s="160">
        <f t="shared" si="2"/>
        <v>2.8218694885361537E-2</v>
      </c>
      <c r="G98" s="160">
        <f t="shared" si="3"/>
        <v>2.7624309392265175E-2</v>
      </c>
      <c r="H98" s="160">
        <f t="shared" si="4"/>
        <v>2.7027027027027018E-2</v>
      </c>
      <c r="I98" s="160">
        <f t="shared" si="5"/>
        <v>3.1249999999999986E-2</v>
      </c>
      <c r="K98" s="178">
        <v>50</v>
      </c>
      <c r="L98" s="183">
        <f t="shared" si="11"/>
        <v>2.9914529914529898E-2</v>
      </c>
      <c r="M98" s="183">
        <f t="shared" si="12"/>
        <v>2.9914529914529898E-2</v>
      </c>
      <c r="N98" s="183">
        <f t="shared" si="13"/>
        <v>2.8218694885361537E-2</v>
      </c>
      <c r="O98" s="183">
        <f t="shared" si="14"/>
        <v>2.7624309392265175E-2</v>
      </c>
      <c r="P98" s="183">
        <f t="shared" si="15"/>
        <v>2.7027027027027018E-2</v>
      </c>
      <c r="R98" s="190">
        <v>50</v>
      </c>
      <c r="S98" s="193">
        <f t="shared" si="16"/>
        <v>1.8558577026103085E-3</v>
      </c>
      <c r="T98" s="193">
        <f t="shared" si="6"/>
        <v>1.3550135501355014E-3</v>
      </c>
      <c r="U98" s="193">
        <f t="shared" si="7"/>
        <v>2.3925580499539532E-3</v>
      </c>
      <c r="V98" s="193">
        <f t="shared" si="8"/>
        <v>3.3496218860262364E-3</v>
      </c>
      <c r="W98" s="193">
        <f t="shared" si="9"/>
        <v>3.2022556954782126E-3</v>
      </c>
    </row>
    <row r="99" spans="1:23" x14ac:dyDescent="0.3">
      <c r="C99" s="151">
        <v>52.5</v>
      </c>
      <c r="D99" s="160">
        <f t="shared" si="17"/>
        <v>2.5100148547934541E-2</v>
      </c>
      <c r="E99" s="160">
        <f t="shared" si="10"/>
        <v>2.4315944807542664E-2</v>
      </c>
      <c r="F99" s="160">
        <f t="shared" si="2"/>
        <v>2.360824861194271E-2</v>
      </c>
      <c r="G99" s="160">
        <f t="shared" si="3"/>
        <v>2.3086388564107739E-2</v>
      </c>
      <c r="H99" s="160">
        <f t="shared" si="4"/>
        <v>2.2562550418503153E-2</v>
      </c>
      <c r="I99" s="160">
        <f t="shared" si="5"/>
        <v>2.6278012976678564E-2</v>
      </c>
      <c r="K99" s="178">
        <v>52.5</v>
      </c>
      <c r="L99" s="183">
        <f t="shared" si="11"/>
        <v>2.5100148547934541E-2</v>
      </c>
      <c r="M99" s="183">
        <f t="shared" si="12"/>
        <v>2.5100148547934541E-2</v>
      </c>
      <c r="N99" s="183">
        <f t="shared" si="13"/>
        <v>2.360824861194271E-2</v>
      </c>
      <c r="O99" s="183">
        <f t="shared" si="14"/>
        <v>2.3086388564107739E-2</v>
      </c>
      <c r="P99" s="183">
        <f t="shared" si="15"/>
        <v>2.2562550418503153E-2</v>
      </c>
      <c r="R99" s="190">
        <v>52.5</v>
      </c>
      <c r="S99" s="193">
        <f t="shared" si="16"/>
        <v>1.3551017540501488E-3</v>
      </c>
      <c r="T99" s="193">
        <f t="shared" si="6"/>
        <v>9.7395932513979816E-4</v>
      </c>
      <c r="U99" s="193">
        <f t="shared" si="7"/>
        <v>1.7693168272483756E-3</v>
      </c>
      <c r="V99" s="193">
        <f t="shared" si="8"/>
        <v>2.5191009680408721E-3</v>
      </c>
      <c r="W99" s="193">
        <f t="shared" si="9"/>
        <v>2.4028618769493205E-3</v>
      </c>
    </row>
    <row r="100" spans="1:23" x14ac:dyDescent="0.3">
      <c r="C100" s="151">
        <v>55</v>
      </c>
      <c r="D100" s="165">
        <f t="shared" si="17"/>
        <v>2.1060583566862988E-2</v>
      </c>
      <c r="E100" s="165">
        <f t="shared" si="10"/>
        <v>2.0371772740348348E-2</v>
      </c>
      <c r="F100" s="165">
        <f t="shared" si="2"/>
        <v>1.9751069451919276E-2</v>
      </c>
      <c r="G100" s="165">
        <f t="shared" si="3"/>
        <v>1.9293924396973337E-2</v>
      </c>
      <c r="H100" s="165">
        <f t="shared" si="4"/>
        <v>1.8835541211337393E-2</v>
      </c>
      <c r="I100" s="165">
        <f t="shared" si="5"/>
        <v>2.2097086912079598E-2</v>
      </c>
      <c r="K100" s="178">
        <v>55</v>
      </c>
      <c r="L100" s="183">
        <f t="shared" si="11"/>
        <v>2.1060583566862988E-2</v>
      </c>
      <c r="M100" s="183">
        <f t="shared" si="12"/>
        <v>2.1060583566862988E-2</v>
      </c>
      <c r="N100" s="183">
        <f t="shared" si="13"/>
        <v>1.9751069451919276E-2</v>
      </c>
      <c r="O100" s="183">
        <f t="shared" si="14"/>
        <v>1.9293924396973337E-2</v>
      </c>
      <c r="P100" s="183">
        <f t="shared" si="15"/>
        <v>1.8835541211337393E-2</v>
      </c>
      <c r="R100" s="190">
        <v>55</v>
      </c>
      <c r="S100" s="193">
        <f t="shared" si="16"/>
        <v>9.8946204832783716E-4</v>
      </c>
      <c r="T100" s="193">
        <f t="shared" si="6"/>
        <v>7.000644140657574E-4</v>
      </c>
      <c r="U100" s="193">
        <f t="shared" si="7"/>
        <v>1.3084246943327082E-3</v>
      </c>
      <c r="V100" s="193">
        <f t="shared" si="8"/>
        <v>1.894503291149907E-3</v>
      </c>
      <c r="W100" s="193">
        <f t="shared" si="9"/>
        <v>1.8030244142743833E-3</v>
      </c>
    </row>
    <row r="101" spans="1:23" x14ac:dyDescent="0.3">
      <c r="C101" s="151">
        <v>57.5</v>
      </c>
      <c r="D101" s="165">
        <f t="shared" si="17"/>
        <v>1.7671137656008761E-2</v>
      </c>
      <c r="E101" s="165">
        <f t="shared" si="10"/>
        <v>1.7067365791012437E-2</v>
      </c>
      <c r="F101" s="165">
        <f t="shared" si="2"/>
        <v>1.6524086598156042E-2</v>
      </c>
      <c r="G101" s="165">
        <f t="shared" si="3"/>
        <v>1.6124458687092617E-2</v>
      </c>
      <c r="H101" s="165">
        <f t="shared" si="4"/>
        <v>1.5724180384901976E-2</v>
      </c>
      <c r="I101" s="165">
        <f t="shared" si="5"/>
        <v>1.8581361171917509E-2</v>
      </c>
      <c r="K101" s="178">
        <v>57.5</v>
      </c>
      <c r="L101" s="183">
        <f t="shared" si="11"/>
        <v>1.7671137656008761E-2</v>
      </c>
      <c r="M101" s="183">
        <f t="shared" si="12"/>
        <v>1.7671137656008761E-2</v>
      </c>
      <c r="N101" s="183">
        <f t="shared" si="13"/>
        <v>1.6524086598156042E-2</v>
      </c>
      <c r="O101" s="183">
        <f t="shared" si="14"/>
        <v>1.6124458687092617E-2</v>
      </c>
      <c r="P101" s="183">
        <f t="shared" si="15"/>
        <v>1.5724180384901976E-2</v>
      </c>
      <c r="R101" s="190">
        <v>57.5</v>
      </c>
      <c r="S101" s="193">
        <f t="shared" si="16"/>
        <v>7.2248090754437131E-4</v>
      </c>
      <c r="T101" s="193">
        <f t="shared" si="6"/>
        <v>5.0319368703707044E-4</v>
      </c>
      <c r="U101" s="193">
        <f t="shared" si="7"/>
        <v>9.675910805653084E-4</v>
      </c>
      <c r="V101" s="193">
        <f t="shared" si="8"/>
        <v>1.4247712837684057E-3</v>
      </c>
      <c r="W101" s="193">
        <f t="shared" si="9"/>
        <v>1.3529271364514854E-3</v>
      </c>
    </row>
    <row r="102" spans="1:23" x14ac:dyDescent="0.3">
      <c r="C102" s="151">
        <v>60</v>
      </c>
      <c r="D102" s="165">
        <f t="shared" si="17"/>
        <v>1.4827182023053689E-2</v>
      </c>
      <c r="E102" s="165">
        <f t="shared" si="10"/>
        <v>1.4298950747044336E-2</v>
      </c>
      <c r="F102" s="165">
        <f t="shared" si="2"/>
        <v>1.3824336883025218E-2</v>
      </c>
      <c r="G102" s="165">
        <f t="shared" si="3"/>
        <v>1.3475649774627644E-2</v>
      </c>
      <c r="H102" s="165">
        <f t="shared" si="4"/>
        <v>1.3126771670787598E-2</v>
      </c>
      <c r="I102" s="165">
        <f t="shared" si="5"/>
        <v>1.5624999999999993E-2</v>
      </c>
      <c r="K102" s="178">
        <v>60</v>
      </c>
      <c r="L102" s="183">
        <f t="shared" si="11"/>
        <v>1.4827182023053689E-2</v>
      </c>
      <c r="M102" s="183">
        <f t="shared" si="12"/>
        <v>1.4827182023053689E-2</v>
      </c>
      <c r="N102" s="183">
        <f t="shared" si="13"/>
        <v>1.3824336883025218E-2</v>
      </c>
      <c r="O102" s="183">
        <f t="shared" si="14"/>
        <v>1.3475649774627644E-2</v>
      </c>
      <c r="P102" s="183">
        <f t="shared" si="15"/>
        <v>1.3126771670787598E-2</v>
      </c>
      <c r="R102" s="190">
        <v>60</v>
      </c>
      <c r="S102" s="193">
        <f t="shared" si="16"/>
        <v>5.2753782992310486E-4</v>
      </c>
      <c r="T102" s="193">
        <f t="shared" si="6"/>
        <v>3.6168655567482907E-4</v>
      </c>
      <c r="U102" s="193">
        <f t="shared" si="7"/>
        <v>7.1554175279993251E-4</v>
      </c>
      <c r="V102" s="193">
        <f t="shared" si="8"/>
        <v>1.0715068274275393E-3</v>
      </c>
      <c r="W102" s="193">
        <f t="shared" si="9"/>
        <v>1.0151897123830424E-3</v>
      </c>
    </row>
    <row r="103" spans="1:23" x14ac:dyDescent="0.3">
      <c r="C103" s="151">
        <v>62.5</v>
      </c>
      <c r="D103" s="165">
        <f t="shared" si="17"/>
        <v>1.244092661289478E-2</v>
      </c>
      <c r="E103" s="165">
        <f t="shared" si="10"/>
        <v>1.1979586947979232E-2</v>
      </c>
      <c r="F103" s="165">
        <f t="shared" si="2"/>
        <v>1.1565679538177803E-2</v>
      </c>
      <c r="G103" s="165">
        <f t="shared" si="3"/>
        <v>1.1261967944002039E-2</v>
      </c>
      <c r="H103" s="165">
        <f t="shared" si="4"/>
        <v>1.0958417563209998E-2</v>
      </c>
      <c r="I103" s="165">
        <f t="shared" si="5"/>
        <v>1.3139006488339279E-2</v>
      </c>
      <c r="K103" s="178">
        <v>62.5</v>
      </c>
      <c r="L103" s="183">
        <f t="shared" si="11"/>
        <v>1.244092661289478E-2</v>
      </c>
      <c r="M103" s="183">
        <f t="shared" si="12"/>
        <v>1.244092661289478E-2</v>
      </c>
      <c r="N103" s="183">
        <f t="shared" si="13"/>
        <v>1.1565679538177803E-2</v>
      </c>
      <c r="O103" s="183">
        <f t="shared" si="14"/>
        <v>1.1261967944002039E-2</v>
      </c>
      <c r="P103" s="183">
        <f t="shared" si="15"/>
        <v>1.0958417563209998E-2</v>
      </c>
      <c r="R103" s="190">
        <v>62.5</v>
      </c>
      <c r="S103" s="193">
        <f t="shared" si="16"/>
        <v>3.8519517830010934E-4</v>
      </c>
      <c r="T103" s="193">
        <f t="shared" si="6"/>
        <v>2.5997377933376933E-4</v>
      </c>
      <c r="U103" s="193">
        <f t="shared" si="7"/>
        <v>5.2914915224401137E-4</v>
      </c>
      <c r="V103" s="193">
        <f t="shared" si="8"/>
        <v>8.0583241275549084E-4</v>
      </c>
      <c r="W103" s="193">
        <f t="shared" si="9"/>
        <v>7.6176323495993437E-4</v>
      </c>
    </row>
    <row r="104" spans="1:23" x14ac:dyDescent="0.3">
      <c r="C104" s="151">
        <v>65</v>
      </c>
      <c r="D104" s="165">
        <f t="shared" si="17"/>
        <v>1.0438710116783002E-2</v>
      </c>
      <c r="E104" s="165">
        <f t="shared" si="10"/>
        <v>1.0036435958341824E-2</v>
      </c>
      <c r="F104" s="165">
        <f t="shared" si="2"/>
        <v>9.6760477057003368E-3</v>
      </c>
      <c r="G104" s="165">
        <f t="shared" si="3"/>
        <v>9.4119336798535909E-3</v>
      </c>
      <c r="H104" s="165">
        <f t="shared" si="4"/>
        <v>9.1482444047466336E-3</v>
      </c>
      <c r="I104" s="165">
        <f t="shared" si="5"/>
        <v>1.1048543456039799E-2</v>
      </c>
      <c r="K104" s="178">
        <v>65</v>
      </c>
      <c r="L104" s="183">
        <f t="shared" si="11"/>
        <v>1.0438710116783002E-2</v>
      </c>
      <c r="M104" s="183">
        <f t="shared" si="12"/>
        <v>1.0438710116783002E-2</v>
      </c>
      <c r="N104" s="183">
        <f t="shared" si="13"/>
        <v>9.6760477057003368E-3</v>
      </c>
      <c r="O104" s="183">
        <f t="shared" si="14"/>
        <v>9.4119336798535909E-3</v>
      </c>
      <c r="P104" s="183">
        <f t="shared" si="15"/>
        <v>9.1482444047466336E-3</v>
      </c>
      <c r="R104" s="190">
        <v>65</v>
      </c>
      <c r="S104" s="193">
        <f t="shared" si="16"/>
        <v>2.8126006699326318E-4</v>
      </c>
      <c r="T104" s="193">
        <f t="shared" si="6"/>
        <v>1.8686446836538336E-4</v>
      </c>
      <c r="U104" s="193">
        <f t="shared" si="7"/>
        <v>3.913102543980325E-4</v>
      </c>
      <c r="V104" s="193">
        <f t="shared" si="8"/>
        <v>6.0603055512611632E-4</v>
      </c>
      <c r="W104" s="193">
        <f t="shared" si="9"/>
        <v>5.7160077476994516E-4</v>
      </c>
    </row>
    <row r="105" spans="1:23" x14ac:dyDescent="0.3">
      <c r="C105" s="151">
        <v>67.5</v>
      </c>
      <c r="D105" s="165">
        <f t="shared" si="17"/>
        <v>8.7587261216769755E-3</v>
      </c>
      <c r="E105" s="165">
        <f t="shared" si="10"/>
        <v>8.4084741137830515E-3</v>
      </c>
      <c r="F105" s="165">
        <f t="shared" si="2"/>
        <v>8.0951490047717328E-3</v>
      </c>
      <c r="G105" s="165">
        <f t="shared" si="3"/>
        <v>7.8658096022321961E-3</v>
      </c>
      <c r="H105" s="165">
        <f t="shared" si="4"/>
        <v>7.6370858480467561E-3</v>
      </c>
      <c r="I105" s="165">
        <f t="shared" si="5"/>
        <v>9.290680585958758E-3</v>
      </c>
      <c r="K105" s="178">
        <v>67.5</v>
      </c>
      <c r="L105" s="183">
        <f t="shared" si="11"/>
        <v>8.7587261216769755E-3</v>
      </c>
      <c r="M105" s="183">
        <f t="shared" si="12"/>
        <v>8.7587261216769755E-3</v>
      </c>
      <c r="N105" s="183">
        <f t="shared" si="13"/>
        <v>8.0951490047717328E-3</v>
      </c>
      <c r="O105" s="183">
        <f t="shared" si="14"/>
        <v>7.8658096022321961E-3</v>
      </c>
      <c r="P105" s="183">
        <f t="shared" si="15"/>
        <v>7.6370858480467561E-3</v>
      </c>
      <c r="R105" s="190">
        <v>67.5</v>
      </c>
      <c r="S105" s="193">
        <f t="shared" si="16"/>
        <v>2.0536919915290701E-4</v>
      </c>
      <c r="T105" s="193">
        <f t="shared" si="6"/>
        <v>1.3431481292829585E-4</v>
      </c>
      <c r="U105" s="193">
        <f t="shared" si="7"/>
        <v>2.8937722860877146E-4</v>
      </c>
      <c r="V105" s="193">
        <f t="shared" si="8"/>
        <v>4.5576850463311931E-4</v>
      </c>
      <c r="W105" s="193">
        <f t="shared" si="9"/>
        <v>4.2890944419861051E-4</v>
      </c>
    </row>
    <row r="106" spans="1:23" x14ac:dyDescent="0.3">
      <c r="C106" s="151">
        <v>70</v>
      </c>
      <c r="D106" s="165">
        <f t="shared" si="17"/>
        <v>7.3491152083250575E-3</v>
      </c>
      <c r="E106" s="165">
        <f t="shared" si="10"/>
        <v>7.0445761040695927E-3</v>
      </c>
      <c r="F106" s="165">
        <f t="shared" si="2"/>
        <v>6.7725417859247324E-3</v>
      </c>
      <c r="G106" s="165">
        <f t="shared" si="3"/>
        <v>6.5736715539128866E-3</v>
      </c>
      <c r="H106" s="165">
        <f t="shared" si="4"/>
        <v>6.3755489763887042E-3</v>
      </c>
      <c r="I106" s="165">
        <f t="shared" si="5"/>
        <v>7.8124999999999948E-3</v>
      </c>
      <c r="K106" s="178">
        <v>70</v>
      </c>
      <c r="L106" s="183">
        <f t="shared" si="11"/>
        <v>7.3491152083250575E-3</v>
      </c>
      <c r="M106" s="183">
        <f t="shared" si="12"/>
        <v>7.3491152083250575E-3</v>
      </c>
      <c r="N106" s="183">
        <f t="shared" si="13"/>
        <v>6.7725417859247324E-3</v>
      </c>
      <c r="O106" s="183">
        <f t="shared" si="14"/>
        <v>6.5736715539128866E-3</v>
      </c>
      <c r="P106" s="183">
        <f t="shared" si="15"/>
        <v>6.3755489763887042E-3</v>
      </c>
      <c r="R106" s="190">
        <v>70</v>
      </c>
      <c r="S106" s="193">
        <f t="shared" si="16"/>
        <v>1.4995554972159161E-4</v>
      </c>
      <c r="T106" s="193">
        <f t="shared" si="6"/>
        <v>9.6543067442269868E-5</v>
      </c>
      <c r="U106" s="193">
        <f t="shared" si="7"/>
        <v>2.1399689759245497E-4</v>
      </c>
      <c r="V106" s="193">
        <f t="shared" si="8"/>
        <v>3.4276312977698272E-4</v>
      </c>
      <c r="W106" s="193">
        <f t="shared" si="9"/>
        <v>3.2183880680847898E-4</v>
      </c>
    </row>
    <row r="107" spans="1:23" x14ac:dyDescent="0.3">
      <c r="C107" s="151">
        <v>72.5</v>
      </c>
      <c r="D107" s="165">
        <f t="shared" si="17"/>
        <v>6.1663641030590671E-3</v>
      </c>
      <c r="E107" s="165">
        <f t="shared" si="10"/>
        <v>5.9019094088286579E-3</v>
      </c>
      <c r="F107" s="165">
        <f t="shared" si="2"/>
        <v>5.6660256920607437E-3</v>
      </c>
      <c r="G107" s="165">
        <f t="shared" si="3"/>
        <v>5.4937965554696707E-3</v>
      </c>
      <c r="H107" s="165">
        <f t="shared" si="4"/>
        <v>5.3223998733400342E-3</v>
      </c>
      <c r="I107" s="165">
        <f t="shared" si="5"/>
        <v>6.5695032441696437E-3</v>
      </c>
      <c r="K107" s="178">
        <v>72.5</v>
      </c>
      <c r="L107" s="183">
        <f t="shared" si="11"/>
        <v>6.1663641030590671E-3</v>
      </c>
      <c r="M107" s="183">
        <f t="shared" si="12"/>
        <v>6.1663641030590671E-3</v>
      </c>
      <c r="N107" s="183">
        <f t="shared" si="13"/>
        <v>5.6660256920607437E-3</v>
      </c>
      <c r="O107" s="183">
        <f t="shared" si="14"/>
        <v>5.4937965554696707E-3</v>
      </c>
      <c r="P107" s="183">
        <f t="shared" si="15"/>
        <v>5.3223998733400342E-3</v>
      </c>
      <c r="R107" s="190">
        <v>72.5</v>
      </c>
      <c r="S107" s="193">
        <f t="shared" si="16"/>
        <v>1.0949386268757055E-4</v>
      </c>
      <c r="T107" s="193">
        <f t="shared" si="6"/>
        <v>6.9393417359993385E-5</v>
      </c>
      <c r="U107" s="193">
        <f t="shared" si="7"/>
        <v>1.5825250797846485E-4</v>
      </c>
      <c r="V107" s="193">
        <f t="shared" si="8"/>
        <v>2.577768361354542E-4</v>
      </c>
      <c r="W107" s="193">
        <f t="shared" si="9"/>
        <v>2.4149670511787962E-4</v>
      </c>
    </row>
    <row r="108" spans="1:23" x14ac:dyDescent="0.3">
      <c r="C108" s="151">
        <v>75</v>
      </c>
      <c r="D108" s="165">
        <f t="shared" si="17"/>
        <v>5.17396246672278E-3</v>
      </c>
      <c r="E108" s="165">
        <f t="shared" si="10"/>
        <v>4.9445891641226999E-3</v>
      </c>
      <c r="F108" s="165">
        <f t="shared" si="2"/>
        <v>4.7402951739350394E-3</v>
      </c>
      <c r="G108" s="165">
        <f t="shared" si="3"/>
        <v>4.5913155753766078E-3</v>
      </c>
      <c r="H108" s="165">
        <f t="shared" si="4"/>
        <v>4.4432158731177642E-3</v>
      </c>
      <c r="I108" s="165">
        <f t="shared" si="5"/>
        <v>5.5242717280198986E-3</v>
      </c>
      <c r="K108" s="178">
        <v>75</v>
      </c>
      <c r="L108" s="183">
        <f t="shared" si="11"/>
        <v>5.17396246672278E-3</v>
      </c>
      <c r="M108" s="183">
        <f t="shared" si="12"/>
        <v>5.17396246672278E-3</v>
      </c>
      <c r="N108" s="183">
        <f t="shared" si="13"/>
        <v>4.7402951739350394E-3</v>
      </c>
      <c r="O108" s="183">
        <f t="shared" si="14"/>
        <v>4.5913155753766078E-3</v>
      </c>
      <c r="P108" s="183">
        <f t="shared" si="15"/>
        <v>4.4432158731177642E-3</v>
      </c>
      <c r="R108" s="190">
        <v>75</v>
      </c>
      <c r="S108" s="193">
        <f t="shared" si="16"/>
        <v>7.9949731693846818E-5</v>
      </c>
      <c r="T108" s="193">
        <f t="shared" si="6"/>
        <v>4.9878738064519629E-5</v>
      </c>
      <c r="U108" s="193">
        <f t="shared" si="7"/>
        <v>1.1702906239869279E-4</v>
      </c>
      <c r="V108" s="193">
        <f t="shared" si="8"/>
        <v>1.9386244165537722E-4</v>
      </c>
      <c r="W108" s="193">
        <f t="shared" si="9"/>
        <v>1.8121077181813459E-4</v>
      </c>
    </row>
    <row r="109" spans="1:23" x14ac:dyDescent="0.3">
      <c r="C109" s="151">
        <v>77.5</v>
      </c>
      <c r="D109" s="165">
        <f t="shared" si="17"/>
        <v>4.3412758571580046E-3</v>
      </c>
      <c r="E109" s="165">
        <f t="shared" si="10"/>
        <v>4.142551216626004E-3</v>
      </c>
      <c r="F109" s="165">
        <f t="shared" si="2"/>
        <v>3.9658129979038871E-3</v>
      </c>
      <c r="G109" s="165">
        <f t="shared" si="3"/>
        <v>3.8370876132477545E-3</v>
      </c>
      <c r="H109" s="165">
        <f t="shared" si="4"/>
        <v>3.7092604398279833E-3</v>
      </c>
      <c r="I109" s="165">
        <f t="shared" si="5"/>
        <v>4.6453402929793781E-3</v>
      </c>
      <c r="K109" s="178">
        <v>77.5</v>
      </c>
      <c r="L109" s="183">
        <f t="shared" si="11"/>
        <v>4.3412758571580046E-3</v>
      </c>
      <c r="M109" s="183">
        <f t="shared" si="12"/>
        <v>4.3412758571580046E-3</v>
      </c>
      <c r="N109" s="183">
        <f t="shared" si="13"/>
        <v>3.9658129979038871E-3</v>
      </c>
      <c r="O109" s="183">
        <f t="shared" si="14"/>
        <v>3.8370876132477545E-3</v>
      </c>
      <c r="P109" s="183">
        <f t="shared" si="15"/>
        <v>3.7092604398279833E-3</v>
      </c>
      <c r="R109" s="190">
        <v>77.5</v>
      </c>
      <c r="S109" s="193">
        <f t="shared" si="16"/>
        <v>5.8377332217759826E-5</v>
      </c>
      <c r="T109" s="193">
        <f t="shared" si="6"/>
        <v>3.5851938203338484E-5</v>
      </c>
      <c r="U109" s="193">
        <f t="shared" si="7"/>
        <v>8.654397722266031E-5</v>
      </c>
      <c r="V109" s="193">
        <f t="shared" si="8"/>
        <v>1.4579528109669233E-4</v>
      </c>
      <c r="W109" s="193">
        <f t="shared" si="9"/>
        <v>1.3597429334241023E-4</v>
      </c>
    </row>
    <row r="110" spans="1:23" x14ac:dyDescent="0.3">
      <c r="C110" s="151">
        <v>80</v>
      </c>
      <c r="D110" s="165">
        <f t="shared" si="17"/>
        <v>3.6426000747316147E-3</v>
      </c>
      <c r="E110" s="165">
        <f t="shared" si="10"/>
        <v>3.4706079742449882E-3</v>
      </c>
      <c r="F110" s="165">
        <f t="shared" si="2"/>
        <v>3.3178678030059174E-3</v>
      </c>
      <c r="G110" s="165">
        <f t="shared" si="3"/>
        <v>3.2067587405014428E-3</v>
      </c>
      <c r="H110" s="165">
        <f t="shared" si="4"/>
        <v>3.096543900492191E-3</v>
      </c>
      <c r="I110" s="165">
        <f t="shared" si="5"/>
        <v>3.9062499999999974E-3</v>
      </c>
      <c r="K110" s="178">
        <v>80</v>
      </c>
      <c r="L110" s="183">
        <f t="shared" si="11"/>
        <v>3.6426000747316147E-3</v>
      </c>
      <c r="M110" s="183">
        <f t="shared" si="12"/>
        <v>3.6426000747316147E-3</v>
      </c>
      <c r="N110" s="183">
        <f t="shared" si="13"/>
        <v>3.3178678030059174E-3</v>
      </c>
      <c r="O110" s="183">
        <f t="shared" si="14"/>
        <v>3.2067587405014428E-3</v>
      </c>
      <c r="P110" s="183">
        <f t="shared" si="15"/>
        <v>3.096543900492191E-3</v>
      </c>
      <c r="R110" s="190">
        <v>80</v>
      </c>
      <c r="S110" s="193">
        <f t="shared" si="16"/>
        <v>4.2625695479663374E-5</v>
      </c>
      <c r="T110" s="193">
        <f t="shared" si="6"/>
        <v>2.5769727198658241E-5</v>
      </c>
      <c r="U110" s="193">
        <f t="shared" si="7"/>
        <v>6.3999999999999943E-5</v>
      </c>
      <c r="V110" s="193">
        <f t="shared" si="8"/>
        <v>1.0964611715687601E-4</v>
      </c>
      <c r="W110" s="193">
        <f t="shared" si="9"/>
        <v>1.020304050607081E-4</v>
      </c>
    </row>
    <row r="111" spans="1:23" x14ac:dyDescent="0.3">
      <c r="D111" s="168"/>
      <c r="E111" s="168"/>
      <c r="F111" s="168"/>
      <c r="G111" s="168"/>
      <c r="H111" s="168"/>
      <c r="I111" s="168"/>
    </row>
    <row r="112" spans="1:23" ht="18" x14ac:dyDescent="0.4">
      <c r="A112" s="1" t="s">
        <v>46</v>
      </c>
      <c r="B112" s="147"/>
      <c r="D112" s="167"/>
      <c r="E112" s="167"/>
      <c r="F112" s="167"/>
      <c r="G112" s="167"/>
      <c r="H112" s="167"/>
      <c r="I112" s="167"/>
    </row>
    <row r="113" spans="3:37" x14ac:dyDescent="0.3">
      <c r="D113" s="167"/>
      <c r="E113" s="169" t="s">
        <v>37</v>
      </c>
      <c r="F113" s="170"/>
      <c r="G113" s="171"/>
      <c r="H113" s="169" t="s">
        <v>38</v>
      </c>
      <c r="I113" s="170"/>
      <c r="J113" s="170"/>
      <c r="K113" s="171"/>
      <c r="L113" s="214" t="s">
        <v>39</v>
      </c>
      <c r="M113" s="215"/>
      <c r="N113" s="216"/>
      <c r="O113" s="149"/>
      <c r="P113" s="172"/>
      <c r="Q113" s="172"/>
      <c r="R113" s="172"/>
      <c r="S113" s="149"/>
      <c r="T113" s="149"/>
      <c r="Y113" s="173"/>
      <c r="AB113" s="147"/>
      <c r="AH113" s="147"/>
      <c r="AJ113" s="173"/>
      <c r="AK113" s="173"/>
    </row>
    <row r="114" spans="3:37" s="174" customFormat="1" x14ac:dyDescent="0.3">
      <c r="C114" s="174" t="s">
        <v>40</v>
      </c>
      <c r="D114" s="168" t="s">
        <v>41</v>
      </c>
      <c r="E114" s="198" t="s">
        <v>5</v>
      </c>
      <c r="F114" s="210" t="s">
        <v>9</v>
      </c>
      <c r="G114" s="221" t="s">
        <v>42</v>
      </c>
      <c r="H114" s="198" t="s">
        <v>5</v>
      </c>
      <c r="I114" s="210" t="s">
        <v>9</v>
      </c>
      <c r="J114" s="218"/>
      <c r="K114" s="225" t="s">
        <v>42</v>
      </c>
      <c r="L114" s="219" t="s">
        <v>5</v>
      </c>
      <c r="M114" s="220" t="s">
        <v>9</v>
      </c>
      <c r="N114" s="225" t="s">
        <v>10</v>
      </c>
    </row>
    <row r="115" spans="3:37" s="174" customFormat="1" x14ac:dyDescent="0.3">
      <c r="C115" s="174">
        <v>0</v>
      </c>
      <c r="D115" s="168">
        <v>0</v>
      </c>
      <c r="E115" s="200">
        <f>10^-($G$11*D115)</f>
        <v>1</v>
      </c>
      <c r="F115" s="211">
        <f>10^-($G$33*D115)</f>
        <v>1</v>
      </c>
      <c r="G115" s="222">
        <f>10^-($G$57*D115)</f>
        <v>1</v>
      </c>
      <c r="H115" s="200">
        <f>10^-($O$11*D115)</f>
        <v>1</v>
      </c>
      <c r="I115" s="211">
        <f>10^-($O$34*D115)</f>
        <v>1</v>
      </c>
      <c r="J115" s="201"/>
      <c r="K115" s="222">
        <f>10^-($O$57*D115)</f>
        <v>1</v>
      </c>
      <c r="L115" s="200">
        <f>10^-($S$11*C115)</f>
        <v>1</v>
      </c>
      <c r="M115" s="211">
        <f t="shared" ref="M115:M149" si="18">10^-($S$34*C115)</f>
        <v>1</v>
      </c>
      <c r="N115" s="222">
        <f t="shared" ref="N115:N149" si="19">10^-($S$57*C115)</f>
        <v>1</v>
      </c>
      <c r="O115" s="176"/>
      <c r="P115" s="176"/>
      <c r="Q115" s="176"/>
      <c r="R115" s="176"/>
      <c r="S115" s="176"/>
      <c r="T115" s="176"/>
    </row>
    <row r="116" spans="3:37" s="174" customFormat="1" x14ac:dyDescent="0.3">
      <c r="C116" s="174">
        <v>5</v>
      </c>
      <c r="D116" s="168">
        <v>10</v>
      </c>
      <c r="E116" s="200">
        <f>10^-($G$11*D116)</f>
        <v>0.52294443750184616</v>
      </c>
      <c r="F116" s="211">
        <f t="shared" ref="F116:F149" si="20">10^-($G$33*D116)</f>
        <v>0.23561194770305552</v>
      </c>
      <c r="G116" s="222">
        <f t="shared" ref="G116:G149" si="21">10^-($G$57*D116)</f>
        <v>0.28425553811647869</v>
      </c>
      <c r="H116" s="200">
        <f t="shared" ref="H116:H149" si="22">10^-($O$11*D116)</f>
        <v>0.64698170459835047</v>
      </c>
      <c r="I116" s="211">
        <f t="shared" ref="I116:I149" si="23">10^-($O$34*D116)</f>
        <v>0.73758108034632019</v>
      </c>
      <c r="J116" s="201"/>
      <c r="K116" s="222">
        <f t="shared" ref="K116:K149" si="24">10^-($O$57*D116)</f>
        <v>0.44794176116017753</v>
      </c>
      <c r="L116" s="200">
        <f t="shared" ref="L116:L149" si="25">10^-($S$11*C116)</f>
        <v>0.95638041662214657</v>
      </c>
      <c r="M116" s="211">
        <f t="shared" si="18"/>
        <v>0.94671621985770216</v>
      </c>
      <c r="N116" s="222">
        <f t="shared" si="19"/>
        <v>0.83495949007245729</v>
      </c>
      <c r="O116" s="176"/>
      <c r="P116" s="176"/>
      <c r="Q116" s="176"/>
      <c r="R116" s="176"/>
      <c r="S116" s="176"/>
      <c r="T116" s="176"/>
    </row>
    <row r="117" spans="3:37" s="174" customFormat="1" x14ac:dyDescent="0.3">
      <c r="C117" s="174">
        <v>20</v>
      </c>
      <c r="D117" s="168">
        <v>20</v>
      </c>
      <c r="E117" s="200">
        <f t="shared" ref="E117:E149" si="26">10^-($G$11*D117)</f>
        <v>0.27347088471412234</v>
      </c>
      <c r="F117" s="211">
        <f t="shared" si="20"/>
        <v>5.5512989900427377E-2</v>
      </c>
      <c r="G117" s="222">
        <f t="shared" si="21"/>
        <v>8.0801210949888874E-2</v>
      </c>
      <c r="H117" s="200">
        <f t="shared" si="22"/>
        <v>0.41858532608498727</v>
      </c>
      <c r="I117" s="211">
        <f t="shared" si="23"/>
        <v>0.54402585008484494</v>
      </c>
      <c r="J117" s="201"/>
      <c r="K117" s="222">
        <f t="shared" si="24"/>
        <v>0.20065182139128154</v>
      </c>
      <c r="L117" s="200">
        <f t="shared" si="25"/>
        <v>0.83660932060735804</v>
      </c>
      <c r="M117" s="211">
        <f t="shared" si="18"/>
        <v>0.80330278265452093</v>
      </c>
      <c r="N117" s="222">
        <f t="shared" si="19"/>
        <v>0.48602837074555066</v>
      </c>
      <c r="O117" s="176"/>
      <c r="P117" s="176"/>
      <c r="Q117" s="176"/>
      <c r="R117" s="176"/>
      <c r="S117" s="176"/>
      <c r="T117" s="176"/>
    </row>
    <row r="118" spans="3:37" s="174" customFormat="1" x14ac:dyDescent="0.3">
      <c r="C118" s="174">
        <v>50</v>
      </c>
      <c r="D118" s="168">
        <v>30</v>
      </c>
      <c r="E118" s="200">
        <f t="shared" si="26"/>
        <v>0.14301007797995893</v>
      </c>
      <c r="F118" s="211">
        <f t="shared" si="20"/>
        <v>1.3079523673259741E-2</v>
      </c>
      <c r="G118" s="222">
        <f t="shared" si="21"/>
        <v>2.2968191699023779E-2</v>
      </c>
      <c r="H118" s="200">
        <f t="shared" si="22"/>
        <v>0.27081704779032151</v>
      </c>
      <c r="I118" s="211">
        <f t="shared" si="23"/>
        <v>0.40126317424190516</v>
      </c>
      <c r="J118" s="201"/>
      <c r="K118" s="222">
        <f t="shared" si="24"/>
        <v>8.9880330254008059E-2</v>
      </c>
      <c r="L118" s="200">
        <f t="shared" si="25"/>
        <v>0.64018684658326896</v>
      </c>
      <c r="M118" s="211">
        <f t="shared" si="18"/>
        <v>0.57835990594355624</v>
      </c>
      <c r="N118" s="222">
        <f t="shared" si="19"/>
        <v>0.16468500308172054</v>
      </c>
      <c r="O118" s="176"/>
      <c r="P118" s="176"/>
      <c r="Q118" s="176"/>
      <c r="R118" s="176"/>
      <c r="S118" s="176"/>
      <c r="T118" s="176"/>
    </row>
    <row r="119" spans="3:37" s="174" customFormat="1" x14ac:dyDescent="0.3">
      <c r="C119" s="174">
        <v>80</v>
      </c>
      <c r="D119" s="168">
        <v>40</v>
      </c>
      <c r="E119" s="200">
        <f t="shared" si="26"/>
        <v>7.4786324786324784E-2</v>
      </c>
      <c r="F119" s="211">
        <f t="shared" si="20"/>
        <v>3.0816920476849511E-3</v>
      </c>
      <c r="G119" s="222">
        <f t="shared" si="21"/>
        <v>6.5288356909684415E-3</v>
      </c>
      <c r="H119" s="200">
        <f t="shared" si="22"/>
        <v>0.17521367521367515</v>
      </c>
      <c r="I119" s="211">
        <f t="shared" si="23"/>
        <v>0.29596412556053808</v>
      </c>
      <c r="J119" s="201"/>
      <c r="K119" s="222">
        <f t="shared" si="24"/>
        <v>4.0261153427638759E-2</v>
      </c>
      <c r="L119" s="200">
        <f t="shared" si="25"/>
        <v>0.48988122465656569</v>
      </c>
      <c r="M119" s="211">
        <f t="shared" si="18"/>
        <v>0.41640610243833653</v>
      </c>
      <c r="N119" s="222">
        <f t="shared" si="19"/>
        <v>5.5801578410789886E-2</v>
      </c>
      <c r="O119" s="176"/>
      <c r="P119" s="176"/>
      <c r="Q119" s="176"/>
      <c r="R119" s="176"/>
      <c r="S119" s="176"/>
      <c r="T119" s="176"/>
    </row>
    <row r="120" spans="3:37" s="174" customFormat="1" x14ac:dyDescent="0.3">
      <c r="C120" s="174">
        <v>250</v>
      </c>
      <c r="D120" s="168">
        <v>50</v>
      </c>
      <c r="E120" s="200">
        <f t="shared" si="26"/>
        <v>3.9109092548214999E-2</v>
      </c>
      <c r="F120" s="211">
        <f t="shared" si="20"/>
        <v>7.2608346557606835E-4</v>
      </c>
      <c r="G120" s="222">
        <f t="shared" si="21"/>
        <v>1.8558577026103085E-3</v>
      </c>
      <c r="H120" s="200">
        <f t="shared" si="22"/>
        <v>0.11336004225868532</v>
      </c>
      <c r="I120" s="211">
        <f t="shared" si="23"/>
        <v>0.21829753947469566</v>
      </c>
      <c r="J120" s="201"/>
      <c r="K120" s="222">
        <f t="shared" si="24"/>
        <v>1.8034651972716618E-2</v>
      </c>
      <c r="L120" s="200">
        <f t="shared" si="25"/>
        <v>0.10753101221982529</v>
      </c>
      <c r="M120" s="211">
        <f t="shared" si="18"/>
        <v>6.4712904422833936E-2</v>
      </c>
      <c r="N120" s="222">
        <f t="shared" si="19"/>
        <v>1.2113517228426568E-4</v>
      </c>
      <c r="O120" s="176"/>
      <c r="P120" s="176"/>
      <c r="Q120" s="176"/>
      <c r="R120" s="176"/>
      <c r="S120" s="176"/>
      <c r="T120" s="176"/>
    </row>
    <row r="121" spans="3:37" s="174" customFormat="1" x14ac:dyDescent="0.3">
      <c r="C121" s="174">
        <v>300</v>
      </c>
      <c r="D121" s="168">
        <v>60</v>
      </c>
      <c r="E121" s="200">
        <f t="shared" si="26"/>
        <v>2.0451882403833933E-2</v>
      </c>
      <c r="F121" s="211">
        <f t="shared" si="20"/>
        <v>1.7107393951936196E-4</v>
      </c>
      <c r="G121" s="222">
        <f t="shared" si="21"/>
        <v>5.2753782992310486E-4</v>
      </c>
      <c r="H121" s="200">
        <f t="shared" si="22"/>
        <v>7.3341873373865302E-2</v>
      </c>
      <c r="I121" s="211">
        <f t="shared" si="23"/>
        <v>0.16101213500268952</v>
      </c>
      <c r="J121" s="201"/>
      <c r="K121" s="222">
        <f t="shared" si="24"/>
        <v>8.0784737665695553E-3</v>
      </c>
      <c r="L121" s="200">
        <f t="shared" si="25"/>
        <v>6.8839939622916929E-2</v>
      </c>
      <c r="M121" s="211">
        <f t="shared" si="18"/>
        <v>3.7427349315324591E-2</v>
      </c>
      <c r="N121" s="222">
        <f t="shared" si="19"/>
        <v>1.9949146220939059E-5</v>
      </c>
      <c r="O121" s="176"/>
      <c r="P121" s="176"/>
      <c r="Q121" s="176"/>
      <c r="R121" s="176"/>
      <c r="S121" s="176"/>
      <c r="T121" s="176"/>
    </row>
    <row r="122" spans="3:37" s="174" customFormat="1" x14ac:dyDescent="0.3">
      <c r="C122" s="174">
        <v>350</v>
      </c>
      <c r="D122" s="168">
        <v>70</v>
      </c>
      <c r="E122" s="200">
        <f t="shared" si="26"/>
        <v>1.0695198139526843E-2</v>
      </c>
      <c r="F122" s="211">
        <f t="shared" si="20"/>
        <v>4.0307064091391569E-5</v>
      </c>
      <c r="G122" s="222">
        <f t="shared" si="21"/>
        <v>1.4995554972159161E-4</v>
      </c>
      <c r="H122" s="200">
        <f t="shared" si="22"/>
        <v>4.7450850253859721E-2</v>
      </c>
      <c r="I122" s="211">
        <f t="shared" si="23"/>
        <v>0.1187595044841513</v>
      </c>
      <c r="J122" s="201"/>
      <c r="K122" s="222">
        <f t="shared" si="24"/>
        <v>3.6186857664834583E-3</v>
      </c>
      <c r="L122" s="200">
        <f t="shared" si="25"/>
        <v>4.4070423866177801E-2</v>
      </c>
      <c r="M122" s="211">
        <f t="shared" si="18"/>
        <v>2.1646478229727747E-2</v>
      </c>
      <c r="N122" s="222">
        <f t="shared" si="19"/>
        <v>3.2853252068730384E-6</v>
      </c>
      <c r="O122" s="176"/>
      <c r="P122" s="176"/>
      <c r="Q122" s="176"/>
      <c r="R122" s="176"/>
      <c r="S122" s="176"/>
      <c r="T122" s="176"/>
    </row>
    <row r="123" spans="3:37" s="174" customFormat="1" x14ac:dyDescent="0.3">
      <c r="C123" s="174">
        <v>400</v>
      </c>
      <c r="D123" s="168">
        <v>80</v>
      </c>
      <c r="E123" s="200">
        <f t="shared" si="26"/>
        <v>5.5929943750456564E-3</v>
      </c>
      <c r="F123" s="211">
        <f t="shared" si="20"/>
        <v>9.496825876764668E-6</v>
      </c>
      <c r="G123" s="222">
        <f t="shared" si="21"/>
        <v>4.2625695479663374E-5</v>
      </c>
      <c r="H123" s="200">
        <f t="shared" si="22"/>
        <v>3.0699831981883245E-2</v>
      </c>
      <c r="I123" s="211">
        <f t="shared" si="23"/>
        <v>8.7594763618813978E-2</v>
      </c>
      <c r="J123" s="201"/>
      <c r="K123" s="222">
        <f t="shared" si="24"/>
        <v>1.6209604753238682E-3</v>
      </c>
      <c r="L123" s="200">
        <f t="shared" si="25"/>
        <v>2.8213305682476406E-2</v>
      </c>
      <c r="M123" s="211">
        <f t="shared" si="18"/>
        <v>1.2519455112954584E-2</v>
      </c>
      <c r="N123" s="222">
        <f t="shared" si="19"/>
        <v>5.4104379181834089E-7</v>
      </c>
      <c r="O123" s="176"/>
      <c r="P123" s="176"/>
      <c r="Q123" s="176"/>
      <c r="R123" s="176"/>
      <c r="S123" s="176"/>
      <c r="T123" s="176"/>
    </row>
    <row r="124" spans="3:37" s="174" customFormat="1" x14ac:dyDescent="0.3">
      <c r="C124" s="174">
        <v>450</v>
      </c>
      <c r="D124" s="168">
        <v>90</v>
      </c>
      <c r="E124" s="200">
        <f t="shared" si="26"/>
        <v>2.9248252974092394E-3</v>
      </c>
      <c r="F124" s="211">
        <f t="shared" si="20"/>
        <v>2.2375656418212998E-6</v>
      </c>
      <c r="G124" s="222">
        <f t="shared" si="21"/>
        <v>1.211659000616088E-5</v>
      </c>
      <c r="H124" s="200">
        <f t="shared" si="22"/>
        <v>1.9862229626521784E-2</v>
      </c>
      <c r="I124" s="211">
        <f t="shared" si="23"/>
        <v>6.4608240382645343E-2</v>
      </c>
      <c r="J124" s="201"/>
      <c r="K124" s="222">
        <f t="shared" si="24"/>
        <v>7.2609589008761175E-4</v>
      </c>
      <c r="L124" s="200">
        <f t="shared" si="25"/>
        <v>1.806178719655438E-2</v>
      </c>
      <c r="M124" s="211">
        <f t="shared" si="18"/>
        <v>7.2407508815929902E-3</v>
      </c>
      <c r="N124" s="222">
        <f t="shared" si="19"/>
        <v>8.9101798522949295E-8</v>
      </c>
      <c r="O124" s="176"/>
      <c r="P124" s="176"/>
      <c r="Q124" s="176"/>
      <c r="R124" s="176"/>
      <c r="S124" s="176"/>
      <c r="T124" s="176"/>
    </row>
    <row r="125" spans="3:37" s="174" customFormat="1" x14ac:dyDescent="0.3">
      <c r="C125" s="174">
        <v>500</v>
      </c>
      <c r="D125" s="168">
        <v>100</v>
      </c>
      <c r="E125" s="200">
        <f t="shared" si="26"/>
        <v>1.5295211199448458E-3</v>
      </c>
      <c r="F125" s="211">
        <f t="shared" si="20"/>
        <v>5.2719719898295369E-7</v>
      </c>
      <c r="G125" s="222">
        <f t="shared" si="21"/>
        <v>3.4442078123380123E-6</v>
      </c>
      <c r="H125" s="200">
        <f t="shared" si="22"/>
        <v>1.2850499180890922E-2</v>
      </c>
      <c r="I125" s="211">
        <f t="shared" si="23"/>
        <v>4.7653815740706304E-2</v>
      </c>
      <c r="J125" s="201"/>
      <c r="K125" s="222">
        <f t="shared" si="24"/>
        <v>3.2524867177701139E-4</v>
      </c>
      <c r="L125" s="200">
        <f t="shared" si="25"/>
        <v>1.1562918589020218E-2</v>
      </c>
      <c r="M125" s="211">
        <f t="shared" si="18"/>
        <v>4.1877599988388399E-3</v>
      </c>
      <c r="N125" s="222">
        <f t="shared" si="19"/>
        <v>1.4673729964338731E-8</v>
      </c>
      <c r="O125" s="176"/>
      <c r="P125" s="176"/>
      <c r="Q125" s="176"/>
      <c r="R125" s="176"/>
      <c r="S125" s="176"/>
      <c r="T125" s="176"/>
    </row>
    <row r="126" spans="3:37" s="174" customFormat="1" x14ac:dyDescent="0.3">
      <c r="C126" s="174">
        <v>550</v>
      </c>
      <c r="D126" s="168">
        <v>110</v>
      </c>
      <c r="E126" s="200">
        <f t="shared" si="26"/>
        <v>7.9985456171675104E-4</v>
      </c>
      <c r="F126" s="211">
        <f t="shared" si="20"/>
        <v>1.2421395887596916E-7</v>
      </c>
      <c r="G126" s="222">
        <f t="shared" si="21"/>
        <v>9.7903514508111926E-7</v>
      </c>
      <c r="H126" s="200">
        <f t="shared" si="22"/>
        <v>8.3140378649925097E-3</v>
      </c>
      <c r="I126" s="211">
        <f t="shared" si="23"/>
        <v>3.5148552896654632E-2</v>
      </c>
      <c r="J126" s="201"/>
      <c r="K126" s="222">
        <f t="shared" si="24"/>
        <v>1.4569246285080296E-4</v>
      </c>
      <c r="L126" s="200">
        <f t="shared" si="25"/>
        <v>7.4024283888039126E-3</v>
      </c>
      <c r="M126" s="211">
        <f t="shared" si="18"/>
        <v>2.4220324790426196E-3</v>
      </c>
      <c r="N126" s="222">
        <f t="shared" si="19"/>
        <v>2.4165432643974564E-9</v>
      </c>
      <c r="O126" s="176"/>
      <c r="P126" s="176"/>
      <c r="Q126" s="176"/>
      <c r="R126" s="176"/>
      <c r="S126" s="176"/>
      <c r="T126" s="176"/>
    </row>
    <row r="127" spans="3:37" s="174" customFormat="1" x14ac:dyDescent="0.3">
      <c r="C127" s="174">
        <v>600</v>
      </c>
      <c r="D127" s="168">
        <v>120</v>
      </c>
      <c r="E127" s="200">
        <f t="shared" si="26"/>
        <v>4.1827949386025198E-4</v>
      </c>
      <c r="F127" s="211">
        <f t="shared" si="20"/>
        <v>2.9266292782674314E-8</v>
      </c>
      <c r="G127" s="222">
        <f t="shared" si="21"/>
        <v>2.7829616199997866E-7</v>
      </c>
      <c r="H127" s="200">
        <f t="shared" si="22"/>
        <v>5.3790303899880912E-3</v>
      </c>
      <c r="I127" s="211">
        <f t="shared" si="23"/>
        <v>2.5924907618124313E-2</v>
      </c>
      <c r="J127" s="201"/>
      <c r="K127" s="222">
        <f t="shared" si="24"/>
        <v>6.5261738397152502E-5</v>
      </c>
      <c r="L127" s="200">
        <f t="shared" si="25"/>
        <v>4.7389372872868483E-3</v>
      </c>
      <c r="M127" s="211">
        <f t="shared" si="18"/>
        <v>1.4008064767713278E-3</v>
      </c>
      <c r="N127" s="222">
        <f t="shared" si="19"/>
        <v>3.9796843494440703E-10</v>
      </c>
      <c r="O127" s="176"/>
      <c r="P127" s="176"/>
      <c r="Q127" s="176"/>
      <c r="R127" s="176"/>
      <c r="S127" s="176"/>
      <c r="T127" s="176"/>
    </row>
    <row r="128" spans="3:37" s="174" customFormat="1" x14ac:dyDescent="0.3">
      <c r="C128" s="174">
        <v>650</v>
      </c>
      <c r="D128" s="168">
        <v>130</v>
      </c>
      <c r="E128" s="200">
        <f t="shared" si="26"/>
        <v>2.1873693463530654E-4</v>
      </c>
      <c r="F128" s="211">
        <f t="shared" si="20"/>
        <v>6.8954882445737928E-9</v>
      </c>
      <c r="G128" s="222">
        <f t="shared" si="21"/>
        <v>7.9107225285054887E-8</v>
      </c>
      <c r="H128" s="200">
        <f t="shared" si="22"/>
        <v>3.4801342508008239E-3</v>
      </c>
      <c r="I128" s="211">
        <f t="shared" si="23"/>
        <v>1.9121721368854677E-2</v>
      </c>
      <c r="J128" s="201"/>
      <c r="K128" s="222">
        <f t="shared" si="24"/>
        <v>2.9233458033995216E-5</v>
      </c>
      <c r="L128" s="200">
        <f t="shared" si="25"/>
        <v>3.0338053181040367E-3</v>
      </c>
      <c r="M128" s="211">
        <f t="shared" si="18"/>
        <v>8.1017030215058974E-4</v>
      </c>
      <c r="N128" s="222">
        <f t="shared" si="19"/>
        <v>6.5539432935247103E-11</v>
      </c>
      <c r="O128" s="176"/>
      <c r="P128" s="176"/>
      <c r="Q128" s="176"/>
      <c r="R128" s="176"/>
      <c r="S128" s="176"/>
      <c r="T128" s="176"/>
    </row>
    <row r="129" spans="3:31" s="174" customFormat="1" x14ac:dyDescent="0.3">
      <c r="C129" s="174">
        <v>700</v>
      </c>
      <c r="D129" s="168">
        <v>140</v>
      </c>
      <c r="E129" s="200">
        <f t="shared" si="26"/>
        <v>1.1438726324373845E-4</v>
      </c>
      <c r="F129" s="211">
        <f t="shared" si="20"/>
        <v>1.6246594156675476E-9</v>
      </c>
      <c r="G129" s="222">
        <f t="shared" si="21"/>
        <v>2.2486666892304732E-8</v>
      </c>
      <c r="H129" s="200">
        <f t="shared" si="22"/>
        <v>2.2515831898142187E-3</v>
      </c>
      <c r="I129" s="211">
        <f t="shared" si="23"/>
        <v>1.4103819905321155E-2</v>
      </c>
      <c r="J129" s="201"/>
      <c r="K129" s="222">
        <f t="shared" si="24"/>
        <v>1.3094886676549976E-5</v>
      </c>
      <c r="L129" s="200">
        <f t="shared" si="25"/>
        <v>1.9422022597445738E-3</v>
      </c>
      <c r="M129" s="211">
        <f t="shared" si="18"/>
        <v>4.6857001975007725E-4</v>
      </c>
      <c r="N129" s="222">
        <f t="shared" si="19"/>
        <v>1.0793361714915373E-11</v>
      </c>
      <c r="O129" s="176"/>
      <c r="P129" s="176"/>
      <c r="Q129" s="176"/>
      <c r="R129" s="176"/>
      <c r="S129" s="176"/>
      <c r="T129" s="176"/>
    </row>
    <row r="130" spans="3:31" s="174" customFormat="1" x14ac:dyDescent="0.3">
      <c r="C130" s="174">
        <v>750</v>
      </c>
      <c r="D130" s="168">
        <v>150</v>
      </c>
      <c r="E130" s="200">
        <f t="shared" si="26"/>
        <v>5.9818183034372403E-5</v>
      </c>
      <c r="F130" s="211">
        <f t="shared" si="20"/>
        <v>3.8278916927954011E-10</v>
      </c>
      <c r="G130" s="222">
        <f t="shared" si="21"/>
        <v>6.3919595979180954E-9</v>
      </c>
      <c r="H130" s="200">
        <f t="shared" si="22"/>
        <v>1.4567331301909964E-3</v>
      </c>
      <c r="I130" s="211">
        <f t="shared" si="23"/>
        <v>1.0402710722776711E-2</v>
      </c>
      <c r="J130" s="201"/>
      <c r="K130" s="222">
        <f t="shared" si="24"/>
        <v>5.8657466000867379E-6</v>
      </c>
      <c r="L130" s="200">
        <f t="shared" si="25"/>
        <v>1.2433723400927775E-3</v>
      </c>
      <c r="M130" s="211">
        <f t="shared" si="18"/>
        <v>2.7100211255062529E-4</v>
      </c>
      <c r="N130" s="222">
        <f t="shared" si="19"/>
        <v>1.7775048072829672E-12</v>
      </c>
      <c r="O130" s="176"/>
      <c r="P130" s="176"/>
      <c r="Q130" s="176"/>
      <c r="R130" s="176"/>
      <c r="S130" s="176"/>
      <c r="T130" s="176"/>
    </row>
    <row r="131" spans="3:31" s="174" customFormat="1" x14ac:dyDescent="0.3">
      <c r="C131" s="174">
        <v>800</v>
      </c>
      <c r="D131" s="168">
        <v>160</v>
      </c>
      <c r="E131" s="200">
        <f t="shared" si="26"/>
        <v>3.1281586079292351E-5</v>
      </c>
      <c r="F131" s="211">
        <f t="shared" si="20"/>
        <v>9.0189701733587016E-11</v>
      </c>
      <c r="G131" s="222">
        <f t="shared" si="21"/>
        <v>1.8169499151249946E-9</v>
      </c>
      <c r="H131" s="200">
        <f t="shared" si="22"/>
        <v>9.4247968371586124E-4</v>
      </c>
      <c r="I131" s="211">
        <f t="shared" si="23"/>
        <v>7.672842613435895E-3</v>
      </c>
      <c r="J131" s="201"/>
      <c r="K131" s="222">
        <f t="shared" si="24"/>
        <v>2.6275128625621805E-6</v>
      </c>
      <c r="L131" s="200">
        <f t="shared" si="25"/>
        <v>7.9599061753285547E-4</v>
      </c>
      <c r="M131" s="211">
        <f t="shared" si="18"/>
        <v>1.5673675632528469E-4</v>
      </c>
      <c r="N131" s="222">
        <f t="shared" si="19"/>
        <v>2.9272838466516817E-13</v>
      </c>
      <c r="O131" s="176"/>
      <c r="P131" s="176"/>
      <c r="Q131" s="176"/>
      <c r="R131" s="176"/>
      <c r="S131" s="176"/>
      <c r="T131" s="176"/>
    </row>
    <row r="132" spans="3:31" s="174" customFormat="1" x14ac:dyDescent="0.3">
      <c r="C132" s="174">
        <v>850</v>
      </c>
      <c r="D132" s="168">
        <v>170</v>
      </c>
      <c r="E132" s="200">
        <f t="shared" si="26"/>
        <v>1.6358531436401116E-5</v>
      </c>
      <c r="F132" s="211">
        <f t="shared" si="20"/>
        <v>2.1249771288208064E-11</v>
      </c>
      <c r="G132" s="222">
        <f t="shared" si="21"/>
        <v>5.1647807585454805E-10</v>
      </c>
      <c r="H132" s="200">
        <f t="shared" si="22"/>
        <v>6.0976711231980232E-4</v>
      </c>
      <c r="I132" s="211">
        <f t="shared" si="23"/>
        <v>5.659343544145325E-3</v>
      </c>
      <c r="J132" s="201"/>
      <c r="K132" s="222">
        <f t="shared" si="24"/>
        <v>1.1769727391271202E-6</v>
      </c>
      <c r="L132" s="200">
        <f t="shared" si="25"/>
        <v>5.0958272334822752E-4</v>
      </c>
      <c r="M132" s="211">
        <f t="shared" si="18"/>
        <v>9.065025564618961E-5</v>
      </c>
      <c r="N132" s="222">
        <f t="shared" si="19"/>
        <v>4.8207974930690071E-14</v>
      </c>
      <c r="O132" s="176"/>
      <c r="P132" s="176"/>
      <c r="Q132" s="176"/>
      <c r="R132" s="176"/>
      <c r="S132" s="176"/>
      <c r="T132" s="176"/>
    </row>
    <row r="133" spans="3:31" s="174" customFormat="1" x14ac:dyDescent="0.3">
      <c r="C133" s="174">
        <v>900</v>
      </c>
      <c r="D133" s="168">
        <v>180</v>
      </c>
      <c r="E133" s="200">
        <f t="shared" si="26"/>
        <v>8.5546030203650481E-6</v>
      </c>
      <c r="F133" s="211">
        <f t="shared" si="20"/>
        <v>5.0067000014591656E-12</v>
      </c>
      <c r="G133" s="222">
        <f t="shared" si="21"/>
        <v>1.468117533773977E-10</v>
      </c>
      <c r="H133" s="200">
        <f t="shared" si="22"/>
        <v>3.9450816573667965E-4</v>
      </c>
      <c r="I133" s="212">
        <f t="shared" si="23"/>
        <v>4.174224725341685E-3</v>
      </c>
      <c r="J133" s="201"/>
      <c r="K133" s="222">
        <f t="shared" si="24"/>
        <v>5.2721524160212113E-7</v>
      </c>
      <c r="L133" s="200">
        <f t="shared" si="25"/>
        <v>3.2622815673361575E-4</v>
      </c>
      <c r="M133" s="211">
        <f t="shared" si="18"/>
        <v>5.2428473329289656E-5</v>
      </c>
      <c r="N133" s="222">
        <f t="shared" si="19"/>
        <v>7.9391305000242488E-15</v>
      </c>
      <c r="O133" s="176"/>
      <c r="P133" s="176"/>
      <c r="Q133" s="176"/>
      <c r="R133" s="176"/>
      <c r="S133" s="176"/>
      <c r="T133" s="176"/>
    </row>
    <row r="134" spans="3:31" s="174" customFormat="1" x14ac:dyDescent="0.3">
      <c r="C134" s="174">
        <v>950</v>
      </c>
      <c r="D134" s="168">
        <v>190</v>
      </c>
      <c r="E134" s="200">
        <f t="shared" si="26"/>
        <v>4.4735820645364014E-6</v>
      </c>
      <c r="F134" s="211">
        <f t="shared" si="20"/>
        <v>1.1796383389086884E-12</v>
      </c>
      <c r="G134" s="222">
        <f t="shared" si="21"/>
        <v>4.1732053958115836E-11</v>
      </c>
      <c r="H134" s="200">
        <f t="shared" si="22"/>
        <v>2.5523956554628568E-4</v>
      </c>
      <c r="I134" s="212">
        <f t="shared" si="23"/>
        <v>3.0788291825258416E-3</v>
      </c>
      <c r="J134" s="201"/>
      <c r="K134" s="222">
        <f t="shared" si="24"/>
        <v>2.3616172383374255E-7</v>
      </c>
      <c r="L134" s="200">
        <f t="shared" si="25"/>
        <v>2.0884697492596599E-4</v>
      </c>
      <c r="M134" s="211">
        <f t="shared" si="18"/>
        <v>3.0322526903492163E-5</v>
      </c>
      <c r="N134" s="222">
        <f t="shared" si="19"/>
        <v>1.3074557308626734E-15</v>
      </c>
      <c r="O134" s="176"/>
      <c r="P134" s="176"/>
      <c r="Q134" s="176"/>
      <c r="R134" s="176"/>
      <c r="S134" s="176"/>
      <c r="T134" s="176"/>
    </row>
    <row r="135" spans="3:31" s="174" customFormat="1" x14ac:dyDescent="0.3">
      <c r="C135" s="174">
        <v>1000</v>
      </c>
      <c r="D135" s="168">
        <v>200</v>
      </c>
      <c r="E135" s="200">
        <f t="shared" si="26"/>
        <v>2.3394348563573359E-6</v>
      </c>
      <c r="F135" s="211">
        <f t="shared" si="20"/>
        <v>2.77936886615472E-13</v>
      </c>
      <c r="G135" s="222">
        <f t="shared" si="21"/>
        <v>1.1862567454570198E-11</v>
      </c>
      <c r="H135" s="200">
        <f t="shared" si="22"/>
        <v>1.6513532919807823E-4</v>
      </c>
      <c r="I135" s="212">
        <f t="shared" si="23"/>
        <v>2.2708861546491877E-3</v>
      </c>
      <c r="J135" s="201"/>
      <c r="K135" s="222">
        <f t="shared" si="24"/>
        <v>1.0578669849271007E-7</v>
      </c>
      <c r="L135" s="200">
        <f t="shared" si="25"/>
        <v>1.337010862963093E-4</v>
      </c>
      <c r="M135" s="211">
        <f t="shared" si="18"/>
        <v>1.7537333807874684E-5</v>
      </c>
      <c r="N135" s="222">
        <f t="shared" si="19"/>
        <v>2.1531835106633232E-16</v>
      </c>
      <c r="O135" s="176"/>
      <c r="P135" s="176"/>
      <c r="Q135" s="176"/>
      <c r="R135" s="176"/>
      <c r="S135" s="176"/>
      <c r="T135" s="176"/>
    </row>
    <row r="136" spans="3:31" s="174" customFormat="1" x14ac:dyDescent="0.3">
      <c r="C136" s="174">
        <v>1050</v>
      </c>
      <c r="D136" s="168">
        <v>210</v>
      </c>
      <c r="E136" s="200">
        <f t="shared" si="26"/>
        <v>1.223394445029999E-6</v>
      </c>
      <c r="F136" s="211">
        <f t="shared" si="20"/>
        <v>6.5485251193994853E-14</v>
      </c>
      <c r="G136" s="222">
        <f t="shared" si="21"/>
        <v>3.3720004952418702E-12</v>
      </c>
      <c r="H136" s="200">
        <f t="shared" si="22"/>
        <v>1.0683953677398255E-4</v>
      </c>
      <c r="I136" s="212">
        <f t="shared" si="23"/>
        <v>1.6749626632896486E-3</v>
      </c>
      <c r="J136" s="201"/>
      <c r="K136" s="222">
        <f t="shared" si="24"/>
        <v>4.7386280030145322E-8</v>
      </c>
      <c r="L136" s="200">
        <f t="shared" si="25"/>
        <v>8.5593676820791651E-5</v>
      </c>
      <c r="M136" s="211">
        <f t="shared" si="18"/>
        <v>1.0142890731623172E-5</v>
      </c>
      <c r="N136" s="222">
        <f t="shared" si="19"/>
        <v>3.5459703308909878E-17</v>
      </c>
      <c r="O136" s="176"/>
      <c r="P136" s="176"/>
      <c r="Q136" s="176"/>
      <c r="R136" s="176"/>
      <c r="S136" s="176"/>
      <c r="T136" s="176"/>
    </row>
    <row r="137" spans="3:31" s="174" customFormat="1" x14ac:dyDescent="0.3">
      <c r="C137" s="174">
        <v>1100</v>
      </c>
      <c r="D137" s="168">
        <v>220</v>
      </c>
      <c r="E137" s="200">
        <f t="shared" si="26"/>
        <v>6.3976731989909597E-7</v>
      </c>
      <c r="F137" s="211">
        <f t="shared" si="20"/>
        <v>1.5429107579640958E-14</v>
      </c>
      <c r="G137" s="222">
        <f t="shared" si="21"/>
        <v>9.585098153040082E-13</v>
      </c>
      <c r="H137" s="200">
        <f t="shared" si="22"/>
        <v>6.9123225620529213E-5</v>
      </c>
      <c r="I137" s="212">
        <f t="shared" si="23"/>
        <v>1.2354207707289287E-3</v>
      </c>
      <c r="J137" s="201"/>
      <c r="K137" s="222">
        <f t="shared" si="24"/>
        <v>2.1226293731532598E-8</v>
      </c>
      <c r="L137" s="200">
        <f t="shared" si="25"/>
        <v>5.4795946051370083E-5</v>
      </c>
      <c r="M137" s="211">
        <f t="shared" si="18"/>
        <v>5.8662413295373358E-6</v>
      </c>
      <c r="N137" s="222">
        <f t="shared" si="19"/>
        <v>5.839681348704714E-18</v>
      </c>
      <c r="O137" s="176"/>
      <c r="P137" s="176"/>
      <c r="Q137" s="176"/>
      <c r="R137" s="176"/>
      <c r="S137" s="176"/>
      <c r="T137" s="176"/>
    </row>
    <row r="138" spans="3:31" s="174" customFormat="1" x14ac:dyDescent="0.3">
      <c r="C138" s="174">
        <v>1150</v>
      </c>
      <c r="D138" s="168">
        <v>230</v>
      </c>
      <c r="E138" s="200">
        <f t="shared" si="26"/>
        <v>3.3456276123669638E-7</v>
      </c>
      <c r="F138" s="211">
        <f t="shared" si="20"/>
        <v>3.6352820881591937E-15</v>
      </c>
      <c r="G138" s="222">
        <f t="shared" si="21"/>
        <v>2.7246172333916872E-13</v>
      </c>
      <c r="H138" s="200">
        <f t="shared" si="22"/>
        <v>4.4721462339306421E-5</v>
      </c>
      <c r="I138" s="212">
        <f t="shared" si="23"/>
        <v>9.1122298675652745E-4</v>
      </c>
      <c r="J138" s="201"/>
      <c r="K138" s="222">
        <f t="shared" si="24"/>
        <v>9.5081433970059611E-9</v>
      </c>
      <c r="L138" s="200">
        <f t="shared" si="25"/>
        <v>3.5079643908173567E-5</v>
      </c>
      <c r="M138" s="211">
        <f t="shared" si="18"/>
        <v>3.3927987835934168E-6</v>
      </c>
      <c r="N138" s="222">
        <f t="shared" si="19"/>
        <v>9.6170794090770744E-19</v>
      </c>
      <c r="O138" s="176"/>
      <c r="P138" s="176"/>
      <c r="Q138" s="176"/>
      <c r="R138" s="176"/>
      <c r="S138" s="176"/>
      <c r="T138" s="176"/>
    </row>
    <row r="139" spans="3:31" s="174" customFormat="1" x14ac:dyDescent="0.3">
      <c r="C139" s="174">
        <v>1200</v>
      </c>
      <c r="D139" s="168">
        <v>240</v>
      </c>
      <c r="E139" s="200">
        <f t="shared" si="26"/>
        <v>1.7495773498398863E-7</v>
      </c>
      <c r="F139" s="212">
        <f t="shared" si="20"/>
        <v>8.565158932412148E-16</v>
      </c>
      <c r="G139" s="223">
        <f t="shared" si="21"/>
        <v>7.7448753783918361E-14</v>
      </c>
      <c r="H139" s="202">
        <f t="shared" si="22"/>
        <v>2.8933967936415436E-5</v>
      </c>
      <c r="I139" s="212">
        <f t="shared" si="23"/>
        <v>6.721008350082801E-4</v>
      </c>
      <c r="J139" s="201"/>
      <c r="K139" s="222">
        <f t="shared" si="24"/>
        <v>4.25909449861837E-9</v>
      </c>
      <c r="L139" s="200">
        <f t="shared" si="25"/>
        <v>2.2457526612837628E-5</v>
      </c>
      <c r="M139" s="211">
        <f t="shared" si="18"/>
        <v>1.9622587853645009E-6</v>
      </c>
      <c r="N139" s="222">
        <f t="shared" si="19"/>
        <v>1.5837887521210073E-19</v>
      </c>
      <c r="O139" s="176"/>
      <c r="P139" s="176"/>
      <c r="Q139" s="176"/>
      <c r="R139" s="176"/>
      <c r="S139" s="176"/>
      <c r="T139" s="176"/>
      <c r="Y139" s="3"/>
    </row>
    <row r="140" spans="3:31" s="174" customFormat="1" x14ac:dyDescent="0.3">
      <c r="C140" s="174">
        <v>1250</v>
      </c>
      <c r="D140" s="168">
        <v>250</v>
      </c>
      <c r="E140" s="200">
        <f t="shared" si="26"/>
        <v>9.1493174307798981E-8</v>
      </c>
      <c r="F140" s="212">
        <f t="shared" si="20"/>
        <v>2.0180537784518558E-16</v>
      </c>
      <c r="G140" s="223">
        <f t="shared" si="21"/>
        <v>2.2015237183298404E-14</v>
      </c>
      <c r="H140" s="202">
        <f t="shared" si="22"/>
        <v>1.8719747896296036E-5</v>
      </c>
      <c r="I140" s="212">
        <f t="shared" si="23"/>
        <v>4.9572885998707111E-4</v>
      </c>
      <c r="J140" s="201"/>
      <c r="K140" s="222">
        <f t="shared" si="24"/>
        <v>1.9078262906587317E-9</v>
      </c>
      <c r="L140" s="200">
        <f t="shared" si="25"/>
        <v>1.4377013144332344E-5</v>
      </c>
      <c r="M140" s="211">
        <f t="shared" si="18"/>
        <v>1.1348918065403277E-6</v>
      </c>
      <c r="N140" s="222">
        <f t="shared" si="19"/>
        <v>2.6082625552384215E-20</v>
      </c>
      <c r="O140" s="176"/>
      <c r="P140" s="176"/>
      <c r="Q140" s="176"/>
      <c r="R140" s="176"/>
      <c r="S140" s="176"/>
      <c r="T140" s="176"/>
      <c r="AE140" s="3"/>
    </row>
    <row r="141" spans="3:31" s="174" customFormat="1" x14ac:dyDescent="0.3">
      <c r="C141" s="174">
        <v>1300</v>
      </c>
      <c r="D141" s="168">
        <v>260</v>
      </c>
      <c r="E141" s="200">
        <f t="shared" si="26"/>
        <v>4.7845846573650384E-8</v>
      </c>
      <c r="F141" s="212">
        <f t="shared" si="20"/>
        <v>4.7547758131055364E-17</v>
      </c>
      <c r="G141" s="223">
        <f t="shared" si="21"/>
        <v>6.2579530923004274E-15</v>
      </c>
      <c r="H141" s="202">
        <f t="shared" si="22"/>
        <v>1.2111334403597008E-5</v>
      </c>
      <c r="I141" s="212">
        <f t="shared" si="23"/>
        <v>3.6564022810811359E-4</v>
      </c>
      <c r="J141" s="201"/>
      <c r="K141" s="222">
        <f t="shared" si="24"/>
        <v>8.5459506862535929E-10</v>
      </c>
      <c r="L141" s="200">
        <f t="shared" si="25"/>
        <v>9.2039747081563365E-6</v>
      </c>
      <c r="M141" s="211">
        <f t="shared" si="18"/>
        <v>6.5637591848677784E-7</v>
      </c>
      <c r="N141" s="222">
        <f t="shared" si="19"/>
        <v>4.2954172694737525E-21</v>
      </c>
      <c r="O141" s="176"/>
      <c r="P141" s="176"/>
      <c r="Q141" s="176"/>
      <c r="R141" s="176"/>
      <c r="S141" s="176"/>
      <c r="T141" s="176"/>
    </row>
    <row r="142" spans="3:31" s="174" customFormat="1" x14ac:dyDescent="0.3">
      <c r="C142" s="174">
        <v>1350</v>
      </c>
      <c r="D142" s="168">
        <v>270</v>
      </c>
      <c r="E142" s="200">
        <f t="shared" si="26"/>
        <v>2.5020719323257183E-8</v>
      </c>
      <c r="F142" s="212">
        <f t="shared" si="20"/>
        <v>1.1202819902171701E-17</v>
      </c>
      <c r="G142" s="223">
        <f t="shared" si="21"/>
        <v>1.7788578237595295E-15</v>
      </c>
      <c r="H142" s="202">
        <f t="shared" si="22"/>
        <v>7.8358117773998481E-6</v>
      </c>
      <c r="I142" s="212">
        <f t="shared" si="23"/>
        <v>2.6968931446605708E-4</v>
      </c>
      <c r="J142" s="201"/>
      <c r="K142" s="222">
        <f t="shared" si="24"/>
        <v>3.8280882011884808E-10</v>
      </c>
      <c r="L142" s="200">
        <f t="shared" si="25"/>
        <v>5.8922635444467618E-6</v>
      </c>
      <c r="M142" s="211">
        <f t="shared" si="18"/>
        <v>3.7962151447962827E-7</v>
      </c>
      <c r="N142" s="222">
        <f t="shared" si="19"/>
        <v>7.0739080626055971E-22</v>
      </c>
      <c r="O142" s="176"/>
      <c r="P142" s="176"/>
      <c r="Q142" s="176"/>
      <c r="R142" s="176"/>
      <c r="S142" s="176"/>
      <c r="T142" s="176"/>
    </row>
    <row r="143" spans="3:31" s="174" customFormat="1" x14ac:dyDescent="0.3">
      <c r="C143" s="174">
        <v>1400</v>
      </c>
      <c r="D143" s="168">
        <v>280</v>
      </c>
      <c r="E143" s="200">
        <f t="shared" si="26"/>
        <v>1.3084445992392322E-8</v>
      </c>
      <c r="F143" s="212">
        <f t="shared" si="20"/>
        <v>2.6395182169172175E-18</v>
      </c>
      <c r="G143" s="223">
        <f t="shared" si="21"/>
        <v>5.0565018792547381E-16</v>
      </c>
      <c r="H143" s="202">
        <f t="shared" si="22"/>
        <v>5.0696268606539723E-6</v>
      </c>
      <c r="I143" s="212">
        <f t="shared" si="23"/>
        <v>1.989177359217332E-4</v>
      </c>
      <c r="J143" s="201"/>
      <c r="K143" s="222">
        <f t="shared" si="24"/>
        <v>1.7147605707168606E-10</v>
      </c>
      <c r="L143" s="200">
        <f t="shared" si="25"/>
        <v>3.7721496177569296E-6</v>
      </c>
      <c r="M143" s="211">
        <f t="shared" si="18"/>
        <v>2.1955786340858783E-7</v>
      </c>
      <c r="N143" s="222">
        <f t="shared" si="19"/>
        <v>1.1649665710900093E-22</v>
      </c>
      <c r="O143" s="176"/>
      <c r="P143" s="176"/>
      <c r="Q143" s="176"/>
      <c r="R143" s="176"/>
      <c r="S143" s="176"/>
      <c r="T143" s="176"/>
    </row>
    <row r="144" spans="3:31" s="174" customFormat="1" x14ac:dyDescent="0.3">
      <c r="C144" s="174">
        <v>1450</v>
      </c>
      <c r="D144" s="168">
        <v>290</v>
      </c>
      <c r="E144" s="200">
        <f t="shared" si="26"/>
        <v>6.8424382495148743E-9</v>
      </c>
      <c r="F144" s="212">
        <f t="shared" si="20"/>
        <v>6.219020280855636E-19</v>
      </c>
      <c r="G144" s="223">
        <f t="shared" si="21"/>
        <v>1.437338662674543E-16</v>
      </c>
      <c r="H144" s="202">
        <f t="shared" si="22"/>
        <v>3.2799558279834954E-6</v>
      </c>
      <c r="I144" s="212">
        <f t="shared" si="23"/>
        <v>1.4671795856119598E-4</v>
      </c>
      <c r="J144" s="201"/>
      <c r="K144" s="222">
        <f t="shared" si="24"/>
        <v>7.6811287001493995E-11</v>
      </c>
      <c r="L144" s="200">
        <f t="shared" si="25"/>
        <v>2.4148805686320892E-6</v>
      </c>
      <c r="M144" s="211">
        <f t="shared" si="18"/>
        <v>1.2698346523015927E-7</v>
      </c>
      <c r="N144" s="222">
        <f t="shared" si="19"/>
        <v>1.9185252335006076E-23</v>
      </c>
      <c r="O144" s="176"/>
      <c r="P144" s="176"/>
      <c r="Q144" s="176"/>
      <c r="R144" s="176"/>
      <c r="S144" s="176"/>
      <c r="T144" s="176"/>
    </row>
    <row r="145" spans="2:20" s="174" customFormat="1" x14ac:dyDescent="0.3">
      <c r="C145" s="174">
        <v>1500</v>
      </c>
      <c r="D145" s="168">
        <v>300</v>
      </c>
      <c r="E145" s="200">
        <f t="shared" si="26"/>
        <v>3.5782150215336791E-9</v>
      </c>
      <c r="F145" s="212">
        <f t="shared" si="20"/>
        <v>1.4652754811772041E-19</v>
      </c>
      <c r="G145" s="223">
        <f t="shared" si="21"/>
        <v>4.0857147501417252E-17</v>
      </c>
      <c r="H145" s="202">
        <f t="shared" si="22"/>
        <v>2.1220714125960588E-6</v>
      </c>
      <c r="I145" s="212">
        <f t="shared" si="23"/>
        <v>1.0821639038177357E-4</v>
      </c>
      <c r="J145" s="201"/>
      <c r="K145" s="222">
        <f t="shared" si="24"/>
        <v>3.4406983176429124E-11</v>
      </c>
      <c r="L145" s="200">
        <f t="shared" si="25"/>
        <v>1.5459747761077897E-6</v>
      </c>
      <c r="M145" s="211">
        <f t="shared" si="18"/>
        <v>7.344214500690177E-8</v>
      </c>
      <c r="N145" s="222">
        <f t="shared" si="19"/>
        <v>3.1595233399140577E-24</v>
      </c>
      <c r="O145" s="176"/>
      <c r="P145" s="176"/>
      <c r="Q145" s="176"/>
      <c r="R145" s="176"/>
      <c r="S145" s="176"/>
      <c r="T145" s="176"/>
    </row>
    <row r="146" spans="2:20" s="174" customFormat="1" x14ac:dyDescent="0.3">
      <c r="C146" s="174">
        <v>1550</v>
      </c>
      <c r="D146" s="168">
        <v>310</v>
      </c>
      <c r="E146" s="200">
        <f t="shared" si="26"/>
        <v>1.8712076416965826E-9</v>
      </c>
      <c r="F146" s="212">
        <f t="shared" si="20"/>
        <v>3.4523641004169147E-20</v>
      </c>
      <c r="G146" s="223">
        <f t="shared" si="21"/>
        <v>1.1613870448919635E-17</v>
      </c>
      <c r="H146" s="202">
        <f t="shared" si="22"/>
        <v>1.3729413798008268E-6</v>
      </c>
      <c r="I146" s="212">
        <f t="shared" si="23"/>
        <v>7.9818362128967682E-5</v>
      </c>
      <c r="J146" s="201"/>
      <c r="K146" s="222">
        <f t="shared" si="24"/>
        <v>1.5412324640258227E-11</v>
      </c>
      <c r="L146" s="200">
        <f t="shared" si="25"/>
        <v>9.8971271681372167E-7</v>
      </c>
      <c r="M146" s="211">
        <f t="shared" si="18"/>
        <v>4.2475992078484736E-8</v>
      </c>
      <c r="N146" s="222">
        <f t="shared" si="19"/>
        <v>5.2032611097051396E-25</v>
      </c>
      <c r="O146" s="176"/>
      <c r="P146" s="176"/>
      <c r="Q146" s="176"/>
      <c r="R146" s="176"/>
      <c r="S146" s="176"/>
      <c r="T146" s="176"/>
    </row>
    <row r="147" spans="2:20" s="174" customFormat="1" x14ac:dyDescent="0.3">
      <c r="C147" s="174">
        <v>1600</v>
      </c>
      <c r="D147" s="168">
        <v>320</v>
      </c>
      <c r="E147" s="200">
        <f t="shared" si="26"/>
        <v>9.7853762763617693E-10</v>
      </c>
      <c r="F147" s="212">
        <f t="shared" si="20"/>
        <v>8.1341822987933874E-21</v>
      </c>
      <c r="G147" s="223">
        <f t="shared" si="21"/>
        <v>3.3013069940727245E-18</v>
      </c>
      <c r="H147" s="202">
        <f t="shared" si="22"/>
        <v>8.8826795421714975E-7</v>
      </c>
      <c r="I147" s="212">
        <f t="shared" si="23"/>
        <v>5.8872513770557783E-5</v>
      </c>
      <c r="J147" s="201"/>
      <c r="K147" s="222">
        <f t="shared" si="24"/>
        <v>6.903823842929705E-12</v>
      </c>
      <c r="L147" s="200">
        <f t="shared" si="25"/>
        <v>6.3360106320033663E-7</v>
      </c>
      <c r="M147" s="211">
        <f t="shared" si="18"/>
        <v>2.4566410783371676E-8</v>
      </c>
      <c r="N147" s="222">
        <f t="shared" si="19"/>
        <v>8.5689907188678668E-26</v>
      </c>
      <c r="O147" s="176"/>
      <c r="P147" s="176"/>
      <c r="Q147" s="176"/>
      <c r="R147" s="176"/>
      <c r="S147" s="176"/>
      <c r="T147" s="176"/>
    </row>
    <row r="148" spans="2:20" s="174" customFormat="1" x14ac:dyDescent="0.3">
      <c r="C148" s="174">
        <v>1650</v>
      </c>
      <c r="D148" s="168">
        <v>330</v>
      </c>
      <c r="E148" s="200">
        <f t="shared" si="26"/>
        <v>5.1172080925859239E-10</v>
      </c>
      <c r="F148" s="212">
        <f t="shared" si="20"/>
        <v>1.9165105343904331E-21</v>
      </c>
      <c r="G148" s="223">
        <f t="shared" si="21"/>
        <v>9.3841479608783817E-19</v>
      </c>
      <c r="H148" s="202">
        <f t="shared" si="22"/>
        <v>5.746931151595018E-7</v>
      </c>
      <c r="I148" s="212">
        <f t="shared" si="23"/>
        <v>4.3423252309591623E-5</v>
      </c>
      <c r="J148" s="201"/>
      <c r="K148" s="222">
        <f t="shared" si="24"/>
        <v>3.09251101094155E-12</v>
      </c>
      <c r="L148" s="200">
        <f t="shared" si="25"/>
        <v>4.0562306664203028E-7</v>
      </c>
      <c r="M148" s="211">
        <f t="shared" si="18"/>
        <v>1.4208227030041608E-8</v>
      </c>
      <c r="N148" s="222">
        <f t="shared" si="19"/>
        <v>1.4111842629439777E-26</v>
      </c>
      <c r="O148" s="176"/>
      <c r="P148" s="176"/>
      <c r="Q148" s="176"/>
      <c r="R148" s="176"/>
      <c r="S148" s="176"/>
      <c r="T148" s="176"/>
    </row>
    <row r="149" spans="2:20" s="174" customFormat="1" x14ac:dyDescent="0.3">
      <c r="C149" s="174">
        <v>1700</v>
      </c>
      <c r="D149" s="168">
        <v>340</v>
      </c>
      <c r="E149" s="203">
        <f t="shared" si="26"/>
        <v>2.676015507557236E-10</v>
      </c>
      <c r="F149" s="213">
        <f t="shared" si="20"/>
        <v>4.5155277980115184E-22</v>
      </c>
      <c r="G149" s="224">
        <f t="shared" si="21"/>
        <v>2.6674960283841622E-19</v>
      </c>
      <c r="H149" s="204">
        <f t="shared" si="22"/>
        <v>3.7181593126683043E-7</v>
      </c>
      <c r="I149" s="213">
        <f t="shared" si="23"/>
        <v>3.202816935065937E-5</v>
      </c>
      <c r="J149" s="205"/>
      <c r="K149" s="226">
        <f t="shared" si="24"/>
        <v>1.3852648286483961E-12</v>
      </c>
      <c r="L149" s="203">
        <f t="shared" si="25"/>
        <v>2.5967455193499619E-7</v>
      </c>
      <c r="M149" s="217">
        <f t="shared" si="18"/>
        <v>8.2174688487195308E-9</v>
      </c>
      <c r="N149" s="226">
        <f t="shared" si="19"/>
        <v>2.3240088469180424E-27</v>
      </c>
      <c r="O149" s="176"/>
      <c r="P149" s="176"/>
      <c r="Q149" s="176"/>
      <c r="R149" s="176"/>
      <c r="S149" s="176"/>
      <c r="T149" s="176"/>
    </row>
    <row r="150" spans="2:20" s="174" customFormat="1" x14ac:dyDescent="0.3">
      <c r="D150" s="168"/>
      <c r="E150" s="176"/>
      <c r="F150" s="206"/>
      <c r="G150" s="206"/>
      <c r="H150" s="206"/>
      <c r="I150" s="206"/>
      <c r="J150" s="176"/>
      <c r="K150" s="176"/>
      <c r="L150" s="176"/>
      <c r="M150" s="176"/>
      <c r="N150" s="176"/>
      <c r="O150" s="176"/>
      <c r="P150" s="176"/>
      <c r="Q150" s="176"/>
      <c r="R150" s="176"/>
      <c r="S150" s="176"/>
      <c r="T150" s="176"/>
    </row>
    <row r="151" spans="2:20" s="174" customFormat="1" x14ac:dyDescent="0.3">
      <c r="D151" s="168"/>
      <c r="E151" s="176"/>
      <c r="F151" s="206"/>
      <c r="G151" s="206"/>
      <c r="H151" s="206"/>
      <c r="I151" s="206"/>
      <c r="J151" s="176"/>
      <c r="K151" s="176"/>
      <c r="L151" s="176"/>
      <c r="M151" s="176"/>
      <c r="N151" s="176"/>
      <c r="O151" s="176"/>
      <c r="P151" s="176"/>
      <c r="Q151" s="176"/>
      <c r="R151" s="176"/>
      <c r="S151" s="176"/>
      <c r="T151" s="176"/>
    </row>
    <row r="152" spans="2:20" s="174" customFormat="1" x14ac:dyDescent="0.3">
      <c r="D152" s="168"/>
      <c r="E152" s="176"/>
      <c r="F152" s="176"/>
      <c r="G152" s="176"/>
      <c r="H152" s="176"/>
      <c r="I152" s="176"/>
      <c r="J152" s="176"/>
      <c r="K152" s="176"/>
      <c r="L152" s="176"/>
      <c r="M152" s="176"/>
      <c r="N152" s="176"/>
      <c r="O152" s="176"/>
      <c r="P152" s="176"/>
      <c r="Q152" s="176"/>
      <c r="R152" s="176"/>
      <c r="S152" s="176"/>
      <c r="T152" s="176"/>
    </row>
    <row r="153" spans="2:20" s="174" customFormat="1" x14ac:dyDescent="0.3">
      <c r="B153" s="207"/>
      <c r="D153" s="168"/>
      <c r="E153" s="176"/>
      <c r="F153" s="176"/>
      <c r="G153" s="176"/>
      <c r="H153" s="176"/>
      <c r="I153" s="176"/>
      <c r="J153" s="176"/>
      <c r="K153" s="176"/>
      <c r="L153" s="208"/>
      <c r="M153" s="176"/>
      <c r="N153" s="168"/>
      <c r="O153" s="168"/>
      <c r="P153" s="176"/>
      <c r="Q153" s="176"/>
      <c r="R153" s="176"/>
      <c r="S153" s="176"/>
      <c r="T153" s="176"/>
    </row>
    <row r="154" spans="2:20" s="174" customFormat="1" x14ac:dyDescent="0.3">
      <c r="D154" s="168"/>
      <c r="E154" s="176"/>
      <c r="F154" s="176"/>
      <c r="G154" s="176"/>
      <c r="H154" s="176"/>
      <c r="I154" s="176"/>
      <c r="J154" s="176"/>
      <c r="K154" s="176"/>
      <c r="L154" s="208"/>
      <c r="M154" s="176"/>
      <c r="N154" s="168"/>
      <c r="O154" s="168"/>
      <c r="P154" s="176"/>
      <c r="Q154" s="176"/>
      <c r="R154" s="176"/>
      <c r="S154" s="176"/>
      <c r="T154" s="176"/>
    </row>
    <row r="155" spans="2:20" s="174" customFormat="1" x14ac:dyDescent="0.3">
      <c r="D155" s="168"/>
      <c r="E155" s="176"/>
      <c r="F155" s="176"/>
      <c r="G155" s="176"/>
      <c r="H155" s="176"/>
      <c r="I155" s="176"/>
      <c r="J155" s="176"/>
      <c r="K155" s="176"/>
      <c r="L155" s="208"/>
      <c r="M155" s="176"/>
      <c r="N155" s="168"/>
      <c r="O155" s="168"/>
      <c r="P155" s="176"/>
      <c r="Q155" s="176"/>
      <c r="R155" s="176"/>
      <c r="S155" s="176"/>
      <c r="T155" s="176"/>
    </row>
    <row r="156" spans="2:20" s="174" customFormat="1" x14ac:dyDescent="0.3">
      <c r="D156" s="168"/>
      <c r="E156" s="176"/>
      <c r="F156" s="176"/>
      <c r="G156" s="176"/>
      <c r="H156" s="176"/>
      <c r="I156" s="176"/>
      <c r="J156" s="176"/>
      <c r="K156" s="176"/>
      <c r="L156" s="176"/>
      <c r="M156" s="176"/>
      <c r="N156" s="176"/>
      <c r="O156" s="176"/>
      <c r="P156" s="176"/>
      <c r="Q156" s="176"/>
      <c r="R156" s="176"/>
      <c r="S156" s="176"/>
      <c r="T156" s="176"/>
    </row>
    <row r="157" spans="2:20" s="174" customFormat="1" x14ac:dyDescent="0.3">
      <c r="D157" s="168"/>
      <c r="E157" s="177"/>
      <c r="F157" s="176"/>
      <c r="G157" s="176"/>
      <c r="H157" s="176"/>
      <c r="I157" s="176"/>
      <c r="J157" s="176"/>
      <c r="K157" s="176"/>
      <c r="L157" s="176"/>
      <c r="M157" s="176"/>
      <c r="N157" s="176"/>
      <c r="O157" s="176"/>
      <c r="P157" s="176"/>
      <c r="Q157" s="176"/>
      <c r="R157" s="176"/>
      <c r="S157" s="176"/>
      <c r="T157" s="176"/>
    </row>
    <row r="158" spans="2:20" s="174" customFormat="1" x14ac:dyDescent="0.3">
      <c r="D158" s="168"/>
      <c r="E158" s="177"/>
      <c r="F158" s="176"/>
      <c r="G158" s="176"/>
      <c r="H158" s="176"/>
      <c r="I158" s="176"/>
      <c r="J158" s="176"/>
      <c r="K158" s="176"/>
      <c r="L158" s="176"/>
      <c r="M158" s="176"/>
      <c r="N158" s="176"/>
      <c r="O158" s="176"/>
      <c r="P158" s="176"/>
      <c r="Q158" s="176"/>
      <c r="R158" s="176"/>
      <c r="S158" s="176"/>
      <c r="T158" s="176"/>
    </row>
    <row r="159" spans="2:20" s="174" customFormat="1" x14ac:dyDescent="0.3">
      <c r="D159" s="168"/>
      <c r="E159" s="177"/>
      <c r="F159" s="177"/>
      <c r="G159" s="177"/>
      <c r="H159" s="177"/>
      <c r="I159" s="176"/>
      <c r="J159" s="176"/>
      <c r="K159" s="176"/>
      <c r="L159" s="176"/>
      <c r="M159" s="176"/>
      <c r="N159" s="176"/>
      <c r="O159" s="176"/>
      <c r="P159" s="176"/>
      <c r="Q159" s="176"/>
      <c r="R159" s="176"/>
      <c r="S159" s="176"/>
      <c r="T159" s="176"/>
    </row>
    <row r="160" spans="2:20" s="174" customFormat="1" x14ac:dyDescent="0.3">
      <c r="D160" s="168"/>
      <c r="E160" s="177"/>
      <c r="F160" s="177"/>
      <c r="G160" s="177"/>
      <c r="H160" s="177"/>
      <c r="I160" s="176"/>
      <c r="J160" s="176"/>
      <c r="K160" s="176"/>
      <c r="L160" s="176"/>
      <c r="M160" s="176"/>
      <c r="N160" s="176"/>
      <c r="O160" s="176"/>
      <c r="P160" s="176"/>
      <c r="Q160" s="176"/>
      <c r="R160" s="176"/>
      <c r="S160" s="176"/>
      <c r="T160" s="176"/>
    </row>
    <row r="161" spans="4:20" s="174" customFormat="1" x14ac:dyDescent="0.3">
      <c r="D161" s="168"/>
      <c r="E161" s="177"/>
      <c r="F161" s="177"/>
      <c r="G161" s="177"/>
      <c r="H161" s="177"/>
      <c r="I161" s="176"/>
      <c r="J161" s="176"/>
      <c r="K161" s="176"/>
      <c r="L161" s="176"/>
      <c r="M161" s="176"/>
      <c r="N161" s="176"/>
      <c r="O161" s="176"/>
      <c r="P161" s="176"/>
      <c r="Q161" s="176"/>
      <c r="R161" s="176"/>
      <c r="S161" s="176"/>
      <c r="T161" s="176"/>
    </row>
    <row r="162" spans="4:20" s="174" customFormat="1" x14ac:dyDescent="0.3">
      <c r="D162" s="168"/>
      <c r="E162" s="177"/>
      <c r="F162" s="177"/>
      <c r="G162" s="177"/>
      <c r="H162" s="177"/>
      <c r="I162" s="176"/>
      <c r="J162" s="176"/>
      <c r="K162" s="176"/>
      <c r="L162" s="176"/>
      <c r="M162" s="176"/>
      <c r="N162" s="176"/>
      <c r="O162" s="176"/>
      <c r="P162" s="176"/>
      <c r="Q162" s="176"/>
      <c r="R162" s="176"/>
      <c r="S162" s="176"/>
      <c r="T162" s="176"/>
    </row>
    <row r="163" spans="4:20" s="174" customFormat="1" x14ac:dyDescent="0.3">
      <c r="D163" s="168"/>
      <c r="E163" s="177"/>
      <c r="F163" s="177"/>
      <c r="G163" s="177"/>
      <c r="H163" s="177"/>
      <c r="I163" s="176"/>
      <c r="J163" s="176"/>
      <c r="K163" s="176"/>
      <c r="L163" s="176"/>
      <c r="M163" s="176"/>
      <c r="N163" s="176"/>
      <c r="O163" s="176"/>
      <c r="P163" s="176"/>
      <c r="Q163" s="176"/>
      <c r="R163" s="176"/>
      <c r="S163" s="176"/>
      <c r="T163" s="176"/>
    </row>
    <row r="164" spans="4:20" s="174" customFormat="1" x14ac:dyDescent="0.3">
      <c r="D164" s="168"/>
      <c r="E164" s="177"/>
      <c r="F164" s="177"/>
      <c r="G164" s="177"/>
      <c r="H164" s="177"/>
      <c r="I164" s="176"/>
      <c r="J164" s="176"/>
      <c r="K164" s="176"/>
      <c r="L164" s="176"/>
      <c r="M164" s="176"/>
      <c r="N164" s="176"/>
      <c r="O164" s="176"/>
      <c r="P164" s="176"/>
      <c r="Q164" s="176"/>
      <c r="R164" s="176"/>
      <c r="S164" s="176"/>
      <c r="T164" s="176"/>
    </row>
    <row r="165" spans="4:20" s="174" customFormat="1" x14ac:dyDescent="0.3">
      <c r="D165" s="168"/>
      <c r="E165" s="177"/>
      <c r="F165" s="177"/>
      <c r="G165" s="177"/>
      <c r="H165" s="177"/>
      <c r="I165" s="176"/>
      <c r="J165" s="176"/>
      <c r="K165" s="176"/>
      <c r="L165" s="176"/>
      <c r="M165" s="176"/>
      <c r="N165" s="176"/>
      <c r="O165" s="176"/>
      <c r="P165" s="176"/>
      <c r="Q165" s="176"/>
      <c r="R165" s="176"/>
      <c r="S165" s="176"/>
      <c r="T165" s="176"/>
    </row>
    <row r="166" spans="4:20" s="174" customFormat="1" x14ac:dyDescent="0.3">
      <c r="D166" s="168"/>
      <c r="E166" s="177"/>
      <c r="F166" s="177"/>
      <c r="G166" s="177"/>
      <c r="H166" s="177"/>
      <c r="I166" s="176"/>
      <c r="J166" s="176"/>
      <c r="K166" s="176"/>
      <c r="L166" s="176"/>
      <c r="M166" s="176"/>
      <c r="N166" s="176"/>
      <c r="O166" s="176"/>
      <c r="P166" s="176"/>
      <c r="Q166" s="176"/>
      <c r="R166" s="176"/>
      <c r="S166" s="176"/>
      <c r="T166" s="176"/>
    </row>
    <row r="167" spans="4:20" s="174" customFormat="1" x14ac:dyDescent="0.3">
      <c r="D167" s="168"/>
      <c r="E167" s="177"/>
      <c r="F167" s="177"/>
      <c r="G167" s="177"/>
      <c r="H167" s="177"/>
      <c r="I167" s="176"/>
      <c r="J167" s="176"/>
      <c r="K167" s="176"/>
      <c r="L167" s="176"/>
      <c r="M167" s="176"/>
      <c r="N167" s="176"/>
      <c r="O167" s="176"/>
      <c r="P167" s="176"/>
      <c r="Q167" s="176"/>
      <c r="R167" s="176"/>
      <c r="S167" s="176"/>
      <c r="T167" s="176"/>
    </row>
    <row r="168" spans="4:20" s="174" customFormat="1" x14ac:dyDescent="0.3">
      <c r="D168" s="168"/>
      <c r="E168" s="177"/>
      <c r="F168" s="177"/>
      <c r="G168" s="177"/>
      <c r="H168" s="177"/>
      <c r="I168" s="176"/>
      <c r="J168" s="176"/>
      <c r="K168" s="176"/>
      <c r="L168" s="176"/>
      <c r="M168" s="176"/>
      <c r="N168" s="176"/>
      <c r="O168" s="176"/>
      <c r="P168" s="176"/>
      <c r="Q168" s="176"/>
      <c r="R168" s="176"/>
      <c r="S168" s="176"/>
      <c r="T168" s="176"/>
    </row>
    <row r="169" spans="4:20" s="174" customFormat="1" x14ac:dyDescent="0.3">
      <c r="D169" s="168"/>
      <c r="E169" s="177"/>
      <c r="F169" s="177"/>
      <c r="G169" s="177"/>
      <c r="H169" s="177"/>
      <c r="I169" s="176"/>
      <c r="J169" s="176"/>
      <c r="K169" s="176"/>
      <c r="L169" s="176"/>
      <c r="M169" s="176"/>
      <c r="N169" s="176"/>
      <c r="O169" s="176"/>
      <c r="P169" s="176"/>
      <c r="Q169" s="176"/>
      <c r="R169" s="176"/>
      <c r="S169" s="176"/>
      <c r="T169" s="176"/>
    </row>
    <row r="170" spans="4:20" s="174" customFormat="1" x14ac:dyDescent="0.3">
      <c r="D170" s="168"/>
      <c r="E170" s="177"/>
      <c r="F170" s="177"/>
      <c r="G170" s="177"/>
      <c r="H170" s="177"/>
      <c r="I170" s="176"/>
      <c r="J170" s="176"/>
      <c r="K170" s="176"/>
      <c r="L170" s="176"/>
      <c r="M170" s="176"/>
      <c r="N170" s="176"/>
      <c r="O170" s="176"/>
      <c r="P170" s="176"/>
      <c r="Q170" s="176"/>
      <c r="R170" s="176"/>
      <c r="S170" s="176"/>
      <c r="T170" s="176"/>
    </row>
    <row r="171" spans="4:20" s="174" customFormat="1" x14ac:dyDescent="0.3">
      <c r="D171" s="168"/>
      <c r="E171" s="177"/>
      <c r="F171" s="177"/>
      <c r="G171" s="177"/>
      <c r="H171" s="177"/>
      <c r="I171" s="176"/>
      <c r="J171" s="176"/>
      <c r="K171" s="176"/>
      <c r="L171" s="176"/>
      <c r="M171" s="176"/>
      <c r="N171" s="176"/>
      <c r="O171" s="176"/>
      <c r="P171" s="176"/>
      <c r="Q171" s="176"/>
      <c r="R171" s="176"/>
      <c r="S171" s="176"/>
      <c r="T171" s="176"/>
    </row>
    <row r="172" spans="4:20" s="174" customFormat="1" x14ac:dyDescent="0.3">
      <c r="D172" s="168"/>
      <c r="E172" s="177"/>
      <c r="F172" s="177"/>
      <c r="G172" s="177"/>
      <c r="H172" s="177"/>
      <c r="I172" s="176"/>
      <c r="J172" s="176"/>
      <c r="K172" s="176"/>
      <c r="L172" s="176"/>
      <c r="M172" s="176"/>
      <c r="N172" s="176"/>
      <c r="O172" s="176"/>
      <c r="P172" s="176"/>
      <c r="Q172" s="176"/>
      <c r="R172" s="176"/>
      <c r="S172" s="176"/>
      <c r="T172" s="176"/>
    </row>
    <row r="173" spans="4:20" s="174" customFormat="1" x14ac:dyDescent="0.3">
      <c r="D173" s="168"/>
      <c r="E173" s="176"/>
      <c r="F173" s="177"/>
      <c r="G173" s="177"/>
      <c r="H173" s="177"/>
      <c r="I173" s="176"/>
      <c r="J173" s="176"/>
      <c r="K173" s="176"/>
      <c r="L173" s="176"/>
      <c r="M173" s="176"/>
      <c r="N173" s="176"/>
      <c r="O173" s="176"/>
      <c r="P173" s="176"/>
      <c r="Q173" s="176"/>
      <c r="R173" s="176"/>
      <c r="S173" s="176"/>
      <c r="T173" s="176"/>
    </row>
    <row r="174" spans="4:20" s="174" customFormat="1" x14ac:dyDescent="0.3">
      <c r="D174" s="168"/>
      <c r="E174" s="176"/>
      <c r="F174" s="177"/>
      <c r="G174" s="177"/>
      <c r="H174" s="177"/>
      <c r="I174" s="176"/>
      <c r="J174" s="176"/>
      <c r="K174" s="176"/>
      <c r="L174" s="176"/>
      <c r="M174" s="176"/>
      <c r="N174" s="176"/>
      <c r="O174" s="176"/>
      <c r="P174" s="176"/>
      <c r="Q174" s="176"/>
      <c r="R174" s="176"/>
      <c r="S174" s="176"/>
      <c r="T174" s="176"/>
    </row>
    <row r="175" spans="4:20" s="174" customFormat="1" x14ac:dyDescent="0.3">
      <c r="D175" s="168"/>
      <c r="E175" s="176"/>
      <c r="F175" s="176"/>
      <c r="G175" s="176"/>
      <c r="H175" s="176"/>
      <c r="I175" s="176"/>
      <c r="J175" s="176"/>
      <c r="K175" s="176"/>
      <c r="L175" s="176"/>
      <c r="M175" s="176"/>
      <c r="N175" s="176"/>
      <c r="O175" s="176"/>
      <c r="P175" s="176"/>
      <c r="Q175" s="176"/>
      <c r="R175" s="176"/>
      <c r="S175" s="176"/>
      <c r="T175" s="176"/>
    </row>
    <row r="176" spans="4:20" s="174" customFormat="1" x14ac:dyDescent="0.3">
      <c r="D176" s="168"/>
      <c r="E176" s="176"/>
      <c r="F176" s="176"/>
      <c r="G176" s="176"/>
      <c r="H176" s="176"/>
      <c r="I176" s="176"/>
      <c r="J176" s="176"/>
      <c r="K176" s="176"/>
      <c r="L176" s="176"/>
      <c r="M176" s="176"/>
      <c r="N176" s="176"/>
      <c r="O176" s="176"/>
      <c r="P176" s="176"/>
      <c r="Q176" s="176"/>
      <c r="R176" s="176"/>
      <c r="S176" s="176"/>
      <c r="T176" s="176"/>
    </row>
    <row r="177" spans="2:20" s="174" customFormat="1" x14ac:dyDescent="0.3">
      <c r="D177" s="168"/>
      <c r="E177" s="176"/>
      <c r="F177" s="176"/>
      <c r="G177" s="176"/>
      <c r="H177" s="176"/>
      <c r="I177" s="176"/>
      <c r="J177" s="176"/>
      <c r="K177" s="176"/>
      <c r="L177" s="176"/>
      <c r="M177" s="176"/>
      <c r="N177" s="176"/>
      <c r="O177" s="176"/>
      <c r="P177" s="176"/>
      <c r="Q177" s="176"/>
      <c r="R177" s="176"/>
      <c r="S177" s="176"/>
      <c r="T177" s="176"/>
    </row>
    <row r="178" spans="2:20" s="174" customFormat="1" x14ac:dyDescent="0.3">
      <c r="D178" s="168"/>
      <c r="E178" s="176"/>
      <c r="F178" s="176"/>
      <c r="G178" s="176"/>
      <c r="H178" s="176"/>
      <c r="I178" s="176"/>
      <c r="J178" s="176"/>
      <c r="K178" s="176"/>
      <c r="L178" s="176"/>
      <c r="M178" s="176"/>
      <c r="N178" s="176"/>
      <c r="O178" s="176"/>
      <c r="P178" s="176"/>
      <c r="Q178" s="176"/>
      <c r="R178" s="176"/>
      <c r="S178" s="176"/>
      <c r="T178" s="176"/>
    </row>
    <row r="179" spans="2:20" s="174" customFormat="1" x14ac:dyDescent="0.3">
      <c r="D179" s="168"/>
      <c r="E179" s="176"/>
      <c r="F179" s="176"/>
      <c r="G179" s="176"/>
      <c r="H179" s="176"/>
      <c r="I179" s="176"/>
      <c r="J179" s="176"/>
      <c r="K179" s="176"/>
      <c r="L179" s="176"/>
      <c r="M179" s="176"/>
      <c r="N179" s="176"/>
      <c r="O179" s="176"/>
      <c r="P179" s="176"/>
      <c r="Q179" s="176"/>
      <c r="R179" s="176"/>
      <c r="S179" s="176"/>
      <c r="T179" s="176"/>
    </row>
    <row r="180" spans="2:20" s="174" customFormat="1" x14ac:dyDescent="0.3">
      <c r="D180" s="168"/>
      <c r="E180" s="176"/>
      <c r="F180" s="176"/>
      <c r="G180" s="176"/>
      <c r="H180" s="176"/>
      <c r="I180" s="176"/>
      <c r="J180" s="176"/>
      <c r="K180" s="176"/>
      <c r="L180" s="176"/>
      <c r="M180" s="176"/>
      <c r="N180" s="176"/>
      <c r="O180" s="176"/>
      <c r="P180" s="176"/>
      <c r="Q180" s="176"/>
      <c r="R180" s="176"/>
      <c r="S180" s="176"/>
      <c r="T180" s="176"/>
    </row>
    <row r="181" spans="2:20" s="174" customFormat="1" x14ac:dyDescent="0.3">
      <c r="D181" s="168"/>
      <c r="E181" s="176"/>
      <c r="F181" s="176"/>
      <c r="G181" s="176"/>
      <c r="H181" s="176"/>
      <c r="I181" s="176"/>
      <c r="J181" s="176"/>
      <c r="K181" s="176"/>
      <c r="L181" s="176"/>
      <c r="M181" s="176"/>
      <c r="N181" s="176"/>
      <c r="O181" s="176"/>
      <c r="P181" s="176"/>
      <c r="Q181" s="176"/>
      <c r="R181" s="176"/>
      <c r="S181" s="176"/>
      <c r="T181" s="176"/>
    </row>
    <row r="182" spans="2:20" s="174" customFormat="1" x14ac:dyDescent="0.3">
      <c r="D182" s="168"/>
      <c r="E182" s="176"/>
      <c r="F182" s="176"/>
      <c r="G182" s="176"/>
      <c r="H182" s="176"/>
      <c r="I182" s="176"/>
      <c r="J182" s="176"/>
      <c r="K182" s="176"/>
      <c r="L182" s="176"/>
      <c r="M182" s="176"/>
      <c r="N182" s="176"/>
      <c r="O182" s="176"/>
      <c r="P182" s="176"/>
      <c r="Q182" s="176"/>
      <c r="R182" s="176"/>
      <c r="S182" s="176"/>
      <c r="T182" s="176"/>
    </row>
    <row r="183" spans="2:20" s="174" customFormat="1" x14ac:dyDescent="0.3">
      <c r="D183" s="168"/>
      <c r="E183" s="176"/>
      <c r="F183" s="176"/>
      <c r="I183" s="168"/>
      <c r="J183" s="176"/>
      <c r="K183" s="176"/>
      <c r="L183" s="176"/>
      <c r="M183" s="176"/>
      <c r="N183" s="176"/>
      <c r="O183" s="176"/>
      <c r="P183" s="176"/>
      <c r="Q183" s="176"/>
      <c r="R183" s="176"/>
      <c r="S183" s="176"/>
      <c r="T183" s="176"/>
    </row>
    <row r="184" spans="2:20" s="174" customFormat="1" x14ac:dyDescent="0.3">
      <c r="D184" s="168"/>
      <c r="E184" s="176"/>
      <c r="F184" s="176"/>
      <c r="I184" s="168"/>
      <c r="J184" s="176"/>
      <c r="K184" s="176"/>
      <c r="L184" s="176"/>
      <c r="M184" s="176"/>
      <c r="N184" s="176"/>
      <c r="O184" s="176"/>
      <c r="P184" s="176"/>
      <c r="Q184" s="176"/>
      <c r="R184" s="176"/>
      <c r="S184" s="176"/>
      <c r="T184" s="176"/>
    </row>
    <row r="185" spans="2:20" s="174" customFormat="1" x14ac:dyDescent="0.3">
      <c r="B185" s="209"/>
      <c r="D185" s="168"/>
      <c r="E185" s="176"/>
      <c r="F185" s="176"/>
      <c r="G185" s="209"/>
      <c r="I185" s="168"/>
      <c r="J185" s="176"/>
      <c r="K185" s="176"/>
      <c r="L185" s="176"/>
      <c r="M185" s="176"/>
      <c r="N185" s="176"/>
      <c r="O185" s="176"/>
      <c r="P185" s="176"/>
      <c r="Q185" s="176"/>
      <c r="R185" s="176"/>
      <c r="S185" s="176"/>
      <c r="T185" s="176"/>
    </row>
    <row r="186" spans="2:20" s="174" customFormat="1" x14ac:dyDescent="0.3">
      <c r="B186" s="209"/>
      <c r="D186" s="168"/>
      <c r="E186" s="176"/>
      <c r="F186" s="176"/>
      <c r="G186" s="209"/>
      <c r="I186" s="168"/>
      <c r="J186" s="176"/>
      <c r="K186" s="176"/>
      <c r="L186" s="176"/>
      <c r="M186" s="176"/>
      <c r="N186" s="176"/>
      <c r="O186" s="176"/>
      <c r="P186" s="176"/>
      <c r="Q186" s="176"/>
      <c r="R186" s="176"/>
      <c r="S186" s="176"/>
      <c r="T186" s="176"/>
    </row>
    <row r="187" spans="2:20" s="174" customFormat="1" x14ac:dyDescent="0.3">
      <c r="D187" s="168"/>
      <c r="E187" s="176"/>
      <c r="F187" s="176"/>
      <c r="I187" s="168"/>
      <c r="J187" s="176"/>
      <c r="K187" s="176"/>
      <c r="L187" s="176"/>
      <c r="M187" s="176"/>
      <c r="N187" s="176"/>
      <c r="O187" s="176"/>
      <c r="P187" s="176"/>
      <c r="Q187" s="176"/>
      <c r="R187" s="176"/>
      <c r="S187" s="176"/>
      <c r="T187" s="176"/>
    </row>
    <row r="188" spans="2:20" s="174" customFormat="1" x14ac:dyDescent="0.3">
      <c r="D188" s="168"/>
      <c r="E188" s="176"/>
      <c r="F188" s="176"/>
      <c r="I188" s="168"/>
      <c r="J188" s="176"/>
      <c r="K188" s="176"/>
      <c r="L188" s="176"/>
      <c r="M188" s="176"/>
      <c r="N188" s="176"/>
      <c r="O188" s="176"/>
      <c r="P188" s="176"/>
      <c r="Q188" s="176"/>
      <c r="R188" s="176"/>
      <c r="S188" s="176"/>
      <c r="T188" s="176"/>
    </row>
    <row r="189" spans="2:20" s="174" customFormat="1" x14ac:dyDescent="0.3">
      <c r="D189" s="168"/>
      <c r="E189" s="176"/>
      <c r="F189" s="176"/>
      <c r="I189" s="168"/>
      <c r="J189" s="176"/>
      <c r="K189" s="176"/>
      <c r="L189" s="176"/>
      <c r="M189" s="176"/>
      <c r="N189" s="176"/>
      <c r="O189" s="176"/>
      <c r="P189" s="176"/>
      <c r="Q189" s="176"/>
      <c r="R189" s="176"/>
      <c r="S189" s="176"/>
      <c r="T189" s="176"/>
    </row>
    <row r="190" spans="2:20" s="174" customFormat="1" x14ac:dyDescent="0.3">
      <c r="D190" s="168"/>
      <c r="E190" s="176"/>
      <c r="F190" s="176"/>
      <c r="G190" s="176"/>
      <c r="H190" s="176"/>
      <c r="I190" s="176"/>
      <c r="J190" s="176"/>
      <c r="K190" s="176"/>
      <c r="L190" s="176"/>
      <c r="M190" s="176"/>
      <c r="N190" s="176"/>
      <c r="O190" s="176"/>
      <c r="P190" s="176"/>
      <c r="Q190" s="176"/>
      <c r="R190" s="176"/>
      <c r="S190" s="176"/>
      <c r="T190" s="176"/>
    </row>
    <row r="191" spans="2:20" x14ac:dyDescent="0.3">
      <c r="D191" s="167"/>
      <c r="E191" s="175"/>
      <c r="F191" s="175"/>
      <c r="G191" s="175"/>
      <c r="H191" s="175"/>
      <c r="I191" s="175"/>
      <c r="J191" s="175"/>
      <c r="K191" s="175"/>
      <c r="L191" s="175"/>
      <c r="M191" s="175"/>
      <c r="N191" s="175"/>
      <c r="O191" s="175"/>
      <c r="P191" s="175"/>
      <c r="Q191" s="175"/>
      <c r="R191" s="175"/>
      <c r="S191" s="175"/>
      <c r="T191" s="175"/>
    </row>
    <row r="192" spans="2:20" x14ac:dyDescent="0.3">
      <c r="G192" s="175"/>
      <c r="H192" s="175"/>
      <c r="I192" s="175"/>
      <c r="J192" s="175"/>
      <c r="K192" s="175"/>
      <c r="L192" s="175"/>
      <c r="M192" s="175"/>
      <c r="N192" s="175"/>
      <c r="O192" s="175"/>
      <c r="P192" s="175"/>
      <c r="Q192" s="175"/>
      <c r="R192" s="175"/>
      <c r="S192" s="175"/>
      <c r="T192" s="175"/>
    </row>
    <row r="193" spans="4:20" x14ac:dyDescent="0.3">
      <c r="G193" s="175"/>
      <c r="H193" s="175"/>
      <c r="I193" s="175"/>
      <c r="J193" s="175"/>
      <c r="K193" s="175"/>
      <c r="L193" s="175"/>
      <c r="M193" s="175"/>
      <c r="N193" s="175"/>
      <c r="O193" s="175"/>
      <c r="P193" s="175"/>
      <c r="Q193" s="175"/>
      <c r="R193" s="175"/>
      <c r="S193" s="175"/>
      <c r="T193" s="175"/>
    </row>
    <row r="194" spans="4:20" x14ac:dyDescent="0.3">
      <c r="G194" s="175"/>
      <c r="H194" s="175"/>
      <c r="I194" s="175"/>
      <c r="J194" s="175"/>
      <c r="K194" s="175"/>
      <c r="L194" s="175"/>
      <c r="M194" s="175"/>
      <c r="N194" s="175"/>
      <c r="O194" s="175"/>
      <c r="P194" s="175"/>
      <c r="Q194" s="175"/>
      <c r="R194" s="175"/>
      <c r="S194" s="175"/>
      <c r="T194" s="175"/>
    </row>
    <row r="195" spans="4:20" x14ac:dyDescent="0.3">
      <c r="G195" s="175"/>
      <c r="H195" s="175"/>
      <c r="I195" s="175"/>
      <c r="J195" s="175"/>
      <c r="K195" s="175"/>
      <c r="L195" s="175"/>
      <c r="M195" s="175"/>
      <c r="N195" s="175"/>
      <c r="O195" s="175"/>
      <c r="P195" s="175"/>
      <c r="Q195" s="175"/>
      <c r="R195" s="175"/>
      <c r="S195" s="175"/>
      <c r="T195" s="175"/>
    </row>
    <row r="196" spans="4:20" x14ac:dyDescent="0.3">
      <c r="G196" s="175"/>
      <c r="H196" s="175"/>
      <c r="I196" s="175"/>
      <c r="J196" s="175"/>
      <c r="K196" s="175"/>
      <c r="L196" s="175"/>
      <c r="M196" s="175"/>
      <c r="N196" s="175"/>
      <c r="O196" s="175"/>
      <c r="P196" s="175"/>
      <c r="Q196" s="175"/>
      <c r="R196" s="175"/>
      <c r="S196" s="175"/>
      <c r="T196" s="175"/>
    </row>
    <row r="197" spans="4:20" x14ac:dyDescent="0.3">
      <c r="G197" s="175"/>
      <c r="H197" s="175"/>
      <c r="I197" s="175"/>
      <c r="J197" s="175"/>
      <c r="K197" s="175"/>
      <c r="L197" s="175"/>
      <c r="M197" s="175"/>
      <c r="N197" s="175"/>
      <c r="O197" s="175"/>
      <c r="P197" s="175"/>
      <c r="Q197" s="175"/>
      <c r="R197" s="175"/>
      <c r="S197" s="175"/>
      <c r="T197" s="175"/>
    </row>
    <row r="198" spans="4:20" x14ac:dyDescent="0.3">
      <c r="G198" s="175"/>
      <c r="H198" s="175"/>
      <c r="I198" s="175"/>
      <c r="J198" s="175"/>
      <c r="K198" s="175"/>
      <c r="L198" s="175"/>
      <c r="M198" s="175"/>
      <c r="N198" s="175"/>
      <c r="O198" s="175"/>
      <c r="P198" s="175"/>
      <c r="Q198" s="175"/>
      <c r="R198" s="175"/>
      <c r="S198" s="175"/>
      <c r="T198" s="175"/>
    </row>
    <row r="199" spans="4:20" x14ac:dyDescent="0.3">
      <c r="D199" s="167"/>
      <c r="E199" s="175"/>
      <c r="F199" s="175"/>
      <c r="G199" s="175"/>
      <c r="H199" s="175"/>
      <c r="I199" s="175"/>
      <c r="J199" s="175"/>
      <c r="K199" s="175"/>
      <c r="L199" s="175"/>
      <c r="M199" s="175"/>
      <c r="N199" s="175"/>
      <c r="O199" s="175"/>
      <c r="P199" s="175"/>
      <c r="Q199" s="175"/>
      <c r="R199" s="175"/>
      <c r="S199" s="175"/>
      <c r="T199" s="175"/>
    </row>
    <row r="200" spans="4:20" x14ac:dyDescent="0.3">
      <c r="D200" s="167"/>
      <c r="E200" s="175"/>
      <c r="F200" s="175"/>
      <c r="G200" s="175"/>
      <c r="H200" s="175"/>
      <c r="I200" s="175"/>
      <c r="J200" s="175"/>
      <c r="K200" s="175"/>
      <c r="L200" s="175"/>
      <c r="M200" s="175"/>
      <c r="N200" s="175"/>
      <c r="O200" s="175"/>
      <c r="P200" s="175"/>
      <c r="Q200" s="175"/>
      <c r="R200" s="175"/>
      <c r="S200" s="175"/>
      <c r="T200" s="175"/>
    </row>
    <row r="201" spans="4:20" x14ac:dyDescent="0.3">
      <c r="D201" s="167"/>
      <c r="E201" s="175"/>
      <c r="F201" s="175"/>
      <c r="G201" s="175"/>
      <c r="H201" s="175"/>
      <c r="I201" s="175"/>
      <c r="J201" s="175"/>
      <c r="K201" s="175"/>
      <c r="L201" s="175"/>
      <c r="M201" s="175"/>
      <c r="N201" s="175"/>
      <c r="O201" s="175"/>
      <c r="P201" s="175"/>
      <c r="Q201" s="175"/>
      <c r="R201" s="175"/>
      <c r="S201" s="175"/>
      <c r="T201" s="175"/>
    </row>
    <row r="202" spans="4:20" x14ac:dyDescent="0.3">
      <c r="D202" s="167"/>
      <c r="E202" s="175"/>
      <c r="F202" s="175"/>
      <c r="G202" s="175"/>
      <c r="H202" s="175"/>
      <c r="I202" s="175"/>
      <c r="J202" s="175"/>
      <c r="K202" s="175"/>
      <c r="L202" s="175"/>
      <c r="M202" s="175"/>
      <c r="N202" s="175"/>
      <c r="O202" s="175"/>
      <c r="P202" s="175"/>
      <c r="Q202" s="175"/>
      <c r="R202" s="175"/>
      <c r="S202" s="175"/>
      <c r="T202" s="175"/>
    </row>
    <row r="203" spans="4:20" x14ac:dyDescent="0.3">
      <c r="D203" s="167"/>
      <c r="E203" s="175"/>
      <c r="F203" s="175"/>
      <c r="G203" s="175"/>
      <c r="H203" s="175"/>
      <c r="I203" s="175"/>
      <c r="J203" s="175"/>
      <c r="K203" s="175"/>
      <c r="L203" s="175"/>
      <c r="M203" s="175"/>
      <c r="N203" s="175"/>
      <c r="O203" s="175"/>
      <c r="P203" s="175"/>
      <c r="Q203" s="175"/>
      <c r="R203" s="175"/>
      <c r="S203" s="175"/>
      <c r="T203" s="175"/>
    </row>
    <row r="204" spans="4:20" x14ac:dyDescent="0.3">
      <c r="D204" s="167"/>
      <c r="E204" s="175"/>
      <c r="F204" s="175"/>
      <c r="G204" s="175"/>
      <c r="H204" s="175"/>
      <c r="I204" s="175"/>
      <c r="J204" s="175"/>
      <c r="K204" s="175"/>
      <c r="L204" s="175"/>
      <c r="M204" s="175"/>
      <c r="N204" s="175"/>
      <c r="O204" s="175"/>
      <c r="P204" s="175"/>
      <c r="Q204" s="175"/>
      <c r="R204" s="175"/>
      <c r="S204" s="175"/>
      <c r="T204" s="175"/>
    </row>
    <row r="205" spans="4:20" x14ac:dyDescent="0.3">
      <c r="D205" s="167"/>
      <c r="E205" s="175"/>
      <c r="F205" s="175"/>
      <c r="G205" s="175"/>
      <c r="H205" s="175"/>
      <c r="I205" s="175"/>
      <c r="J205" s="175"/>
      <c r="K205" s="175"/>
      <c r="L205" s="175"/>
      <c r="M205" s="175"/>
      <c r="N205" s="175"/>
      <c r="O205" s="175"/>
      <c r="P205" s="175"/>
      <c r="Q205" s="175"/>
      <c r="R205" s="175"/>
      <c r="S205" s="175"/>
      <c r="T205" s="175"/>
    </row>
    <row r="206" spans="4:20" x14ac:dyDescent="0.3">
      <c r="D206" s="167"/>
      <c r="E206" s="175"/>
      <c r="F206" s="175"/>
      <c r="G206" s="175"/>
      <c r="H206" s="175"/>
      <c r="I206" s="175"/>
      <c r="J206" s="175"/>
      <c r="K206" s="175"/>
      <c r="L206" s="175"/>
      <c r="M206" s="175"/>
      <c r="N206" s="175"/>
      <c r="O206" s="175"/>
      <c r="P206" s="175"/>
      <c r="Q206" s="175"/>
      <c r="R206" s="175"/>
      <c r="S206" s="175"/>
      <c r="T206" s="175"/>
    </row>
    <row r="207" spans="4:20" x14ac:dyDescent="0.3">
      <c r="D207" s="167"/>
      <c r="E207" s="175"/>
      <c r="F207" s="175"/>
      <c r="G207" s="175"/>
      <c r="H207" s="175"/>
      <c r="I207" s="175"/>
      <c r="J207" s="175"/>
      <c r="K207" s="175"/>
      <c r="L207" s="175"/>
      <c r="M207" s="175"/>
      <c r="N207" s="175"/>
      <c r="O207" s="175"/>
      <c r="P207" s="175"/>
      <c r="Q207" s="175"/>
      <c r="R207" s="175"/>
      <c r="S207" s="175"/>
      <c r="T207" s="175"/>
    </row>
    <row r="208" spans="4:20" x14ac:dyDescent="0.3">
      <c r="D208" s="167"/>
      <c r="E208" s="175"/>
      <c r="F208" s="175"/>
      <c r="G208" s="175"/>
      <c r="H208" s="175"/>
      <c r="I208" s="175"/>
      <c r="J208" s="175"/>
      <c r="K208" s="175"/>
      <c r="L208" s="175"/>
      <c r="M208" s="175"/>
      <c r="N208" s="175"/>
      <c r="O208" s="175"/>
      <c r="P208" s="175"/>
      <c r="Q208" s="175"/>
      <c r="R208" s="175"/>
      <c r="S208" s="175"/>
      <c r="T208" s="175"/>
    </row>
    <row r="209" spans="4:20" x14ac:dyDescent="0.3">
      <c r="D209" s="167"/>
      <c r="E209" s="175"/>
      <c r="F209" s="175"/>
      <c r="G209" s="175"/>
      <c r="H209" s="175"/>
      <c r="I209" s="175"/>
      <c r="J209" s="175"/>
      <c r="K209" s="175"/>
      <c r="L209" s="175"/>
      <c r="M209" s="175"/>
      <c r="N209" s="175"/>
      <c r="O209" s="175"/>
      <c r="P209" s="175"/>
      <c r="Q209" s="175"/>
      <c r="R209" s="175"/>
      <c r="S209" s="175"/>
      <c r="T209" s="175"/>
    </row>
    <row r="210" spans="4:20" x14ac:dyDescent="0.3">
      <c r="D210" s="167"/>
      <c r="E210" s="175"/>
      <c r="F210" s="175"/>
      <c r="G210" s="175"/>
      <c r="H210" s="175"/>
      <c r="I210" s="175"/>
      <c r="J210" s="175"/>
      <c r="K210" s="175"/>
      <c r="L210" s="175"/>
      <c r="M210" s="175"/>
      <c r="N210" s="175"/>
      <c r="O210" s="175"/>
      <c r="P210" s="175"/>
      <c r="Q210" s="175"/>
      <c r="R210" s="175"/>
      <c r="S210" s="175"/>
      <c r="T210" s="175"/>
    </row>
    <row r="211" spans="4:20" x14ac:dyDescent="0.3">
      <c r="D211" s="167"/>
      <c r="E211" s="175"/>
      <c r="F211" s="175"/>
      <c r="G211" s="175"/>
      <c r="H211" s="175"/>
      <c r="I211" s="175"/>
      <c r="J211" s="175"/>
      <c r="K211" s="175"/>
      <c r="L211" s="175"/>
      <c r="M211" s="175"/>
      <c r="N211" s="175"/>
      <c r="O211" s="175"/>
      <c r="P211" s="175"/>
      <c r="Q211" s="175"/>
      <c r="R211" s="175"/>
      <c r="S211" s="175"/>
      <c r="T211" s="175"/>
    </row>
    <row r="212" spans="4:20" x14ac:dyDescent="0.3">
      <c r="D212" s="167"/>
      <c r="E212" s="175"/>
      <c r="F212" s="175"/>
      <c r="G212" s="175"/>
      <c r="H212" s="175"/>
      <c r="I212" s="175"/>
      <c r="J212" s="175"/>
      <c r="K212" s="175"/>
      <c r="L212" s="175"/>
      <c r="M212" s="175"/>
      <c r="N212" s="175"/>
      <c r="O212" s="175"/>
      <c r="P212" s="175"/>
      <c r="Q212" s="175"/>
      <c r="R212" s="175"/>
      <c r="S212" s="175"/>
      <c r="T212" s="175"/>
    </row>
    <row r="213" spans="4:20" x14ac:dyDescent="0.3">
      <c r="D213" s="167"/>
      <c r="E213" s="175"/>
      <c r="F213" s="175"/>
      <c r="G213" s="175"/>
      <c r="H213" s="175"/>
      <c r="I213" s="175"/>
      <c r="J213" s="175"/>
      <c r="K213" s="175"/>
      <c r="L213" s="175"/>
      <c r="M213" s="175"/>
      <c r="N213" s="175"/>
      <c r="O213" s="175"/>
      <c r="P213" s="175"/>
      <c r="Q213" s="175"/>
      <c r="R213" s="175"/>
      <c r="S213" s="175"/>
      <c r="T213" s="175"/>
    </row>
    <row r="214" spans="4:20" x14ac:dyDescent="0.3">
      <c r="D214" s="167"/>
      <c r="E214" s="175"/>
      <c r="F214" s="175"/>
      <c r="G214" s="175"/>
      <c r="H214" s="175"/>
      <c r="I214" s="175"/>
      <c r="J214" s="175"/>
      <c r="K214" s="175"/>
      <c r="L214" s="175"/>
      <c r="M214" s="175"/>
      <c r="N214" s="175"/>
      <c r="O214" s="175"/>
      <c r="P214" s="175"/>
      <c r="Q214" s="175"/>
      <c r="R214" s="175"/>
      <c r="S214" s="175"/>
      <c r="T214" s="175"/>
    </row>
    <row r="215" spans="4:20" x14ac:dyDescent="0.3">
      <c r="D215" s="167"/>
      <c r="E215" s="175"/>
      <c r="F215" s="175"/>
      <c r="G215" s="175"/>
      <c r="H215" s="175"/>
      <c r="I215" s="175"/>
      <c r="J215" s="175"/>
      <c r="K215" s="175"/>
      <c r="L215" s="175"/>
      <c r="M215" s="175"/>
      <c r="N215" s="175"/>
      <c r="O215" s="175"/>
      <c r="P215" s="175"/>
      <c r="Q215" s="175"/>
      <c r="R215" s="175"/>
      <c r="S215" s="175"/>
      <c r="T215" s="175"/>
    </row>
    <row r="216" spans="4:20" x14ac:dyDescent="0.3">
      <c r="D216" s="167"/>
      <c r="E216" s="175"/>
      <c r="F216" s="175"/>
      <c r="G216" s="175"/>
      <c r="H216" s="175"/>
      <c r="I216" s="175"/>
      <c r="J216" s="175"/>
      <c r="K216" s="175"/>
      <c r="L216" s="175"/>
      <c r="M216" s="175"/>
      <c r="N216" s="175"/>
      <c r="O216" s="175"/>
      <c r="P216" s="175"/>
      <c r="Q216" s="175"/>
      <c r="R216" s="175"/>
      <c r="S216" s="175"/>
      <c r="T216" s="175"/>
    </row>
    <row r="217" spans="4:20" x14ac:dyDescent="0.3">
      <c r="D217" s="167"/>
      <c r="E217" s="175"/>
      <c r="F217" s="175"/>
      <c r="G217" s="175"/>
      <c r="H217" s="175"/>
      <c r="I217" s="175"/>
      <c r="J217" s="175"/>
      <c r="K217" s="175"/>
      <c r="L217" s="175"/>
      <c r="M217" s="175"/>
      <c r="N217" s="175"/>
      <c r="O217" s="175"/>
      <c r="P217" s="175"/>
      <c r="Q217" s="175"/>
      <c r="R217" s="175"/>
      <c r="S217" s="175"/>
      <c r="T217" s="175"/>
    </row>
    <row r="218" spans="4:20" x14ac:dyDescent="0.3">
      <c r="D218" s="167"/>
      <c r="E218" s="175"/>
      <c r="F218" s="175"/>
      <c r="G218" s="175"/>
      <c r="H218" s="175"/>
      <c r="I218" s="175"/>
      <c r="J218" s="175"/>
      <c r="K218" s="175"/>
      <c r="L218" s="175"/>
      <c r="M218" s="175"/>
      <c r="N218" s="175"/>
      <c r="O218" s="175"/>
      <c r="P218" s="175"/>
      <c r="Q218" s="175"/>
      <c r="R218" s="175"/>
      <c r="S218" s="175"/>
      <c r="T218" s="175"/>
    </row>
    <row r="219" spans="4:20" x14ac:dyDescent="0.3">
      <c r="D219" s="167"/>
      <c r="E219" s="175"/>
      <c r="F219" s="175"/>
      <c r="G219" s="175"/>
      <c r="H219" s="175"/>
      <c r="I219" s="175"/>
      <c r="J219" s="175"/>
      <c r="K219" s="175"/>
      <c r="L219" s="175"/>
      <c r="M219" s="175"/>
      <c r="N219" s="175"/>
      <c r="O219" s="175"/>
      <c r="P219" s="175"/>
      <c r="Q219" s="175"/>
      <c r="R219" s="175"/>
      <c r="S219" s="175"/>
      <c r="T219" s="175"/>
    </row>
    <row r="220" spans="4:20" x14ac:dyDescent="0.3">
      <c r="D220" s="167"/>
      <c r="E220" s="175"/>
      <c r="F220" s="175"/>
      <c r="G220" s="175"/>
      <c r="H220" s="175"/>
      <c r="I220" s="175"/>
      <c r="J220" s="175"/>
      <c r="K220" s="175"/>
      <c r="L220" s="175"/>
      <c r="M220" s="175"/>
      <c r="N220" s="175"/>
      <c r="O220" s="175"/>
      <c r="P220" s="175"/>
      <c r="Q220" s="175"/>
      <c r="R220" s="175"/>
      <c r="S220" s="175"/>
      <c r="T220" s="175"/>
    </row>
    <row r="221" spans="4:20" x14ac:dyDescent="0.3">
      <c r="D221" s="167"/>
      <c r="E221" s="175"/>
      <c r="F221" s="175"/>
      <c r="G221" s="175"/>
      <c r="H221" s="175"/>
      <c r="I221" s="175"/>
      <c r="J221" s="175"/>
      <c r="K221" s="175"/>
      <c r="L221" s="175"/>
      <c r="M221" s="175"/>
      <c r="N221" s="175"/>
      <c r="O221" s="175"/>
      <c r="P221" s="175"/>
      <c r="Q221" s="175"/>
      <c r="R221" s="175"/>
      <c r="S221" s="175"/>
      <c r="T221" s="175"/>
    </row>
    <row r="222" spans="4:20" x14ac:dyDescent="0.3">
      <c r="D222" s="167"/>
      <c r="E222" s="175"/>
      <c r="F222" s="175"/>
      <c r="G222" s="175"/>
      <c r="H222" s="175"/>
      <c r="I222" s="175"/>
      <c r="J222" s="175"/>
      <c r="K222" s="175"/>
      <c r="L222" s="175"/>
      <c r="M222" s="175"/>
      <c r="N222" s="175"/>
      <c r="O222" s="175"/>
      <c r="P222" s="175"/>
      <c r="Q222" s="175"/>
      <c r="R222" s="175"/>
      <c r="S222" s="175"/>
      <c r="T222" s="175"/>
    </row>
    <row r="223" spans="4:20" x14ac:dyDescent="0.3">
      <c r="D223" s="167"/>
      <c r="E223" s="175"/>
      <c r="F223" s="175"/>
      <c r="G223" s="175"/>
      <c r="H223" s="175"/>
      <c r="I223" s="175"/>
      <c r="J223" s="175"/>
      <c r="K223" s="175"/>
      <c r="L223" s="175"/>
      <c r="M223" s="175"/>
      <c r="N223" s="175"/>
      <c r="O223" s="175"/>
      <c r="P223" s="175"/>
      <c r="Q223" s="175"/>
      <c r="R223" s="175"/>
      <c r="S223" s="175"/>
      <c r="T223" s="175"/>
    </row>
    <row r="224" spans="4:20" x14ac:dyDescent="0.3">
      <c r="D224" s="167"/>
      <c r="E224" s="175"/>
      <c r="F224" s="175"/>
      <c r="G224" s="175"/>
      <c r="H224" s="175"/>
      <c r="I224" s="175"/>
      <c r="J224" s="175"/>
      <c r="K224" s="175"/>
      <c r="L224" s="175"/>
      <c r="M224" s="175"/>
      <c r="N224" s="175"/>
      <c r="O224" s="175"/>
      <c r="P224" s="175"/>
      <c r="Q224" s="175"/>
      <c r="R224" s="175"/>
      <c r="S224" s="175"/>
      <c r="T224" s="175"/>
    </row>
    <row r="225" spans="4:20" x14ac:dyDescent="0.3">
      <c r="D225" s="167"/>
      <c r="E225" s="175"/>
      <c r="F225" s="175"/>
      <c r="G225" s="175"/>
      <c r="H225" s="175"/>
      <c r="I225" s="175"/>
      <c r="J225" s="175"/>
      <c r="K225" s="175"/>
      <c r="L225" s="175"/>
      <c r="M225" s="175"/>
      <c r="N225" s="175"/>
      <c r="O225" s="175"/>
      <c r="P225" s="175"/>
      <c r="Q225" s="175"/>
      <c r="R225" s="175"/>
      <c r="S225" s="175"/>
      <c r="T225" s="175"/>
    </row>
    <row r="226" spans="4:20" x14ac:dyDescent="0.3">
      <c r="D226" s="167"/>
      <c r="E226" s="175"/>
      <c r="F226" s="175"/>
      <c r="G226" s="175"/>
      <c r="H226" s="175"/>
      <c r="I226" s="175"/>
      <c r="J226" s="175"/>
      <c r="K226" s="175"/>
      <c r="L226" s="175"/>
      <c r="M226" s="175"/>
      <c r="N226" s="175"/>
      <c r="O226" s="175"/>
      <c r="P226" s="175"/>
      <c r="Q226" s="175"/>
      <c r="R226" s="175"/>
      <c r="S226" s="175"/>
      <c r="T226" s="175"/>
    </row>
    <row r="227" spans="4:20" x14ac:dyDescent="0.3">
      <c r="D227" s="167"/>
      <c r="E227" s="175"/>
      <c r="F227" s="175"/>
      <c r="G227" s="175"/>
      <c r="H227" s="175"/>
      <c r="I227" s="175"/>
      <c r="J227" s="175"/>
      <c r="K227" s="175"/>
      <c r="L227" s="175"/>
      <c r="M227" s="175"/>
      <c r="N227" s="175"/>
      <c r="O227" s="175"/>
      <c r="P227" s="175"/>
      <c r="Q227" s="175"/>
      <c r="R227" s="175"/>
      <c r="S227" s="175"/>
      <c r="T227" s="175"/>
    </row>
    <row r="228" spans="4:20" x14ac:dyDescent="0.3">
      <c r="D228" s="167"/>
      <c r="E228" s="175"/>
      <c r="F228" s="175"/>
      <c r="G228" s="175"/>
      <c r="H228" s="175"/>
      <c r="I228" s="175"/>
      <c r="J228" s="175"/>
      <c r="K228" s="175"/>
      <c r="L228" s="175"/>
      <c r="M228" s="175"/>
      <c r="N228" s="175"/>
      <c r="O228" s="175"/>
      <c r="P228" s="175"/>
      <c r="Q228" s="175"/>
      <c r="R228" s="175"/>
      <c r="S228" s="175"/>
      <c r="T228" s="175"/>
    </row>
    <row r="229" spans="4:20" x14ac:dyDescent="0.3">
      <c r="D229" s="167"/>
      <c r="E229" s="175"/>
      <c r="F229" s="175"/>
      <c r="G229" s="175"/>
      <c r="H229" s="175"/>
      <c r="I229" s="175"/>
      <c r="J229" s="175"/>
      <c r="K229" s="175"/>
      <c r="L229" s="175"/>
      <c r="M229" s="175"/>
      <c r="N229" s="175"/>
      <c r="O229" s="175"/>
      <c r="P229" s="175"/>
      <c r="Q229" s="175"/>
      <c r="R229" s="175"/>
      <c r="S229" s="175"/>
      <c r="T229" s="175"/>
    </row>
    <row r="230" spans="4:20" x14ac:dyDescent="0.3">
      <c r="D230" s="167"/>
      <c r="E230" s="175"/>
      <c r="F230" s="175"/>
      <c r="G230" s="175"/>
      <c r="H230" s="175"/>
      <c r="I230" s="175"/>
      <c r="J230" s="175"/>
      <c r="K230" s="175"/>
      <c r="L230" s="175"/>
      <c r="M230" s="175"/>
      <c r="N230" s="175"/>
      <c r="O230" s="175"/>
      <c r="P230" s="175"/>
      <c r="Q230" s="175"/>
      <c r="R230" s="175"/>
      <c r="S230" s="175"/>
      <c r="T230" s="175"/>
    </row>
    <row r="231" spans="4:20" x14ac:dyDescent="0.3">
      <c r="D231" s="167"/>
      <c r="E231" s="175"/>
      <c r="F231" s="175"/>
      <c r="G231" s="175"/>
      <c r="H231" s="175"/>
      <c r="I231" s="175"/>
      <c r="J231" s="175"/>
      <c r="K231" s="175"/>
      <c r="L231" s="175"/>
      <c r="M231" s="175"/>
      <c r="N231" s="175"/>
      <c r="O231" s="175"/>
      <c r="P231" s="175"/>
      <c r="Q231" s="175"/>
      <c r="R231" s="175"/>
      <c r="S231" s="175"/>
      <c r="T231" s="175"/>
    </row>
    <row r="232" spans="4:20" x14ac:dyDescent="0.3">
      <c r="D232" s="167"/>
      <c r="E232" s="175"/>
      <c r="F232" s="175"/>
      <c r="G232" s="175"/>
      <c r="H232" s="175"/>
      <c r="I232" s="175"/>
      <c r="J232" s="175"/>
      <c r="K232" s="175"/>
      <c r="L232" s="175"/>
      <c r="M232" s="175"/>
      <c r="N232" s="175"/>
      <c r="O232" s="175"/>
      <c r="P232" s="175"/>
      <c r="Q232" s="175"/>
      <c r="R232" s="175"/>
      <c r="S232" s="175"/>
      <c r="T232" s="175"/>
    </row>
    <row r="233" spans="4:20" x14ac:dyDescent="0.3">
      <c r="D233" s="167"/>
      <c r="E233" s="175"/>
      <c r="F233" s="175"/>
      <c r="G233" s="175"/>
      <c r="H233" s="175"/>
      <c r="I233" s="175"/>
      <c r="J233" s="175"/>
      <c r="K233" s="175"/>
      <c r="L233" s="175"/>
      <c r="M233" s="175"/>
      <c r="N233" s="175"/>
      <c r="O233" s="175"/>
      <c r="P233" s="175"/>
      <c r="Q233" s="175"/>
      <c r="R233" s="175"/>
      <c r="S233" s="175"/>
      <c r="T233" s="175"/>
    </row>
    <row r="234" spans="4:20" x14ac:dyDescent="0.3">
      <c r="D234" s="167"/>
      <c r="E234" s="175"/>
      <c r="F234" s="175"/>
      <c r="G234" s="175"/>
      <c r="H234" s="175"/>
      <c r="I234" s="175"/>
      <c r="J234" s="175"/>
      <c r="K234" s="175"/>
      <c r="L234" s="175"/>
      <c r="M234" s="175"/>
      <c r="N234" s="175"/>
      <c r="O234" s="175"/>
      <c r="P234" s="175"/>
      <c r="Q234" s="175"/>
      <c r="R234" s="175"/>
      <c r="S234" s="175"/>
      <c r="T234" s="175"/>
    </row>
    <row r="235" spans="4:20" x14ac:dyDescent="0.3">
      <c r="D235" s="167"/>
      <c r="E235" s="175"/>
      <c r="F235" s="175"/>
      <c r="G235" s="175"/>
      <c r="H235" s="175"/>
      <c r="I235" s="175"/>
      <c r="J235" s="175"/>
      <c r="K235" s="175"/>
      <c r="L235" s="175"/>
      <c r="M235" s="175"/>
      <c r="N235" s="175"/>
      <c r="O235" s="175"/>
      <c r="P235" s="175"/>
      <c r="Q235" s="175"/>
      <c r="R235" s="175"/>
      <c r="S235" s="175"/>
      <c r="T235" s="175"/>
    </row>
    <row r="236" spans="4:20" x14ac:dyDescent="0.3">
      <c r="D236" s="167"/>
      <c r="E236" s="175"/>
      <c r="F236" s="175"/>
      <c r="G236" s="175"/>
      <c r="H236" s="175"/>
      <c r="I236" s="175"/>
      <c r="J236" s="175"/>
      <c r="K236" s="175"/>
      <c r="L236" s="175"/>
      <c r="M236" s="175"/>
      <c r="N236" s="175"/>
      <c r="O236" s="175"/>
      <c r="P236" s="175"/>
      <c r="Q236" s="175"/>
      <c r="R236" s="175"/>
      <c r="S236" s="175"/>
      <c r="T236" s="175"/>
    </row>
    <row r="237" spans="4:20" x14ac:dyDescent="0.3">
      <c r="D237" s="167"/>
      <c r="E237" s="175"/>
      <c r="F237" s="175"/>
      <c r="G237" s="175"/>
      <c r="H237" s="175"/>
      <c r="I237" s="175"/>
      <c r="J237" s="175"/>
      <c r="K237" s="175"/>
      <c r="L237" s="175"/>
      <c r="M237" s="175"/>
      <c r="N237" s="175"/>
      <c r="O237" s="175"/>
      <c r="P237" s="175"/>
      <c r="Q237" s="175"/>
      <c r="R237" s="175"/>
      <c r="S237" s="175"/>
      <c r="T237" s="175"/>
    </row>
    <row r="238" spans="4:20" x14ac:dyDescent="0.3">
      <c r="D238" s="167"/>
      <c r="E238" s="175"/>
      <c r="F238" s="175"/>
      <c r="G238" s="175"/>
      <c r="H238" s="175"/>
      <c r="I238" s="175"/>
      <c r="J238" s="175"/>
      <c r="K238" s="175"/>
      <c r="L238" s="175"/>
      <c r="M238" s="175"/>
      <c r="N238" s="175"/>
      <c r="O238" s="175"/>
      <c r="P238" s="175"/>
      <c r="Q238" s="175"/>
      <c r="R238" s="175"/>
      <c r="S238" s="175"/>
      <c r="T238" s="175"/>
    </row>
    <row r="239" spans="4:20" x14ac:dyDescent="0.3">
      <c r="D239" s="167"/>
      <c r="E239" s="175"/>
      <c r="F239" s="175"/>
      <c r="G239" s="175"/>
      <c r="H239" s="175"/>
      <c r="I239" s="175"/>
      <c r="J239" s="175"/>
      <c r="K239" s="175"/>
      <c r="L239" s="175"/>
      <c r="M239" s="175"/>
      <c r="N239" s="175"/>
      <c r="O239" s="175"/>
      <c r="P239" s="175"/>
      <c r="Q239" s="175"/>
      <c r="R239" s="175"/>
      <c r="S239" s="175"/>
      <c r="T239" s="175"/>
    </row>
    <row r="240" spans="4:20" x14ac:dyDescent="0.3">
      <c r="D240" s="167"/>
      <c r="E240" s="175"/>
      <c r="F240" s="175"/>
      <c r="G240" s="175"/>
      <c r="H240" s="175"/>
      <c r="I240" s="175"/>
      <c r="J240" s="175"/>
      <c r="K240" s="175"/>
      <c r="L240" s="175"/>
      <c r="M240" s="175"/>
      <c r="N240" s="175"/>
      <c r="O240" s="175"/>
      <c r="P240" s="175"/>
      <c r="Q240" s="175"/>
      <c r="R240" s="175"/>
      <c r="S240" s="175"/>
      <c r="T240" s="175"/>
    </row>
    <row r="241" spans="4:20" x14ac:dyDescent="0.3">
      <c r="D241" s="167"/>
      <c r="E241" s="175"/>
      <c r="F241" s="175"/>
      <c r="G241" s="175"/>
      <c r="H241" s="175"/>
      <c r="I241" s="175"/>
      <c r="J241" s="175"/>
      <c r="K241" s="175"/>
      <c r="L241" s="175"/>
      <c r="M241" s="175"/>
      <c r="N241" s="175"/>
      <c r="O241" s="175"/>
      <c r="P241" s="175"/>
      <c r="Q241" s="175"/>
      <c r="R241" s="175"/>
      <c r="S241" s="175"/>
      <c r="T241" s="175"/>
    </row>
    <row r="242" spans="4:20" x14ac:dyDescent="0.3">
      <c r="D242" s="167"/>
      <c r="E242" s="175"/>
      <c r="F242" s="175"/>
      <c r="G242" s="175"/>
      <c r="H242" s="175"/>
      <c r="I242" s="175"/>
      <c r="J242" s="175"/>
      <c r="K242" s="175"/>
      <c r="L242" s="175"/>
      <c r="M242" s="175"/>
      <c r="N242" s="175"/>
      <c r="O242" s="175"/>
      <c r="P242" s="175"/>
      <c r="Q242" s="175"/>
      <c r="R242" s="175"/>
      <c r="S242" s="175"/>
      <c r="T242" s="175"/>
    </row>
    <row r="243" spans="4:20" x14ac:dyDescent="0.3">
      <c r="D243" s="167"/>
      <c r="E243" s="175"/>
      <c r="F243" s="175"/>
      <c r="G243" s="175"/>
      <c r="H243" s="175"/>
      <c r="I243" s="175"/>
      <c r="J243" s="175"/>
      <c r="K243" s="175"/>
      <c r="L243" s="175"/>
      <c r="M243" s="175"/>
      <c r="N243" s="175"/>
      <c r="O243" s="175"/>
      <c r="P243" s="175"/>
      <c r="Q243" s="175"/>
      <c r="R243" s="175"/>
      <c r="S243" s="175"/>
      <c r="T243" s="175"/>
    </row>
    <row r="244" spans="4:20" x14ac:dyDescent="0.3">
      <c r="D244" s="167"/>
      <c r="E244" s="175"/>
      <c r="F244" s="175"/>
      <c r="G244" s="175"/>
      <c r="H244" s="175"/>
      <c r="I244" s="175"/>
      <c r="J244" s="175"/>
      <c r="K244" s="175"/>
      <c r="L244" s="175"/>
      <c r="M244" s="175"/>
      <c r="N244" s="175"/>
      <c r="O244" s="175"/>
      <c r="P244" s="175"/>
      <c r="Q244" s="175"/>
      <c r="R244" s="175"/>
      <c r="S244" s="175"/>
      <c r="T244" s="175"/>
    </row>
    <row r="245" spans="4:20" x14ac:dyDescent="0.3">
      <c r="D245" s="167"/>
      <c r="E245" s="175"/>
      <c r="F245" s="175"/>
      <c r="G245" s="175"/>
      <c r="H245" s="175"/>
      <c r="I245" s="175"/>
      <c r="J245" s="175"/>
      <c r="K245" s="175"/>
      <c r="L245" s="175"/>
      <c r="M245" s="175"/>
      <c r="N245" s="175"/>
      <c r="O245" s="175"/>
      <c r="P245" s="175"/>
      <c r="Q245" s="175"/>
      <c r="R245" s="175"/>
      <c r="S245" s="175"/>
      <c r="T245" s="175"/>
    </row>
    <row r="246" spans="4:20" x14ac:dyDescent="0.3">
      <c r="D246" s="167"/>
      <c r="E246" s="175"/>
      <c r="F246" s="175"/>
      <c r="G246" s="175"/>
      <c r="H246" s="175"/>
      <c r="I246" s="175"/>
      <c r="J246" s="175"/>
      <c r="K246" s="175"/>
      <c r="L246" s="175"/>
      <c r="M246" s="175"/>
      <c r="N246" s="175"/>
      <c r="O246" s="175"/>
      <c r="P246" s="175"/>
      <c r="Q246" s="175"/>
      <c r="R246" s="175"/>
      <c r="S246" s="175"/>
      <c r="T246" s="175"/>
    </row>
    <row r="247" spans="4:20" x14ac:dyDescent="0.3">
      <c r="D247" s="167"/>
      <c r="E247" s="175"/>
      <c r="F247" s="175"/>
      <c r="G247" s="175"/>
      <c r="H247" s="175"/>
      <c r="I247" s="175"/>
      <c r="J247" s="175"/>
      <c r="K247" s="175"/>
      <c r="L247" s="175"/>
      <c r="M247" s="175"/>
      <c r="N247" s="175"/>
      <c r="O247" s="175"/>
      <c r="P247" s="175"/>
      <c r="Q247" s="175"/>
      <c r="R247" s="175"/>
      <c r="S247" s="175"/>
      <c r="T247" s="175"/>
    </row>
    <row r="248" spans="4:20" x14ac:dyDescent="0.3">
      <c r="D248" s="167"/>
      <c r="E248" s="175"/>
      <c r="F248" s="175"/>
      <c r="G248" s="175"/>
      <c r="H248" s="175"/>
      <c r="I248" s="175"/>
      <c r="J248" s="175"/>
      <c r="K248" s="175"/>
      <c r="L248" s="175"/>
      <c r="M248" s="175"/>
      <c r="N248" s="175"/>
      <c r="O248" s="175"/>
      <c r="P248" s="175"/>
      <c r="Q248" s="175"/>
      <c r="R248" s="175"/>
      <c r="S248" s="175"/>
      <c r="T248" s="175"/>
    </row>
    <row r="249" spans="4:20" x14ac:dyDescent="0.3">
      <c r="D249" s="167"/>
      <c r="E249" s="175"/>
      <c r="F249" s="175"/>
      <c r="G249" s="175"/>
      <c r="H249" s="175"/>
      <c r="I249" s="175"/>
      <c r="J249" s="175"/>
      <c r="K249" s="175"/>
      <c r="L249" s="175"/>
      <c r="M249" s="175"/>
      <c r="N249" s="175"/>
      <c r="O249" s="175"/>
      <c r="P249" s="175"/>
      <c r="Q249" s="175"/>
      <c r="R249" s="175"/>
      <c r="S249" s="175"/>
      <c r="T249" s="175"/>
    </row>
    <row r="250" spans="4:20" x14ac:dyDescent="0.3">
      <c r="D250" s="167"/>
      <c r="E250" s="175"/>
      <c r="F250" s="175"/>
      <c r="G250" s="175"/>
      <c r="H250" s="175"/>
      <c r="I250" s="175"/>
      <c r="J250" s="175"/>
      <c r="K250" s="175"/>
      <c r="L250" s="175"/>
      <c r="M250" s="175"/>
      <c r="N250" s="175"/>
      <c r="O250" s="175"/>
      <c r="P250" s="175"/>
      <c r="Q250" s="175"/>
      <c r="R250" s="175"/>
      <c r="S250" s="175"/>
      <c r="T250" s="175"/>
    </row>
    <row r="251" spans="4:20" x14ac:dyDescent="0.3">
      <c r="D251" s="167"/>
      <c r="E251" s="175"/>
      <c r="F251" s="175"/>
      <c r="G251" s="175"/>
      <c r="H251" s="175"/>
      <c r="I251" s="175"/>
      <c r="J251" s="175"/>
      <c r="K251" s="175"/>
      <c r="L251" s="175"/>
      <c r="M251" s="175"/>
      <c r="N251" s="175"/>
      <c r="O251" s="175"/>
      <c r="P251" s="175"/>
      <c r="Q251" s="175"/>
      <c r="R251" s="175"/>
      <c r="S251" s="175"/>
      <c r="T251" s="175"/>
    </row>
    <row r="252" spans="4:20" x14ac:dyDescent="0.3">
      <c r="D252" s="167"/>
      <c r="E252" s="175"/>
      <c r="F252" s="175"/>
      <c r="G252" s="175"/>
      <c r="H252" s="175"/>
      <c r="I252" s="175"/>
      <c r="J252" s="175"/>
      <c r="K252" s="175"/>
      <c r="L252" s="175"/>
      <c r="M252" s="175"/>
      <c r="N252" s="175"/>
      <c r="O252" s="175"/>
      <c r="P252" s="175"/>
      <c r="Q252" s="175"/>
      <c r="R252" s="175"/>
      <c r="S252" s="175"/>
      <c r="T252" s="175"/>
    </row>
    <row r="253" spans="4:20" x14ac:dyDescent="0.3">
      <c r="D253" s="167"/>
      <c r="E253" s="175"/>
      <c r="F253" s="175"/>
      <c r="G253" s="175"/>
      <c r="H253" s="175"/>
      <c r="I253" s="175"/>
      <c r="J253" s="175"/>
      <c r="K253" s="175"/>
      <c r="L253" s="175"/>
      <c r="M253" s="175"/>
      <c r="N253" s="175"/>
      <c r="O253" s="175"/>
      <c r="P253" s="175"/>
      <c r="Q253" s="175"/>
      <c r="R253" s="175"/>
      <c r="S253" s="175"/>
      <c r="T253" s="175"/>
    </row>
    <row r="254" spans="4:20" x14ac:dyDescent="0.3">
      <c r="D254" s="167"/>
      <c r="E254" s="175"/>
      <c r="F254" s="175"/>
      <c r="G254" s="175"/>
      <c r="H254" s="175"/>
      <c r="I254" s="175"/>
      <c r="J254" s="175"/>
      <c r="K254" s="175"/>
      <c r="L254" s="175"/>
      <c r="M254" s="175"/>
      <c r="N254" s="175"/>
      <c r="O254" s="175"/>
      <c r="P254" s="175"/>
      <c r="Q254" s="175"/>
      <c r="R254" s="175"/>
      <c r="S254" s="175"/>
      <c r="T254" s="175"/>
    </row>
    <row r="255" spans="4:20" x14ac:dyDescent="0.3">
      <c r="D255" s="167"/>
      <c r="E255" s="175"/>
      <c r="F255" s="175"/>
      <c r="G255" s="175"/>
      <c r="H255" s="175"/>
      <c r="I255" s="175"/>
      <c r="J255" s="175"/>
      <c r="K255" s="175"/>
      <c r="L255" s="175"/>
      <c r="M255" s="175"/>
      <c r="N255" s="175"/>
      <c r="O255" s="175"/>
      <c r="P255" s="175"/>
      <c r="Q255" s="175"/>
      <c r="R255" s="175"/>
      <c r="S255" s="175"/>
      <c r="T255" s="175"/>
    </row>
    <row r="256" spans="4:20" x14ac:dyDescent="0.3">
      <c r="D256" s="167"/>
      <c r="E256" s="175"/>
      <c r="F256" s="175"/>
      <c r="G256" s="175"/>
      <c r="H256" s="175"/>
      <c r="I256" s="175"/>
      <c r="J256" s="175"/>
      <c r="K256" s="175"/>
      <c r="L256" s="175"/>
      <c r="M256" s="175"/>
      <c r="N256" s="175"/>
      <c r="O256" s="175"/>
      <c r="P256" s="175"/>
      <c r="Q256" s="175"/>
      <c r="R256" s="175"/>
      <c r="S256" s="175"/>
      <c r="T256" s="175"/>
    </row>
    <row r="257" spans="4:20" x14ac:dyDescent="0.3">
      <c r="D257" s="167"/>
      <c r="E257" s="175"/>
      <c r="F257" s="175"/>
      <c r="G257" s="175"/>
      <c r="H257" s="175"/>
      <c r="I257" s="175"/>
      <c r="J257" s="175"/>
      <c r="K257" s="175"/>
      <c r="L257" s="175"/>
      <c r="M257" s="175"/>
      <c r="N257" s="175"/>
      <c r="O257" s="175"/>
      <c r="P257" s="175"/>
      <c r="Q257" s="175"/>
      <c r="R257" s="175"/>
      <c r="S257" s="175"/>
      <c r="T257" s="175"/>
    </row>
    <row r="258" spans="4:20" x14ac:dyDescent="0.3">
      <c r="D258" s="167"/>
      <c r="E258" s="175"/>
      <c r="F258" s="175"/>
      <c r="G258" s="175"/>
      <c r="H258" s="175"/>
      <c r="I258" s="175"/>
      <c r="J258" s="175"/>
      <c r="K258" s="175"/>
      <c r="L258" s="175"/>
      <c r="M258" s="175"/>
      <c r="N258" s="175"/>
      <c r="O258" s="175"/>
      <c r="P258" s="175"/>
      <c r="Q258" s="175"/>
      <c r="R258" s="175"/>
      <c r="S258" s="175"/>
      <c r="T258" s="175"/>
    </row>
    <row r="259" spans="4:20" x14ac:dyDescent="0.3">
      <c r="D259" s="167"/>
      <c r="E259" s="175"/>
      <c r="F259" s="175"/>
      <c r="G259" s="175"/>
      <c r="H259" s="175"/>
      <c r="I259" s="175"/>
      <c r="J259" s="175"/>
      <c r="K259" s="175"/>
      <c r="L259" s="175"/>
      <c r="M259" s="175"/>
      <c r="N259" s="175"/>
      <c r="O259" s="175"/>
      <c r="P259" s="175"/>
      <c r="Q259" s="175"/>
      <c r="R259" s="175"/>
      <c r="S259" s="175"/>
      <c r="T259" s="175"/>
    </row>
    <row r="260" spans="4:20" x14ac:dyDescent="0.3">
      <c r="D260" s="167"/>
      <c r="E260" s="175"/>
      <c r="F260" s="175"/>
      <c r="G260" s="175"/>
      <c r="H260" s="175"/>
      <c r="I260" s="175"/>
      <c r="J260" s="175"/>
      <c r="K260" s="175"/>
      <c r="L260" s="175"/>
      <c r="M260" s="175"/>
      <c r="N260" s="175"/>
      <c r="O260" s="175"/>
      <c r="P260" s="175"/>
      <c r="Q260" s="175"/>
      <c r="R260" s="175"/>
      <c r="S260" s="175"/>
      <c r="T260" s="175"/>
    </row>
    <row r="261" spans="4:20" x14ac:dyDescent="0.3">
      <c r="D261" s="167"/>
      <c r="E261" s="175"/>
      <c r="F261" s="175"/>
      <c r="G261" s="175"/>
      <c r="H261" s="175"/>
      <c r="I261" s="175"/>
      <c r="J261" s="175"/>
      <c r="K261" s="175"/>
      <c r="L261" s="175"/>
      <c r="M261" s="175"/>
      <c r="N261" s="175"/>
      <c r="O261" s="175"/>
      <c r="P261" s="175"/>
      <c r="Q261" s="175"/>
      <c r="R261" s="175"/>
      <c r="S261" s="175"/>
      <c r="T261" s="175"/>
    </row>
    <row r="262" spans="4:20" x14ac:dyDescent="0.3">
      <c r="D262" s="167"/>
      <c r="E262" s="175"/>
      <c r="F262" s="175"/>
      <c r="G262" s="175"/>
      <c r="H262" s="175"/>
      <c r="I262" s="175"/>
      <c r="J262" s="175"/>
      <c r="K262" s="175"/>
      <c r="L262" s="175"/>
      <c r="M262" s="175"/>
      <c r="N262" s="175"/>
      <c r="O262" s="175"/>
      <c r="P262" s="175"/>
      <c r="Q262" s="175"/>
      <c r="R262" s="175"/>
      <c r="S262" s="175"/>
      <c r="T262" s="175"/>
    </row>
    <row r="263" spans="4:20" x14ac:dyDescent="0.3">
      <c r="D263" s="167"/>
      <c r="E263" s="175"/>
      <c r="F263" s="175"/>
      <c r="G263" s="175"/>
      <c r="H263" s="175"/>
      <c r="I263" s="175"/>
      <c r="J263" s="175"/>
      <c r="K263" s="175"/>
      <c r="L263" s="175"/>
      <c r="M263" s="175"/>
      <c r="N263" s="175"/>
      <c r="O263" s="175"/>
      <c r="P263" s="175"/>
      <c r="Q263" s="175"/>
      <c r="R263" s="175"/>
      <c r="S263" s="175"/>
      <c r="T263" s="175"/>
    </row>
    <row r="264" spans="4:20" x14ac:dyDescent="0.3">
      <c r="D264" s="167"/>
      <c r="E264" s="175"/>
      <c r="F264" s="175"/>
      <c r="G264" s="175"/>
      <c r="H264" s="175"/>
      <c r="I264" s="175"/>
      <c r="J264" s="175"/>
      <c r="K264" s="175"/>
      <c r="L264" s="175"/>
      <c r="M264" s="175"/>
      <c r="N264" s="175"/>
      <c r="O264" s="175"/>
      <c r="P264" s="175"/>
      <c r="Q264" s="175"/>
      <c r="R264" s="175"/>
      <c r="S264" s="175"/>
      <c r="T264" s="175"/>
    </row>
    <row r="265" spans="4:20" x14ac:dyDescent="0.3">
      <c r="D265" s="167"/>
      <c r="E265" s="175"/>
      <c r="F265" s="175"/>
      <c r="G265" s="175"/>
      <c r="H265" s="175"/>
      <c r="I265" s="175"/>
      <c r="J265" s="175"/>
      <c r="K265" s="175"/>
      <c r="L265" s="175"/>
      <c r="M265" s="175"/>
      <c r="N265" s="175"/>
      <c r="O265" s="175"/>
      <c r="P265" s="175"/>
      <c r="Q265" s="175"/>
      <c r="R265" s="175"/>
      <c r="S265" s="175"/>
      <c r="T265" s="175"/>
    </row>
    <row r="266" spans="4:20" x14ac:dyDescent="0.3">
      <c r="D266" s="167"/>
      <c r="E266" s="175"/>
      <c r="F266" s="175"/>
      <c r="G266" s="175"/>
      <c r="H266" s="175"/>
      <c r="I266" s="175"/>
      <c r="J266" s="175"/>
      <c r="K266" s="175"/>
      <c r="L266" s="175"/>
      <c r="M266" s="175"/>
      <c r="N266" s="175"/>
      <c r="O266" s="175"/>
      <c r="P266" s="175"/>
      <c r="Q266" s="175"/>
      <c r="R266" s="175"/>
      <c r="S266" s="175"/>
      <c r="T266" s="175"/>
    </row>
    <row r="267" spans="4:20" x14ac:dyDescent="0.3">
      <c r="D267" s="167"/>
      <c r="E267" s="175"/>
      <c r="F267" s="175"/>
      <c r="G267" s="175"/>
      <c r="H267" s="175"/>
      <c r="I267" s="175"/>
      <c r="J267" s="175"/>
      <c r="K267" s="175"/>
      <c r="L267" s="175"/>
      <c r="M267" s="175"/>
      <c r="N267" s="175"/>
      <c r="O267" s="175"/>
      <c r="P267" s="175"/>
      <c r="Q267" s="175"/>
      <c r="R267" s="175"/>
      <c r="S267" s="175"/>
      <c r="T267" s="175"/>
    </row>
    <row r="268" spans="4:20" x14ac:dyDescent="0.3">
      <c r="D268" s="167"/>
      <c r="E268" s="175"/>
      <c r="F268" s="175"/>
      <c r="G268" s="175"/>
      <c r="H268" s="175"/>
      <c r="I268" s="175"/>
      <c r="J268" s="175"/>
      <c r="K268" s="175"/>
      <c r="L268" s="175"/>
      <c r="M268" s="175"/>
      <c r="N268" s="175"/>
      <c r="O268" s="175"/>
      <c r="P268" s="175"/>
      <c r="Q268" s="175"/>
      <c r="R268" s="175"/>
      <c r="S268" s="175"/>
      <c r="T268" s="175"/>
    </row>
    <row r="269" spans="4:20" x14ac:dyDescent="0.3">
      <c r="D269" s="167"/>
      <c r="E269" s="175"/>
      <c r="F269" s="175"/>
      <c r="G269" s="175"/>
      <c r="H269" s="175"/>
      <c r="I269" s="175"/>
      <c r="J269" s="175"/>
      <c r="K269" s="175"/>
      <c r="L269" s="175"/>
      <c r="M269" s="175"/>
      <c r="N269" s="175"/>
      <c r="O269" s="175"/>
      <c r="P269" s="175"/>
      <c r="Q269" s="175"/>
      <c r="R269" s="175"/>
      <c r="S269" s="175"/>
      <c r="T269" s="175"/>
    </row>
    <row r="270" spans="4:20" x14ac:dyDescent="0.3">
      <c r="D270" s="167"/>
      <c r="E270" s="175"/>
      <c r="F270" s="175"/>
      <c r="G270" s="175"/>
      <c r="H270" s="175"/>
      <c r="I270" s="175"/>
      <c r="J270" s="175"/>
      <c r="K270" s="175"/>
      <c r="L270" s="175"/>
      <c r="M270" s="175"/>
      <c r="N270" s="175"/>
      <c r="O270" s="175"/>
      <c r="P270" s="175"/>
      <c r="Q270" s="175"/>
      <c r="R270" s="175"/>
      <c r="S270" s="175"/>
      <c r="T270" s="175"/>
    </row>
    <row r="271" spans="4:20" x14ac:dyDescent="0.3">
      <c r="D271" s="167"/>
      <c r="E271" s="175"/>
      <c r="F271" s="175"/>
      <c r="G271" s="175"/>
      <c r="H271" s="175"/>
      <c r="I271" s="175"/>
      <c r="J271" s="175"/>
      <c r="K271" s="175"/>
      <c r="L271" s="175"/>
      <c r="M271" s="175"/>
      <c r="N271" s="175"/>
      <c r="O271" s="175"/>
      <c r="P271" s="175"/>
      <c r="Q271" s="175"/>
      <c r="R271" s="175"/>
      <c r="S271" s="175"/>
      <c r="T271" s="175"/>
    </row>
    <row r="272" spans="4:20" x14ac:dyDescent="0.3">
      <c r="D272" s="167"/>
      <c r="E272" s="175"/>
      <c r="F272" s="175"/>
      <c r="G272" s="175"/>
      <c r="H272" s="175"/>
      <c r="I272" s="175"/>
      <c r="J272" s="175"/>
      <c r="K272" s="175"/>
      <c r="L272" s="175"/>
      <c r="M272" s="175"/>
      <c r="N272" s="175"/>
    </row>
    <row r="273" spans="4:14" x14ac:dyDescent="0.3">
      <c r="D273" s="167"/>
      <c r="E273" s="175"/>
      <c r="F273" s="175"/>
      <c r="G273" s="175"/>
      <c r="H273" s="175"/>
      <c r="I273" s="175"/>
      <c r="J273" s="175"/>
      <c r="K273" s="175"/>
      <c r="L273" s="175"/>
      <c r="M273" s="175"/>
      <c r="N273" s="175"/>
    </row>
    <row r="274" spans="4:14" x14ac:dyDescent="0.3">
      <c r="D274" s="167"/>
      <c r="E274" s="175"/>
      <c r="F274" s="175"/>
      <c r="G274" s="175"/>
      <c r="H274" s="175"/>
      <c r="I274" s="175"/>
      <c r="J274" s="175"/>
      <c r="K274" s="175"/>
      <c r="L274" s="175"/>
      <c r="M274" s="175"/>
      <c r="N274" s="175"/>
    </row>
    <row r="275" spans="4:14" x14ac:dyDescent="0.3">
      <c r="D275" s="167"/>
      <c r="E275" s="175"/>
      <c r="F275" s="175"/>
      <c r="G275" s="175"/>
      <c r="H275" s="175"/>
      <c r="I275" s="175"/>
      <c r="J275" s="175"/>
      <c r="K275" s="175"/>
      <c r="L275" s="175"/>
      <c r="M275" s="175"/>
      <c r="N275" s="175"/>
    </row>
    <row r="276" spans="4:14" x14ac:dyDescent="0.3">
      <c r="D276" s="167"/>
      <c r="E276" s="175"/>
      <c r="F276" s="175"/>
      <c r="G276" s="175"/>
      <c r="H276" s="175"/>
      <c r="I276" s="175"/>
      <c r="J276" s="175"/>
      <c r="K276" s="175"/>
      <c r="L276" s="175"/>
      <c r="M276" s="175"/>
      <c r="N276" s="175"/>
    </row>
    <row r="277" spans="4:14" x14ac:dyDescent="0.3">
      <c r="D277" s="167"/>
      <c r="E277" s="175"/>
      <c r="F277" s="175"/>
      <c r="G277" s="175"/>
      <c r="H277" s="175"/>
      <c r="I277" s="175"/>
      <c r="J277" s="175"/>
      <c r="K277" s="175"/>
      <c r="L277" s="175"/>
      <c r="M277" s="175"/>
      <c r="N277" s="175"/>
    </row>
    <row r="278" spans="4:14" x14ac:dyDescent="0.3">
      <c r="D278" s="167"/>
      <c r="E278" s="175"/>
      <c r="F278" s="175"/>
      <c r="G278" s="175"/>
      <c r="H278" s="175"/>
      <c r="I278" s="175"/>
      <c r="J278" s="175"/>
      <c r="K278" s="175"/>
      <c r="L278" s="175"/>
      <c r="M278" s="175"/>
      <c r="N278" s="175"/>
    </row>
    <row r="279" spans="4:14" x14ac:dyDescent="0.3">
      <c r="D279" s="167"/>
      <c r="E279" s="175"/>
      <c r="F279" s="175"/>
      <c r="G279" s="175"/>
      <c r="H279" s="175"/>
      <c r="I279" s="175"/>
      <c r="J279" s="175"/>
      <c r="K279" s="175"/>
      <c r="L279" s="175"/>
      <c r="M279" s="175"/>
      <c r="N279" s="175"/>
    </row>
    <row r="280" spans="4:14" x14ac:dyDescent="0.3">
      <c r="D280" s="167"/>
      <c r="E280" s="175"/>
      <c r="F280" s="175"/>
      <c r="G280" s="175"/>
      <c r="H280" s="175"/>
      <c r="I280" s="175"/>
      <c r="J280" s="175"/>
      <c r="K280" s="175"/>
      <c r="L280" s="175"/>
      <c r="M280" s="175"/>
      <c r="N280" s="175"/>
    </row>
    <row r="281" spans="4:14" x14ac:dyDescent="0.3">
      <c r="D281" s="167"/>
      <c r="E281" s="175"/>
      <c r="F281" s="175"/>
      <c r="G281" s="175"/>
      <c r="H281" s="175"/>
      <c r="I281" s="175"/>
      <c r="J281" s="175"/>
      <c r="K281" s="175"/>
      <c r="L281" s="175"/>
      <c r="M281" s="175"/>
      <c r="N281" s="175"/>
    </row>
    <row r="282" spans="4:14" x14ac:dyDescent="0.3">
      <c r="D282" s="167"/>
      <c r="E282" s="175"/>
      <c r="F282" s="175"/>
      <c r="G282" s="175"/>
      <c r="H282" s="175"/>
      <c r="I282" s="175"/>
      <c r="J282" s="175"/>
      <c r="K282" s="175"/>
      <c r="L282" s="175"/>
      <c r="M282" s="175"/>
      <c r="N282" s="175"/>
    </row>
    <row r="283" spans="4:14" x14ac:dyDescent="0.3">
      <c r="D283" s="167"/>
      <c r="E283" s="175"/>
      <c r="F283" s="175"/>
      <c r="G283" s="175"/>
      <c r="H283" s="175"/>
      <c r="I283" s="175"/>
      <c r="J283" s="175"/>
      <c r="K283" s="175"/>
      <c r="L283" s="175"/>
      <c r="M283" s="175"/>
      <c r="N283" s="175"/>
    </row>
    <row r="284" spans="4:14" x14ac:dyDescent="0.3">
      <c r="D284" s="167"/>
      <c r="E284" s="175"/>
      <c r="F284" s="175"/>
      <c r="G284" s="175"/>
      <c r="H284" s="175"/>
      <c r="I284" s="175"/>
      <c r="J284" s="175"/>
      <c r="K284" s="175"/>
      <c r="L284" s="175"/>
      <c r="M284" s="175"/>
      <c r="N284" s="175"/>
    </row>
    <row r="285" spans="4:14" x14ac:dyDescent="0.3">
      <c r="D285" s="167"/>
      <c r="E285" s="175"/>
      <c r="F285" s="175"/>
      <c r="G285" s="175"/>
      <c r="H285" s="175"/>
      <c r="I285" s="175"/>
      <c r="J285" s="175"/>
      <c r="K285" s="175"/>
      <c r="L285" s="175"/>
      <c r="M285" s="175"/>
      <c r="N285" s="175"/>
    </row>
    <row r="286" spans="4:14" x14ac:dyDescent="0.3">
      <c r="D286" s="167"/>
      <c r="E286" s="175"/>
      <c r="F286" s="175"/>
      <c r="G286" s="175"/>
      <c r="H286" s="175"/>
      <c r="I286" s="175"/>
      <c r="J286" s="175"/>
      <c r="K286" s="175"/>
      <c r="L286" s="175"/>
      <c r="M286" s="175"/>
      <c r="N286" s="175"/>
    </row>
    <row r="287" spans="4:14" x14ac:dyDescent="0.3">
      <c r="D287" s="167"/>
      <c r="E287" s="175"/>
      <c r="F287" s="175"/>
      <c r="G287" s="175"/>
      <c r="H287" s="175"/>
      <c r="I287" s="175"/>
      <c r="J287" s="175"/>
      <c r="K287" s="175"/>
      <c r="L287" s="175"/>
      <c r="M287" s="175"/>
      <c r="N287" s="175"/>
    </row>
    <row r="288" spans="4:14" x14ac:dyDescent="0.3">
      <c r="D288" s="167"/>
      <c r="E288" s="175"/>
      <c r="F288" s="175"/>
      <c r="G288" s="175"/>
      <c r="H288" s="175"/>
      <c r="I288" s="175"/>
      <c r="J288" s="175"/>
      <c r="K288" s="175"/>
      <c r="L288" s="175"/>
      <c r="M288" s="175"/>
      <c r="N288" s="175"/>
    </row>
    <row r="289" spans="4:14" x14ac:dyDescent="0.3">
      <c r="D289" s="167"/>
      <c r="E289" s="175"/>
      <c r="F289" s="175"/>
      <c r="G289" s="175"/>
      <c r="H289" s="175"/>
      <c r="I289" s="175"/>
      <c r="J289" s="175"/>
      <c r="K289" s="175"/>
      <c r="L289" s="175"/>
      <c r="M289" s="175"/>
      <c r="N289" s="175"/>
    </row>
    <row r="290" spans="4:14" x14ac:dyDescent="0.3">
      <c r="D290" s="167"/>
      <c r="E290" s="175"/>
      <c r="F290" s="175"/>
      <c r="G290" s="175"/>
      <c r="H290" s="175"/>
      <c r="I290" s="175"/>
      <c r="J290" s="175"/>
      <c r="K290" s="175"/>
      <c r="L290" s="175"/>
      <c r="M290" s="175"/>
      <c r="N290" s="175"/>
    </row>
    <row r="291" spans="4:14" x14ac:dyDescent="0.3">
      <c r="D291" s="167"/>
      <c r="E291" s="175"/>
      <c r="F291" s="175"/>
      <c r="G291" s="175"/>
      <c r="H291" s="175"/>
      <c r="I291" s="175"/>
      <c r="J291" s="175"/>
      <c r="K291" s="175"/>
      <c r="L291" s="175"/>
      <c r="M291" s="175"/>
      <c r="N291" s="175"/>
    </row>
    <row r="292" spans="4:14" x14ac:dyDescent="0.3">
      <c r="D292" s="167"/>
      <c r="E292" s="175"/>
      <c r="F292" s="175"/>
      <c r="G292" s="175"/>
      <c r="H292" s="175"/>
      <c r="I292" s="175"/>
      <c r="J292" s="175"/>
      <c r="K292" s="175"/>
      <c r="L292" s="175"/>
      <c r="M292" s="175"/>
      <c r="N292" s="175"/>
    </row>
    <row r="293" spans="4:14" x14ac:dyDescent="0.3">
      <c r="D293" s="167"/>
      <c r="E293" s="175"/>
      <c r="F293" s="175"/>
      <c r="G293" s="175"/>
      <c r="H293" s="175"/>
      <c r="I293" s="175"/>
      <c r="J293" s="175"/>
      <c r="K293" s="175"/>
      <c r="L293" s="175"/>
      <c r="M293" s="175"/>
      <c r="N293" s="175"/>
    </row>
    <row r="294" spans="4:14" x14ac:dyDescent="0.3">
      <c r="D294" s="167"/>
      <c r="E294" s="175"/>
      <c r="F294" s="175"/>
      <c r="G294" s="175"/>
      <c r="H294" s="175"/>
      <c r="I294" s="175"/>
      <c r="J294" s="175"/>
      <c r="K294" s="175"/>
      <c r="L294" s="175"/>
      <c r="M294" s="175"/>
      <c r="N294" s="175"/>
    </row>
    <row r="295" spans="4:14" x14ac:dyDescent="0.3">
      <c r="D295" s="167"/>
      <c r="E295" s="175"/>
      <c r="F295" s="175"/>
      <c r="G295" s="175"/>
      <c r="H295" s="175"/>
      <c r="I295" s="175"/>
      <c r="J295" s="175"/>
      <c r="K295" s="175"/>
      <c r="L295" s="175"/>
      <c r="M295" s="175"/>
      <c r="N295" s="175"/>
    </row>
    <row r="296" spans="4:14" x14ac:dyDescent="0.3">
      <c r="D296" s="167"/>
      <c r="E296" s="175"/>
      <c r="F296" s="175"/>
      <c r="G296" s="175"/>
      <c r="H296" s="175"/>
      <c r="I296" s="175"/>
      <c r="J296" s="175"/>
      <c r="K296" s="175"/>
      <c r="L296" s="175"/>
      <c r="M296" s="175"/>
      <c r="N296" s="175"/>
    </row>
    <row r="297" spans="4:14" x14ac:dyDescent="0.3">
      <c r="D297" s="167"/>
      <c r="E297" s="175"/>
      <c r="F297" s="175"/>
      <c r="G297" s="175"/>
      <c r="H297" s="175"/>
      <c r="I297" s="175"/>
      <c r="J297" s="175"/>
      <c r="K297" s="175"/>
      <c r="L297" s="175"/>
      <c r="M297" s="175"/>
      <c r="N297" s="175"/>
    </row>
    <row r="298" spans="4:14" x14ac:dyDescent="0.3">
      <c r="D298" s="167"/>
      <c r="E298" s="175"/>
      <c r="F298" s="175"/>
      <c r="G298" s="175"/>
      <c r="H298" s="175"/>
      <c r="I298" s="175"/>
      <c r="J298" s="175"/>
      <c r="K298" s="175"/>
      <c r="L298" s="175"/>
      <c r="M298" s="175"/>
      <c r="N298" s="175"/>
    </row>
    <row r="299" spans="4:14" x14ac:dyDescent="0.3">
      <c r="D299" s="167"/>
      <c r="E299" s="175"/>
      <c r="F299" s="175"/>
      <c r="G299" s="175"/>
      <c r="H299" s="175"/>
      <c r="I299" s="175"/>
      <c r="J299" s="175"/>
      <c r="K299" s="175"/>
      <c r="L299" s="175"/>
      <c r="M299" s="175"/>
      <c r="N299" s="175"/>
    </row>
    <row r="300" spans="4:14" x14ac:dyDescent="0.3">
      <c r="D300" s="167"/>
      <c r="E300" s="175"/>
      <c r="F300" s="175"/>
      <c r="G300" s="175"/>
      <c r="H300" s="175"/>
      <c r="I300" s="175"/>
      <c r="J300" s="175"/>
      <c r="K300" s="175"/>
      <c r="L300" s="175"/>
      <c r="M300" s="175"/>
      <c r="N300" s="175"/>
    </row>
    <row r="301" spans="4:14" x14ac:dyDescent="0.3">
      <c r="D301" s="167"/>
      <c r="E301" s="175"/>
      <c r="F301" s="175"/>
      <c r="G301" s="175"/>
      <c r="H301" s="175"/>
      <c r="I301" s="175"/>
      <c r="J301" s="175"/>
      <c r="K301" s="175"/>
      <c r="L301" s="175"/>
      <c r="M301" s="175"/>
      <c r="N301" s="175"/>
    </row>
    <row r="302" spans="4:14" x14ac:dyDescent="0.3">
      <c r="D302" s="167"/>
      <c r="E302" s="175"/>
      <c r="F302" s="175"/>
      <c r="G302" s="175"/>
      <c r="H302" s="175"/>
      <c r="I302" s="175"/>
      <c r="J302" s="175"/>
      <c r="K302" s="175"/>
      <c r="L302" s="175"/>
      <c r="M302" s="175"/>
      <c r="N302" s="175"/>
    </row>
    <row r="303" spans="4:14" x14ac:dyDescent="0.3">
      <c r="D303" s="167"/>
      <c r="E303" s="175"/>
      <c r="F303" s="175"/>
      <c r="G303" s="175"/>
      <c r="H303" s="175"/>
      <c r="I303" s="175"/>
      <c r="J303" s="175"/>
      <c r="K303" s="175"/>
      <c r="L303" s="175"/>
      <c r="M303" s="175"/>
      <c r="N303" s="175"/>
    </row>
    <row r="304" spans="4:14" x14ac:dyDescent="0.3">
      <c r="D304" s="167"/>
      <c r="E304" s="175"/>
      <c r="F304" s="175"/>
      <c r="G304" s="175"/>
      <c r="H304" s="175"/>
      <c r="I304" s="175"/>
      <c r="J304" s="175"/>
      <c r="K304" s="175"/>
      <c r="L304" s="175"/>
      <c r="M304" s="175"/>
      <c r="N304" s="175"/>
    </row>
    <row r="305" spans="4:14" x14ac:dyDescent="0.3">
      <c r="D305" s="167"/>
      <c r="E305" s="175"/>
      <c r="F305" s="175"/>
      <c r="G305" s="175"/>
      <c r="H305" s="175"/>
      <c r="I305" s="175"/>
      <c r="J305" s="175"/>
      <c r="K305" s="175"/>
      <c r="L305" s="175"/>
      <c r="M305" s="175"/>
      <c r="N305" s="175"/>
    </row>
    <row r="306" spans="4:14" x14ac:dyDescent="0.3">
      <c r="D306" s="167"/>
      <c r="E306" s="175"/>
      <c r="F306" s="175"/>
      <c r="G306" s="175"/>
      <c r="H306" s="175"/>
      <c r="I306" s="175"/>
      <c r="J306" s="175"/>
      <c r="K306" s="175"/>
      <c r="L306" s="175"/>
      <c r="M306" s="175"/>
      <c r="N306" s="175"/>
    </row>
    <row r="307" spans="4:14" x14ac:dyDescent="0.3">
      <c r="D307" s="167"/>
      <c r="E307" s="175"/>
      <c r="F307" s="175"/>
      <c r="G307" s="175"/>
      <c r="H307" s="175"/>
      <c r="I307" s="175"/>
      <c r="J307" s="175"/>
      <c r="K307" s="175"/>
      <c r="L307" s="175"/>
      <c r="M307" s="175"/>
      <c r="N307" s="175"/>
    </row>
    <row r="308" spans="4:14" x14ac:dyDescent="0.3">
      <c r="D308" s="167"/>
      <c r="E308" s="175"/>
      <c r="F308" s="175"/>
      <c r="G308" s="175"/>
      <c r="H308" s="175"/>
      <c r="I308" s="175"/>
      <c r="J308" s="175"/>
      <c r="K308" s="175"/>
      <c r="L308" s="175"/>
      <c r="M308" s="175"/>
      <c r="N308" s="175"/>
    </row>
    <row r="309" spans="4:14" x14ac:dyDescent="0.3">
      <c r="D309" s="167"/>
      <c r="E309" s="175"/>
      <c r="F309" s="175"/>
      <c r="G309" s="175"/>
      <c r="H309" s="175"/>
      <c r="I309" s="175"/>
      <c r="J309" s="175"/>
      <c r="K309" s="175"/>
      <c r="L309" s="175"/>
      <c r="M309" s="175"/>
      <c r="N309" s="175"/>
    </row>
    <row r="310" spans="4:14" x14ac:dyDescent="0.3">
      <c r="D310" s="167"/>
      <c r="E310" s="175"/>
      <c r="F310" s="175"/>
      <c r="G310" s="175"/>
      <c r="H310" s="175"/>
      <c r="I310" s="175"/>
      <c r="J310" s="175"/>
      <c r="K310" s="175"/>
      <c r="L310" s="175"/>
      <c r="M310" s="175"/>
      <c r="N310" s="175"/>
    </row>
    <row r="311" spans="4:14" x14ac:dyDescent="0.3">
      <c r="D311" s="167"/>
      <c r="E311" s="175"/>
      <c r="F311" s="175"/>
      <c r="G311" s="175"/>
      <c r="H311" s="175"/>
      <c r="I311" s="175"/>
      <c r="J311" s="175"/>
      <c r="K311" s="175"/>
      <c r="L311" s="175"/>
      <c r="M311" s="175"/>
      <c r="N311" s="175"/>
    </row>
    <row r="312" spans="4:14" x14ac:dyDescent="0.3">
      <c r="D312" s="167"/>
      <c r="E312" s="175"/>
      <c r="F312" s="175"/>
      <c r="G312" s="175"/>
      <c r="H312" s="175"/>
      <c r="I312" s="175"/>
      <c r="J312" s="175"/>
      <c r="K312" s="175"/>
      <c r="L312" s="175"/>
      <c r="M312" s="175"/>
      <c r="N312" s="175"/>
    </row>
    <row r="313" spans="4:14" x14ac:dyDescent="0.3">
      <c r="D313" s="167"/>
      <c r="E313" s="175"/>
      <c r="F313" s="175"/>
      <c r="G313" s="175"/>
      <c r="H313" s="175"/>
      <c r="I313" s="175"/>
      <c r="J313" s="175"/>
      <c r="K313" s="175"/>
      <c r="L313" s="175"/>
      <c r="M313" s="175"/>
      <c r="N313" s="175"/>
    </row>
    <row r="314" spans="4:14" x14ac:dyDescent="0.3">
      <c r="D314" s="167"/>
      <c r="E314" s="175"/>
      <c r="F314" s="175"/>
      <c r="G314" s="175"/>
      <c r="H314" s="175"/>
      <c r="I314" s="175"/>
      <c r="J314" s="175"/>
      <c r="K314" s="175"/>
      <c r="L314" s="175"/>
      <c r="M314" s="175"/>
      <c r="N314" s="175"/>
    </row>
    <row r="315" spans="4:14" x14ac:dyDescent="0.3">
      <c r="D315" s="167"/>
      <c r="E315" s="175"/>
      <c r="F315" s="175"/>
      <c r="G315" s="175"/>
      <c r="H315" s="175"/>
      <c r="I315" s="175"/>
      <c r="J315" s="175"/>
      <c r="K315" s="175"/>
      <c r="L315" s="175"/>
      <c r="M315" s="175"/>
      <c r="N315" s="175"/>
    </row>
    <row r="316" spans="4:14" x14ac:dyDescent="0.3">
      <c r="D316" s="167"/>
      <c r="E316" s="175"/>
      <c r="F316" s="175"/>
      <c r="G316" s="175"/>
      <c r="H316" s="175"/>
      <c r="I316" s="175"/>
      <c r="J316" s="175"/>
      <c r="K316" s="175"/>
      <c r="L316" s="175"/>
      <c r="M316" s="175"/>
      <c r="N316" s="175"/>
    </row>
    <row r="317" spans="4:14" x14ac:dyDescent="0.3">
      <c r="D317" s="167"/>
      <c r="E317" s="175"/>
      <c r="F317" s="175"/>
      <c r="G317" s="175"/>
      <c r="H317" s="175"/>
      <c r="I317" s="175"/>
      <c r="J317" s="175"/>
      <c r="K317" s="175"/>
      <c r="L317" s="175"/>
      <c r="M317" s="175"/>
      <c r="N317" s="175"/>
    </row>
    <row r="318" spans="4:14" x14ac:dyDescent="0.3">
      <c r="D318" s="167"/>
      <c r="E318" s="175"/>
      <c r="F318" s="175"/>
      <c r="G318" s="175"/>
      <c r="H318" s="175"/>
      <c r="I318" s="175"/>
      <c r="J318" s="175"/>
      <c r="K318" s="175"/>
      <c r="L318" s="175"/>
      <c r="M318" s="175"/>
      <c r="N318" s="175"/>
    </row>
    <row r="319" spans="4:14" x14ac:dyDescent="0.3">
      <c r="D319" s="167"/>
      <c r="E319" s="175"/>
      <c r="F319" s="175"/>
      <c r="G319" s="175"/>
      <c r="H319" s="175"/>
      <c r="I319" s="175"/>
      <c r="J319" s="175"/>
      <c r="K319" s="175"/>
      <c r="L319" s="175"/>
      <c r="M319" s="175"/>
      <c r="N319" s="175"/>
    </row>
    <row r="320" spans="4:14" x14ac:dyDescent="0.3">
      <c r="D320" s="167"/>
      <c r="E320" s="175"/>
      <c r="F320" s="175"/>
      <c r="G320" s="175"/>
      <c r="H320" s="175"/>
      <c r="I320" s="175"/>
      <c r="J320" s="175"/>
      <c r="K320" s="175"/>
      <c r="L320" s="175"/>
      <c r="M320" s="175"/>
      <c r="N320" s="175"/>
    </row>
    <row r="321" spans="4:14" x14ac:dyDescent="0.3">
      <c r="D321" s="167"/>
      <c r="E321" s="175"/>
      <c r="F321" s="175"/>
      <c r="G321" s="175"/>
      <c r="H321" s="175"/>
      <c r="I321" s="175"/>
      <c r="J321" s="175"/>
      <c r="K321" s="175"/>
      <c r="L321" s="175"/>
      <c r="M321" s="175"/>
      <c r="N321" s="175"/>
    </row>
    <row r="322" spans="4:14" x14ac:dyDescent="0.3">
      <c r="D322" s="167"/>
      <c r="E322" s="175"/>
      <c r="F322" s="175"/>
      <c r="G322" s="175"/>
      <c r="H322" s="175"/>
      <c r="I322" s="175"/>
      <c r="J322" s="175"/>
      <c r="K322" s="175"/>
      <c r="L322" s="175"/>
      <c r="M322" s="175"/>
      <c r="N322" s="175"/>
    </row>
    <row r="323" spans="4:14" x14ac:dyDescent="0.3">
      <c r="D323" s="167"/>
      <c r="E323" s="175"/>
      <c r="F323" s="175"/>
      <c r="G323" s="175"/>
      <c r="H323" s="175"/>
      <c r="I323" s="175"/>
      <c r="J323" s="175"/>
      <c r="K323" s="175"/>
      <c r="L323" s="175"/>
      <c r="M323" s="175"/>
      <c r="N323" s="175"/>
    </row>
    <row r="324" spans="4:14" x14ac:dyDescent="0.3">
      <c r="D324" s="167"/>
      <c r="E324" s="175"/>
      <c r="F324" s="175"/>
      <c r="G324" s="175"/>
      <c r="H324" s="175"/>
      <c r="I324" s="175"/>
      <c r="J324" s="175"/>
      <c r="K324" s="175"/>
      <c r="L324" s="175"/>
      <c r="M324" s="175"/>
      <c r="N324" s="175"/>
    </row>
    <row r="325" spans="4:14" x14ac:dyDescent="0.3">
      <c r="D325" s="167"/>
      <c r="E325" s="175"/>
      <c r="F325" s="175"/>
      <c r="G325" s="175"/>
      <c r="H325" s="175"/>
      <c r="I325" s="175"/>
      <c r="J325" s="175"/>
      <c r="K325" s="175"/>
      <c r="L325" s="175"/>
      <c r="M325" s="175"/>
      <c r="N325" s="175"/>
    </row>
    <row r="326" spans="4:14" x14ac:dyDescent="0.3">
      <c r="D326" s="167"/>
      <c r="E326" s="175"/>
      <c r="F326" s="175"/>
      <c r="G326" s="175"/>
      <c r="H326" s="175"/>
      <c r="I326" s="175"/>
      <c r="J326" s="175"/>
      <c r="K326" s="175"/>
      <c r="L326" s="175"/>
      <c r="M326" s="175"/>
      <c r="N326" s="175"/>
    </row>
    <row r="327" spans="4:14" x14ac:dyDescent="0.3">
      <c r="D327" s="167"/>
      <c r="E327" s="175"/>
      <c r="F327" s="175"/>
      <c r="G327" s="175"/>
      <c r="H327" s="175"/>
      <c r="I327" s="175"/>
      <c r="J327" s="175"/>
      <c r="K327" s="175"/>
      <c r="L327" s="175"/>
      <c r="M327" s="175"/>
      <c r="N327" s="175"/>
    </row>
    <row r="328" spans="4:14" x14ac:dyDescent="0.3">
      <c r="D328" s="167"/>
      <c r="E328" s="175"/>
      <c r="F328" s="175"/>
      <c r="G328" s="175"/>
      <c r="H328" s="175"/>
      <c r="I328" s="175"/>
      <c r="J328" s="175"/>
      <c r="K328" s="175"/>
      <c r="L328" s="175"/>
      <c r="M328" s="175"/>
      <c r="N328" s="175"/>
    </row>
    <row r="329" spans="4:14" x14ac:dyDescent="0.3">
      <c r="D329" s="167"/>
      <c r="E329" s="175"/>
      <c r="F329" s="175"/>
      <c r="G329" s="175"/>
      <c r="H329" s="175"/>
      <c r="I329" s="175"/>
      <c r="J329" s="175"/>
      <c r="K329" s="175"/>
      <c r="L329" s="175"/>
      <c r="M329" s="175"/>
      <c r="N329" s="175"/>
    </row>
    <row r="330" spans="4:14" x14ac:dyDescent="0.3">
      <c r="D330" s="167"/>
      <c r="E330" s="175"/>
      <c r="F330" s="175"/>
      <c r="G330" s="175"/>
      <c r="H330" s="175"/>
      <c r="I330" s="175"/>
      <c r="J330" s="175"/>
      <c r="K330" s="175"/>
      <c r="L330" s="175"/>
      <c r="M330" s="175"/>
      <c r="N330" s="175"/>
    </row>
    <row r="331" spans="4:14" x14ac:dyDescent="0.3">
      <c r="D331" s="167"/>
      <c r="E331" s="175"/>
      <c r="F331" s="175"/>
      <c r="G331" s="175"/>
      <c r="H331" s="175"/>
      <c r="I331" s="175"/>
      <c r="J331" s="175"/>
      <c r="K331" s="175"/>
      <c r="L331" s="175"/>
      <c r="M331" s="175"/>
      <c r="N331" s="175"/>
    </row>
    <row r="332" spans="4:14" x14ac:dyDescent="0.3">
      <c r="D332" s="167"/>
      <c r="E332" s="175"/>
      <c r="F332" s="175"/>
      <c r="G332" s="175"/>
      <c r="H332" s="175"/>
      <c r="I332" s="175"/>
      <c r="J332" s="175"/>
      <c r="K332" s="175"/>
      <c r="L332" s="175"/>
      <c r="M332" s="175"/>
      <c r="N332" s="175"/>
    </row>
    <row r="333" spans="4:14" x14ac:dyDescent="0.3">
      <c r="D333" s="167"/>
      <c r="E333" s="175"/>
      <c r="F333" s="175"/>
      <c r="G333" s="175"/>
      <c r="H333" s="175"/>
      <c r="I333" s="175"/>
      <c r="J333" s="175"/>
      <c r="K333" s="175"/>
      <c r="L333" s="175"/>
      <c r="M333" s="175"/>
      <c r="N333" s="175"/>
    </row>
    <row r="334" spans="4:14" x14ac:dyDescent="0.3">
      <c r="D334" s="167"/>
      <c r="E334" s="175"/>
      <c r="F334" s="175"/>
      <c r="G334" s="175"/>
      <c r="H334" s="175"/>
      <c r="I334" s="175"/>
      <c r="J334" s="175"/>
      <c r="K334" s="175"/>
      <c r="L334" s="175"/>
      <c r="M334" s="175"/>
      <c r="N334" s="175"/>
    </row>
    <row r="335" spans="4:14" x14ac:dyDescent="0.3">
      <c r="D335" s="167"/>
      <c r="E335" s="175"/>
      <c r="F335" s="175"/>
      <c r="G335" s="175"/>
      <c r="H335" s="175"/>
      <c r="I335" s="175"/>
      <c r="J335" s="175"/>
      <c r="K335" s="175"/>
      <c r="L335" s="175"/>
      <c r="M335" s="175"/>
      <c r="N335" s="175"/>
    </row>
    <row r="336" spans="4:14" x14ac:dyDescent="0.3">
      <c r="D336" s="167"/>
      <c r="E336" s="175"/>
      <c r="F336" s="175"/>
      <c r="G336" s="175"/>
      <c r="H336" s="175"/>
      <c r="I336" s="175"/>
      <c r="J336" s="175"/>
      <c r="K336" s="175"/>
      <c r="L336" s="175"/>
      <c r="M336" s="175"/>
      <c r="N336" s="175"/>
    </row>
    <row r="337" spans="4:14" x14ac:dyDescent="0.3">
      <c r="D337" s="167"/>
      <c r="E337" s="175"/>
      <c r="F337" s="175"/>
      <c r="G337" s="175"/>
      <c r="H337" s="175"/>
      <c r="I337" s="175"/>
      <c r="J337" s="175"/>
      <c r="K337" s="175"/>
      <c r="L337" s="175"/>
      <c r="M337" s="175"/>
      <c r="N337" s="175"/>
    </row>
    <row r="338" spans="4:14" x14ac:dyDescent="0.3">
      <c r="D338" s="167"/>
      <c r="E338" s="175"/>
      <c r="F338" s="175"/>
      <c r="G338" s="175"/>
      <c r="H338" s="175"/>
      <c r="I338" s="175"/>
      <c r="J338" s="175"/>
      <c r="K338" s="175"/>
      <c r="L338" s="175"/>
      <c r="M338" s="175"/>
      <c r="N338" s="175"/>
    </row>
    <row r="339" spans="4:14" x14ac:dyDescent="0.3">
      <c r="D339" s="167"/>
      <c r="E339" s="175"/>
      <c r="F339" s="175"/>
      <c r="G339" s="175"/>
      <c r="H339" s="175"/>
      <c r="I339" s="175"/>
      <c r="J339" s="175"/>
      <c r="K339" s="175"/>
      <c r="L339" s="175"/>
      <c r="M339" s="175"/>
      <c r="N339" s="175"/>
    </row>
    <row r="340" spans="4:14" x14ac:dyDescent="0.3">
      <c r="D340" s="167"/>
      <c r="E340" s="175"/>
      <c r="F340" s="175"/>
      <c r="G340" s="175"/>
      <c r="H340" s="175"/>
      <c r="I340" s="175"/>
      <c r="J340" s="175"/>
      <c r="K340" s="175"/>
      <c r="L340" s="175"/>
      <c r="M340" s="175"/>
      <c r="N340" s="175"/>
    </row>
    <row r="341" spans="4:14" x14ac:dyDescent="0.3">
      <c r="D341" s="167"/>
      <c r="E341" s="175"/>
      <c r="F341" s="175"/>
      <c r="G341" s="175"/>
      <c r="H341" s="175"/>
      <c r="I341" s="175"/>
      <c r="J341" s="175"/>
      <c r="K341" s="175"/>
      <c r="L341" s="175"/>
      <c r="M341" s="175"/>
      <c r="N341" s="175"/>
    </row>
    <row r="342" spans="4:14" x14ac:dyDescent="0.3">
      <c r="D342" s="167"/>
      <c r="E342" s="175"/>
      <c r="F342" s="175"/>
      <c r="G342" s="175"/>
      <c r="H342" s="175"/>
      <c r="I342" s="175"/>
      <c r="J342" s="175"/>
      <c r="K342" s="175"/>
      <c r="L342" s="175"/>
      <c r="M342" s="175"/>
      <c r="N342" s="175"/>
    </row>
    <row r="343" spans="4:14" x14ac:dyDescent="0.3">
      <c r="D343" s="167"/>
      <c r="E343" s="175"/>
      <c r="F343" s="175"/>
      <c r="G343" s="175"/>
      <c r="H343" s="175"/>
      <c r="I343" s="175"/>
      <c r="J343" s="175"/>
      <c r="K343" s="175"/>
      <c r="L343" s="175"/>
      <c r="M343" s="175"/>
      <c r="N343" s="175"/>
    </row>
    <row r="344" spans="4:14" x14ac:dyDescent="0.3">
      <c r="D344" s="167"/>
      <c r="E344" s="175"/>
      <c r="F344" s="175"/>
      <c r="G344" s="175"/>
      <c r="H344" s="175"/>
      <c r="I344" s="175"/>
      <c r="J344" s="175"/>
      <c r="K344" s="175"/>
      <c r="L344" s="175"/>
      <c r="M344" s="175"/>
      <c r="N344" s="175"/>
    </row>
    <row r="345" spans="4:14" x14ac:dyDescent="0.3">
      <c r="D345" s="167"/>
      <c r="E345" s="175"/>
      <c r="F345" s="175"/>
      <c r="G345" s="175"/>
      <c r="H345" s="175"/>
      <c r="I345" s="175"/>
      <c r="J345" s="175"/>
      <c r="K345" s="175"/>
      <c r="L345" s="175"/>
      <c r="M345" s="175"/>
      <c r="N345" s="175"/>
    </row>
    <row r="346" spans="4:14" x14ac:dyDescent="0.3">
      <c r="D346" s="167"/>
      <c r="E346" s="175"/>
      <c r="F346" s="175"/>
      <c r="G346" s="175"/>
      <c r="H346" s="175"/>
      <c r="I346" s="175"/>
      <c r="J346" s="175"/>
      <c r="K346" s="175"/>
      <c r="L346" s="175"/>
      <c r="M346" s="175"/>
      <c r="N346" s="175"/>
    </row>
    <row r="347" spans="4:14" x14ac:dyDescent="0.3">
      <c r="D347" s="167"/>
      <c r="E347" s="175"/>
      <c r="F347" s="175"/>
      <c r="G347" s="175"/>
      <c r="H347" s="175"/>
      <c r="I347" s="175"/>
      <c r="J347" s="175"/>
      <c r="K347" s="175"/>
      <c r="L347" s="175"/>
      <c r="M347" s="175"/>
      <c r="N347" s="175"/>
    </row>
    <row r="348" spans="4:14" x14ac:dyDescent="0.3">
      <c r="D348" s="167"/>
      <c r="E348" s="175"/>
      <c r="F348" s="175"/>
      <c r="G348" s="175"/>
      <c r="H348" s="175"/>
      <c r="I348" s="175"/>
      <c r="J348" s="175"/>
      <c r="K348" s="175"/>
      <c r="L348" s="175"/>
      <c r="M348" s="175"/>
      <c r="N348" s="175"/>
    </row>
    <row r="349" spans="4:14" x14ac:dyDescent="0.3">
      <c r="D349" s="167"/>
      <c r="E349" s="175"/>
      <c r="F349" s="175"/>
      <c r="G349" s="175"/>
      <c r="H349" s="175"/>
      <c r="I349" s="175"/>
      <c r="J349" s="175"/>
      <c r="K349" s="175"/>
      <c r="L349" s="175"/>
      <c r="M349" s="175"/>
      <c r="N349" s="175"/>
    </row>
    <row r="350" spans="4:14" x14ac:dyDescent="0.3">
      <c r="D350" s="167"/>
      <c r="E350" s="175"/>
      <c r="F350" s="175"/>
      <c r="G350" s="175"/>
      <c r="H350" s="175"/>
      <c r="I350" s="175"/>
      <c r="J350" s="175"/>
      <c r="K350" s="175"/>
      <c r="L350" s="175"/>
      <c r="M350" s="175"/>
      <c r="N350" s="175"/>
    </row>
    <row r="351" spans="4:14" x14ac:dyDescent="0.3">
      <c r="D351" s="167"/>
      <c r="E351" s="175"/>
      <c r="F351" s="175"/>
      <c r="G351" s="175"/>
      <c r="H351" s="175"/>
      <c r="I351" s="175"/>
      <c r="J351" s="175"/>
      <c r="K351" s="175"/>
      <c r="L351" s="175"/>
      <c r="M351" s="175"/>
      <c r="N351" s="175"/>
    </row>
    <row r="352" spans="4:14" x14ac:dyDescent="0.3">
      <c r="D352" s="167"/>
      <c r="E352" s="175"/>
      <c r="F352" s="175"/>
      <c r="G352" s="175"/>
      <c r="H352" s="175"/>
      <c r="I352" s="175"/>
      <c r="J352" s="175"/>
      <c r="K352" s="175"/>
      <c r="L352" s="175"/>
      <c r="M352" s="175"/>
      <c r="N352" s="175"/>
    </row>
    <row r="353" spans="4:14" x14ac:dyDescent="0.3">
      <c r="D353" s="167"/>
      <c r="E353" s="175"/>
      <c r="F353" s="175"/>
      <c r="G353" s="175"/>
      <c r="H353" s="175"/>
      <c r="I353" s="175"/>
      <c r="J353" s="175"/>
      <c r="K353" s="175"/>
      <c r="L353" s="175"/>
      <c r="M353" s="175"/>
      <c r="N353" s="175"/>
    </row>
    <row r="354" spans="4:14" x14ac:dyDescent="0.3">
      <c r="F354" s="175"/>
      <c r="G354" s="175"/>
      <c r="H354" s="175"/>
      <c r="I354" s="175"/>
      <c r="J354" s="175"/>
      <c r="K354" s="175"/>
      <c r="L354" s="175"/>
      <c r="M354" s="175"/>
      <c r="N354" s="175"/>
    </row>
    <row r="355" spans="4:14" x14ac:dyDescent="0.3">
      <c r="F355" s="175"/>
      <c r="G355" s="175"/>
      <c r="H355" s="175"/>
      <c r="I355" s="175"/>
      <c r="J355" s="175"/>
      <c r="K355" s="175"/>
      <c r="L355" s="175"/>
      <c r="M355" s="175"/>
      <c r="N355" s="175"/>
    </row>
  </sheetData>
  <mergeCells count="13">
    <mergeCell ref="E113:G113"/>
    <mergeCell ref="H113:K113"/>
    <mergeCell ref="L113:N113"/>
    <mergeCell ref="P113:R113"/>
    <mergeCell ref="D53:I53"/>
    <mergeCell ref="L53:P53"/>
    <mergeCell ref="D76:H76"/>
    <mergeCell ref="L76:P76"/>
    <mergeCell ref="S76:V76"/>
    <mergeCell ref="D7:I7"/>
    <mergeCell ref="L7:P7"/>
    <mergeCell ref="D30:I30"/>
    <mergeCell ref="L30:P30"/>
  </mergeCells>
  <pageMargins left="0.7" right="0.7" top="0.75" bottom="0.75" header="0.3" footer="0.3"/>
  <pageSetup paperSize="9" scale="75" orientation="portrait" r:id="rId1"/>
  <colBreaks count="2" manualBreakCount="2">
    <brk id="9" max="1048575" man="1"/>
    <brk id="1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50"/>
  <sheetViews>
    <sheetView zoomScale="80" zoomScaleNormal="80" workbookViewId="0"/>
  </sheetViews>
  <sheetFormatPr defaultColWidth="9.1796875" defaultRowHeight="14" x14ac:dyDescent="0.3"/>
  <cols>
    <col min="1" max="1" width="3.453125" style="174" customWidth="1"/>
    <col min="2" max="2" width="21.1796875" style="3" bestFit="1" customWidth="1"/>
    <col min="3" max="4" width="10" style="177" bestFit="1" customWidth="1"/>
    <col min="5" max="14" width="9.1796875" style="177"/>
    <col min="15" max="15" width="10" style="177" bestFit="1" customWidth="1"/>
    <col min="16" max="26" width="9.1796875" style="177"/>
    <col min="27" max="27" width="11.1796875" style="177" bestFit="1" customWidth="1"/>
    <col min="28" max="50" width="9.1796875" style="177"/>
    <col min="51" max="51" width="11.1796875" style="177" bestFit="1" customWidth="1"/>
    <col min="52" max="16384" width="9.1796875" style="174"/>
  </cols>
  <sheetData>
    <row r="1" spans="1:51" s="1" customFormat="1" ht="18" x14ac:dyDescent="0.4">
      <c r="A1" s="1" t="s">
        <v>55</v>
      </c>
      <c r="D1" s="65"/>
      <c r="G1" s="66"/>
      <c r="H1" s="66"/>
      <c r="I1" s="66"/>
      <c r="J1" s="66"/>
      <c r="K1" s="66"/>
      <c r="W1" s="67"/>
      <c r="X1" s="67"/>
      <c r="Y1" s="67"/>
      <c r="Z1" s="67"/>
      <c r="AA1" s="66"/>
      <c r="AB1" s="66"/>
      <c r="AC1" s="66"/>
      <c r="AG1" s="67"/>
      <c r="AH1" s="67"/>
      <c r="AI1" s="67"/>
      <c r="AJ1" s="67"/>
      <c r="AK1" s="67"/>
      <c r="AL1" s="67"/>
    </row>
    <row r="3" spans="1:51" ht="15.5" x14ac:dyDescent="0.35">
      <c r="B3" s="232" t="s">
        <v>12</v>
      </c>
      <c r="C3" s="233" t="s">
        <v>47</v>
      </c>
    </row>
    <row r="5" spans="1:51" s="199" customFormat="1" x14ac:dyDescent="0.3">
      <c r="B5" s="4" t="s">
        <v>48</v>
      </c>
      <c r="C5" s="218">
        <v>0</v>
      </c>
      <c r="D5" s="218">
        <v>0.5</v>
      </c>
      <c r="E5" s="218">
        <v>1</v>
      </c>
      <c r="F5" s="218">
        <v>1.5</v>
      </c>
      <c r="G5" s="218">
        <v>2</v>
      </c>
      <c r="H5" s="218">
        <v>2.5</v>
      </c>
      <c r="I5" s="218">
        <v>3</v>
      </c>
      <c r="J5" s="218">
        <v>3.5</v>
      </c>
      <c r="K5" s="218">
        <v>4</v>
      </c>
      <c r="L5" s="218">
        <v>4.5</v>
      </c>
      <c r="M5" s="218">
        <v>5</v>
      </c>
      <c r="N5" s="218">
        <v>5.5</v>
      </c>
      <c r="O5" s="218">
        <v>6</v>
      </c>
      <c r="P5" s="218">
        <v>6.5</v>
      </c>
      <c r="Q5" s="218">
        <v>7</v>
      </c>
      <c r="R5" s="218">
        <v>7.5</v>
      </c>
      <c r="S5" s="218">
        <v>8</v>
      </c>
      <c r="T5" s="218">
        <v>8.5</v>
      </c>
      <c r="U5" s="218">
        <v>9</v>
      </c>
      <c r="V5" s="218">
        <v>9.5</v>
      </c>
      <c r="W5" s="218">
        <v>10</v>
      </c>
      <c r="X5" s="218">
        <v>10.5</v>
      </c>
      <c r="Y5" s="218">
        <v>11</v>
      </c>
      <c r="Z5" s="218">
        <v>11.5</v>
      </c>
      <c r="AA5" s="218">
        <v>12</v>
      </c>
      <c r="AB5" s="218">
        <v>12.5</v>
      </c>
      <c r="AC5" s="218">
        <v>13</v>
      </c>
      <c r="AD5" s="218">
        <v>13.5</v>
      </c>
      <c r="AE5" s="218">
        <v>14</v>
      </c>
      <c r="AF5" s="218">
        <v>14.5</v>
      </c>
      <c r="AG5" s="218">
        <v>15</v>
      </c>
      <c r="AH5" s="218">
        <v>15.5</v>
      </c>
      <c r="AI5" s="218">
        <v>16</v>
      </c>
      <c r="AJ5" s="218">
        <v>16.5</v>
      </c>
      <c r="AK5" s="218">
        <v>17</v>
      </c>
      <c r="AL5" s="218">
        <v>17.5</v>
      </c>
      <c r="AM5" s="218">
        <v>18</v>
      </c>
      <c r="AN5" s="218">
        <v>18.5</v>
      </c>
      <c r="AO5" s="218">
        <v>19</v>
      </c>
      <c r="AP5" s="218">
        <v>19.5</v>
      </c>
      <c r="AQ5" s="218">
        <v>20</v>
      </c>
      <c r="AR5" s="218">
        <v>20.5</v>
      </c>
      <c r="AS5" s="218">
        <v>21</v>
      </c>
      <c r="AT5" s="218">
        <v>21.5</v>
      </c>
      <c r="AU5" s="218">
        <v>22</v>
      </c>
      <c r="AV5" s="218">
        <v>22.5</v>
      </c>
      <c r="AW5" s="218">
        <v>23</v>
      </c>
      <c r="AX5" s="218">
        <v>23.5</v>
      </c>
      <c r="AY5" s="218">
        <v>24</v>
      </c>
    </row>
    <row r="6" spans="1:51" s="227" customFormat="1" ht="15" customHeight="1" x14ac:dyDescent="0.3">
      <c r="B6" s="235" t="s">
        <v>15</v>
      </c>
      <c r="C6" s="236">
        <v>2.15</v>
      </c>
      <c r="D6" s="197"/>
      <c r="E6" s="197"/>
      <c r="F6" s="236">
        <f>2*1.02</f>
        <v>2.04</v>
      </c>
      <c r="G6" s="197"/>
      <c r="H6" s="197"/>
      <c r="I6" s="236">
        <v>2.06</v>
      </c>
      <c r="J6" s="197"/>
      <c r="K6" s="197"/>
      <c r="L6" s="236">
        <v>1.75</v>
      </c>
      <c r="M6" s="197"/>
      <c r="N6" s="197"/>
      <c r="O6" s="236">
        <v>1.86</v>
      </c>
      <c r="P6" s="197"/>
      <c r="Q6" s="197"/>
      <c r="R6" s="236">
        <v>1.33</v>
      </c>
      <c r="S6" s="197"/>
      <c r="T6" s="197"/>
      <c r="U6" s="236">
        <v>1.27</v>
      </c>
      <c r="V6" s="197"/>
      <c r="W6" s="197"/>
      <c r="X6" s="236">
        <v>1.1100000000000001</v>
      </c>
      <c r="Y6" s="197"/>
      <c r="Z6" s="197"/>
      <c r="AA6" s="236">
        <v>0.93</v>
      </c>
      <c r="AB6" s="197"/>
      <c r="AC6" s="197"/>
      <c r="AD6" s="236">
        <v>0.28000000000000003</v>
      </c>
      <c r="AE6" s="197"/>
      <c r="AF6" s="197"/>
      <c r="AG6" s="236">
        <v>0.36</v>
      </c>
      <c r="AH6" s="197"/>
      <c r="AI6" s="197"/>
      <c r="AJ6" s="236">
        <v>0</v>
      </c>
      <c r="AK6" s="197"/>
      <c r="AL6" s="197"/>
      <c r="AM6" s="236">
        <v>0</v>
      </c>
      <c r="AN6" s="197"/>
      <c r="AO6" s="197"/>
      <c r="AP6" s="197"/>
      <c r="AQ6" s="197"/>
      <c r="AR6" s="197"/>
      <c r="AS6" s="236">
        <v>0</v>
      </c>
      <c r="AT6" s="197"/>
      <c r="AU6" s="197"/>
      <c r="AV6" s="197"/>
      <c r="AW6" s="197"/>
      <c r="AX6" s="197"/>
      <c r="AY6" s="236">
        <v>2E-3</v>
      </c>
    </row>
    <row r="7" spans="1:51" s="227" customFormat="1" ht="15" customHeight="1" x14ac:dyDescent="0.3">
      <c r="B7" s="235"/>
      <c r="C7" s="236">
        <v>2.15</v>
      </c>
      <c r="D7" s="197"/>
      <c r="E7" s="197"/>
      <c r="F7" s="236">
        <f>2*1.1</f>
        <v>2.2000000000000002</v>
      </c>
      <c r="G7" s="197"/>
      <c r="H7" s="197"/>
      <c r="I7" s="236">
        <v>2.1</v>
      </c>
      <c r="J7" s="197"/>
      <c r="K7" s="197"/>
      <c r="L7" s="236">
        <v>1.73</v>
      </c>
      <c r="M7" s="197"/>
      <c r="N7" s="197"/>
      <c r="O7" s="236">
        <v>1.76</v>
      </c>
      <c r="P7" s="197"/>
      <c r="Q7" s="197"/>
      <c r="R7" s="236">
        <v>1.54</v>
      </c>
      <c r="S7" s="197"/>
      <c r="T7" s="197"/>
      <c r="U7" s="236">
        <v>1.32</v>
      </c>
      <c r="V7" s="197"/>
      <c r="W7" s="197"/>
      <c r="X7" s="236">
        <v>0.66</v>
      </c>
      <c r="Y7" s="197"/>
      <c r="Z7" s="197"/>
      <c r="AA7" s="236">
        <v>0.79</v>
      </c>
      <c r="AB7" s="197"/>
      <c r="AC7" s="197"/>
      <c r="AD7" s="236">
        <v>0.5</v>
      </c>
      <c r="AE7" s="197"/>
      <c r="AF7" s="197"/>
      <c r="AG7" s="236">
        <v>0.42</v>
      </c>
      <c r="AH7" s="197"/>
      <c r="AI7" s="197"/>
      <c r="AJ7" s="236">
        <v>0</v>
      </c>
      <c r="AK7" s="197"/>
      <c r="AL7" s="197"/>
      <c r="AM7" s="236">
        <v>0</v>
      </c>
      <c r="AN7" s="197"/>
      <c r="AO7" s="197"/>
      <c r="AP7" s="197"/>
      <c r="AQ7" s="197"/>
      <c r="AR7" s="197"/>
      <c r="AS7" s="236">
        <v>0</v>
      </c>
      <c r="AT7" s="197"/>
      <c r="AU7" s="197"/>
      <c r="AV7" s="197"/>
      <c r="AW7" s="197"/>
      <c r="AX7" s="197"/>
      <c r="AY7" s="236">
        <v>1E-3</v>
      </c>
    </row>
    <row r="8" spans="1:51" s="227" customFormat="1" x14ac:dyDescent="0.3">
      <c r="B8" s="237" t="s">
        <v>52</v>
      </c>
      <c r="C8" s="165">
        <v>1.1299999999999999</v>
      </c>
      <c r="D8" s="197"/>
      <c r="E8" s="197"/>
      <c r="F8" s="165">
        <v>0.93</v>
      </c>
      <c r="G8" s="197"/>
      <c r="H8" s="197"/>
      <c r="I8" s="165">
        <v>0.91</v>
      </c>
      <c r="J8" s="197"/>
      <c r="K8" s="197"/>
      <c r="L8" s="165">
        <v>0.87</v>
      </c>
      <c r="M8" s="197"/>
      <c r="N8" s="197"/>
      <c r="O8" s="165">
        <v>0.87</v>
      </c>
      <c r="P8" s="197"/>
      <c r="Q8" s="197"/>
      <c r="R8" s="165">
        <v>0.82</v>
      </c>
      <c r="S8" s="197"/>
      <c r="T8" s="197"/>
      <c r="U8" s="165">
        <v>0.82</v>
      </c>
      <c r="V8" s="197"/>
      <c r="W8" s="197"/>
      <c r="X8" s="165">
        <v>0.76</v>
      </c>
      <c r="Y8" s="197"/>
      <c r="Z8" s="197"/>
      <c r="AA8" s="165">
        <v>0.77</v>
      </c>
      <c r="AB8" s="197"/>
      <c r="AC8" s="197"/>
      <c r="AD8" s="165">
        <v>0.71</v>
      </c>
      <c r="AE8" s="197"/>
      <c r="AF8" s="197"/>
      <c r="AG8" s="165">
        <v>0.71</v>
      </c>
      <c r="AH8" s="197"/>
      <c r="AI8" s="197"/>
      <c r="AJ8" s="165">
        <v>0.53500000000000003</v>
      </c>
      <c r="AK8" s="197"/>
      <c r="AL8" s="197"/>
      <c r="AM8" s="165">
        <v>0.53500000000000003</v>
      </c>
      <c r="AN8" s="197"/>
      <c r="AO8" s="197"/>
      <c r="AP8" s="197"/>
      <c r="AQ8" s="197"/>
      <c r="AR8" s="197"/>
      <c r="AS8" s="165">
        <v>0.27100000000000002</v>
      </c>
      <c r="AT8" s="197"/>
      <c r="AU8" s="197"/>
      <c r="AV8" s="197"/>
      <c r="AW8" s="197"/>
      <c r="AX8" s="197"/>
      <c r="AY8" s="165">
        <v>0.38700000000000001</v>
      </c>
    </row>
    <row r="9" spans="1:51" s="227" customFormat="1" x14ac:dyDescent="0.3">
      <c r="B9" s="237"/>
      <c r="C9" s="165">
        <v>1.1200000000000001</v>
      </c>
      <c r="D9" s="197"/>
      <c r="E9" s="197"/>
      <c r="F9" s="165">
        <v>0.93</v>
      </c>
      <c r="G9" s="197"/>
      <c r="H9" s="197"/>
      <c r="I9" s="165">
        <v>0.92</v>
      </c>
      <c r="J9" s="197"/>
      <c r="K9" s="197"/>
      <c r="L9" s="165">
        <v>0.87</v>
      </c>
      <c r="M9" s="197"/>
      <c r="N9" s="197"/>
      <c r="O9" s="165">
        <v>0.87</v>
      </c>
      <c r="P9" s="197"/>
      <c r="Q9" s="197"/>
      <c r="R9" s="165">
        <v>0.84</v>
      </c>
      <c r="S9" s="197"/>
      <c r="T9" s="197"/>
      <c r="U9" s="165">
        <v>0.82</v>
      </c>
      <c r="V9" s="197"/>
      <c r="W9" s="197"/>
      <c r="X9" s="165">
        <v>0.78</v>
      </c>
      <c r="Y9" s="197"/>
      <c r="Z9" s="197"/>
      <c r="AA9" s="165">
        <v>0.76</v>
      </c>
      <c r="AB9" s="197"/>
      <c r="AC9" s="197"/>
      <c r="AD9" s="165">
        <v>0.71</v>
      </c>
      <c r="AE9" s="197"/>
      <c r="AF9" s="197"/>
      <c r="AG9" s="165">
        <v>0.69</v>
      </c>
      <c r="AH9" s="197"/>
      <c r="AI9" s="197"/>
      <c r="AJ9" s="165">
        <v>0.54100000000000004</v>
      </c>
      <c r="AK9" s="197"/>
      <c r="AL9" s="197"/>
      <c r="AM9" s="165">
        <v>0.54100000000000004</v>
      </c>
      <c r="AN9" s="197"/>
      <c r="AO9" s="197"/>
      <c r="AP9" s="197"/>
      <c r="AQ9" s="197"/>
      <c r="AR9" s="197"/>
      <c r="AS9" s="165">
        <v>0.26100000000000001</v>
      </c>
      <c r="AT9" s="197"/>
      <c r="AU9" s="197"/>
      <c r="AV9" s="197"/>
      <c r="AW9" s="197"/>
      <c r="AX9" s="197"/>
      <c r="AY9" s="165">
        <v>0.186</v>
      </c>
    </row>
    <row r="10" spans="1:51" s="227" customFormat="1" x14ac:dyDescent="0.3">
      <c r="B10" s="235" t="s">
        <v>53</v>
      </c>
      <c r="C10" s="236">
        <v>1.1299999999999999</v>
      </c>
      <c r="D10" s="197"/>
      <c r="E10" s="197"/>
      <c r="F10" s="236"/>
      <c r="G10" s="197"/>
      <c r="H10" s="197"/>
      <c r="I10" s="236"/>
      <c r="J10" s="197"/>
      <c r="K10" s="197"/>
      <c r="L10" s="236"/>
      <c r="M10" s="197"/>
      <c r="N10" s="197"/>
      <c r="O10" s="236">
        <v>0.87</v>
      </c>
      <c r="P10" s="197"/>
      <c r="Q10" s="197"/>
      <c r="R10" s="236"/>
      <c r="S10" s="197"/>
      <c r="T10" s="197"/>
      <c r="U10" s="236"/>
      <c r="V10" s="197"/>
      <c r="W10" s="197"/>
      <c r="X10" s="236"/>
      <c r="Y10" s="197"/>
      <c r="Z10" s="197"/>
      <c r="AA10" s="236">
        <v>0.76</v>
      </c>
      <c r="AB10" s="197"/>
      <c r="AC10" s="197"/>
      <c r="AD10" s="236"/>
      <c r="AE10" s="197"/>
      <c r="AF10" s="197"/>
      <c r="AG10" s="236"/>
      <c r="AH10" s="197"/>
      <c r="AI10" s="197"/>
      <c r="AJ10" s="236">
        <v>0.54600000000000004</v>
      </c>
      <c r="AK10" s="197"/>
      <c r="AL10" s="197"/>
      <c r="AM10" s="236">
        <v>0.54600000000000004</v>
      </c>
      <c r="AN10" s="197"/>
      <c r="AO10" s="197"/>
      <c r="AP10" s="197"/>
      <c r="AQ10" s="197"/>
      <c r="AR10" s="197"/>
      <c r="AS10" s="236"/>
      <c r="AT10" s="197"/>
      <c r="AU10" s="197"/>
      <c r="AV10" s="197"/>
      <c r="AW10" s="197"/>
      <c r="AX10" s="197"/>
      <c r="AY10" s="236">
        <v>0.13700000000000001</v>
      </c>
    </row>
    <row r="11" spans="1:51" s="227" customFormat="1" x14ac:dyDescent="0.3">
      <c r="B11" s="235"/>
      <c r="C11" s="236"/>
      <c r="D11" s="197"/>
      <c r="E11" s="197"/>
      <c r="F11" s="236"/>
      <c r="G11" s="197"/>
      <c r="H11" s="197"/>
      <c r="I11" s="236"/>
      <c r="J11" s="197"/>
      <c r="K11" s="197"/>
      <c r="L11" s="236"/>
      <c r="M11" s="197"/>
      <c r="N11" s="197"/>
      <c r="O11" s="236"/>
      <c r="P11" s="197"/>
      <c r="Q11" s="197"/>
      <c r="R11" s="236"/>
      <c r="S11" s="197"/>
      <c r="T11" s="197"/>
      <c r="U11" s="236"/>
      <c r="V11" s="197"/>
      <c r="W11" s="197"/>
      <c r="X11" s="236"/>
      <c r="Y11" s="197"/>
      <c r="Z11" s="197"/>
      <c r="AA11" s="236"/>
      <c r="AB11" s="197"/>
      <c r="AC11" s="197"/>
      <c r="AD11" s="236"/>
      <c r="AE11" s="197"/>
      <c r="AF11" s="197"/>
      <c r="AG11" s="236"/>
      <c r="AH11" s="197"/>
      <c r="AI11" s="197"/>
      <c r="AJ11" s="236"/>
      <c r="AK11" s="197"/>
      <c r="AL11" s="197"/>
      <c r="AM11" s="236"/>
      <c r="AN11" s="197"/>
      <c r="AO11" s="197"/>
      <c r="AP11" s="197"/>
      <c r="AQ11" s="197"/>
      <c r="AR11" s="197"/>
      <c r="AS11" s="236"/>
      <c r="AT11" s="197"/>
      <c r="AU11" s="197"/>
      <c r="AV11" s="197"/>
      <c r="AW11" s="197"/>
      <c r="AX11" s="197"/>
      <c r="AY11" s="236"/>
    </row>
    <row r="12" spans="1:51" s="228" customFormat="1" x14ac:dyDescent="0.3">
      <c r="B12" s="238" t="s">
        <v>0</v>
      </c>
      <c r="C12" s="239">
        <v>7.51</v>
      </c>
      <c r="D12" s="240"/>
      <c r="E12" s="240"/>
      <c r="F12" s="239">
        <v>8</v>
      </c>
      <c r="G12" s="240"/>
      <c r="H12" s="240"/>
      <c r="I12" s="239">
        <v>8.0399999999999991</v>
      </c>
      <c r="J12" s="240"/>
      <c r="K12" s="240"/>
      <c r="L12" s="239">
        <v>8.51</v>
      </c>
      <c r="M12" s="240"/>
      <c r="N12" s="240"/>
      <c r="O12" s="239">
        <v>8.48</v>
      </c>
      <c r="P12" s="240"/>
      <c r="Q12" s="240"/>
      <c r="R12" s="239">
        <v>8.7899999999999991</v>
      </c>
      <c r="S12" s="240"/>
      <c r="T12" s="240"/>
      <c r="U12" s="239">
        <v>8.76</v>
      </c>
      <c r="V12" s="240"/>
      <c r="W12" s="240"/>
      <c r="X12" s="239">
        <v>9.0399999999999991</v>
      </c>
      <c r="Y12" s="240"/>
      <c r="Z12" s="240"/>
      <c r="AA12" s="239">
        <v>9.06</v>
      </c>
      <c r="AB12" s="240"/>
      <c r="AC12" s="240"/>
      <c r="AD12" s="239">
        <v>9.25</v>
      </c>
      <c r="AE12" s="240"/>
      <c r="AF12" s="240"/>
      <c r="AG12" s="239">
        <v>9.19</v>
      </c>
      <c r="AH12" s="240"/>
      <c r="AI12" s="240"/>
      <c r="AJ12" s="239">
        <v>9.42</v>
      </c>
      <c r="AK12" s="240"/>
      <c r="AL12" s="240"/>
      <c r="AM12" s="239">
        <v>9.42</v>
      </c>
      <c r="AN12" s="240"/>
      <c r="AO12" s="240"/>
      <c r="AP12" s="240"/>
      <c r="AQ12" s="240"/>
      <c r="AR12" s="240"/>
      <c r="AS12" s="239">
        <v>9.85</v>
      </c>
      <c r="AT12" s="240"/>
      <c r="AU12" s="240"/>
      <c r="AV12" s="240"/>
      <c r="AW12" s="240"/>
      <c r="AX12" s="240"/>
      <c r="AY12" s="239">
        <v>10.08</v>
      </c>
    </row>
    <row r="13" spans="1:51" s="229" customFormat="1" x14ac:dyDescent="0.3">
      <c r="B13" s="241" t="s">
        <v>54</v>
      </c>
      <c r="C13" s="242">
        <f>(((27/100)*10^6)*5)/10</f>
        <v>135000</v>
      </c>
      <c r="D13" s="243"/>
      <c r="E13" s="243"/>
      <c r="F13" s="243"/>
      <c r="G13" s="243"/>
      <c r="H13" s="243"/>
      <c r="I13" s="243"/>
      <c r="J13" s="243"/>
      <c r="K13" s="243"/>
      <c r="L13" s="243"/>
      <c r="M13" s="243"/>
      <c r="N13" s="243"/>
      <c r="O13" s="242"/>
      <c r="P13" s="243"/>
      <c r="Q13" s="243"/>
      <c r="R13" s="243"/>
      <c r="S13" s="243"/>
      <c r="T13" s="243"/>
      <c r="U13" s="243"/>
      <c r="V13" s="243"/>
      <c r="W13" s="243"/>
      <c r="X13" s="243"/>
      <c r="Y13" s="243"/>
      <c r="Z13" s="243"/>
      <c r="AA13" s="242">
        <f>(((23/100)*10^6)*5)/10</f>
        <v>115000</v>
      </c>
      <c r="AB13" s="243"/>
      <c r="AC13" s="243"/>
      <c r="AD13" s="243"/>
      <c r="AE13" s="243"/>
      <c r="AF13" s="243"/>
      <c r="AG13" s="243"/>
      <c r="AH13" s="243"/>
      <c r="AI13" s="243"/>
      <c r="AJ13" s="243"/>
      <c r="AK13" s="243"/>
      <c r="AL13" s="243"/>
      <c r="AM13" s="242"/>
      <c r="AN13" s="243"/>
      <c r="AO13" s="243"/>
      <c r="AP13" s="243"/>
      <c r="AQ13" s="243"/>
      <c r="AR13" s="243"/>
      <c r="AS13" s="243"/>
      <c r="AT13" s="243"/>
      <c r="AU13" s="243"/>
      <c r="AV13" s="243"/>
      <c r="AW13" s="243"/>
      <c r="AX13" s="243"/>
      <c r="AY13" s="242">
        <f>(((27/100)*10^6)*5)/10</f>
        <v>135000</v>
      </c>
    </row>
    <row r="14" spans="1:51" s="229" customFormat="1" x14ac:dyDescent="0.3">
      <c r="B14" s="241"/>
      <c r="C14" s="242">
        <f>(((28/100)*10^6)*5)/10</f>
        <v>140000</v>
      </c>
      <c r="D14" s="243"/>
      <c r="E14" s="243"/>
      <c r="F14" s="243"/>
      <c r="G14" s="243"/>
      <c r="H14" s="243"/>
      <c r="I14" s="243"/>
      <c r="J14" s="243"/>
      <c r="K14" s="243"/>
      <c r="L14" s="243"/>
      <c r="M14" s="243"/>
      <c r="N14" s="243"/>
      <c r="O14" s="242"/>
      <c r="P14" s="243"/>
      <c r="Q14" s="243"/>
      <c r="R14" s="243"/>
      <c r="S14" s="243"/>
      <c r="T14" s="243"/>
      <c r="U14" s="243"/>
      <c r="V14" s="243"/>
      <c r="W14" s="243"/>
      <c r="X14" s="243"/>
      <c r="Y14" s="243"/>
      <c r="Z14" s="243"/>
      <c r="AA14" s="242">
        <f>(((29/100)*10^6)*5)/10</f>
        <v>145000</v>
      </c>
      <c r="AB14" s="243"/>
      <c r="AC14" s="243"/>
      <c r="AD14" s="243"/>
      <c r="AE14" s="243"/>
      <c r="AF14" s="243"/>
      <c r="AG14" s="243"/>
      <c r="AH14" s="243"/>
      <c r="AI14" s="243"/>
      <c r="AJ14" s="243"/>
      <c r="AK14" s="243"/>
      <c r="AL14" s="243"/>
      <c r="AM14" s="242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2">
        <f>(((20/100)*10^6)*5)/10</f>
        <v>100000</v>
      </c>
    </row>
    <row r="16" spans="1:51" ht="15.5" x14ac:dyDescent="0.35">
      <c r="B16" s="232" t="s">
        <v>12</v>
      </c>
      <c r="C16" s="234" t="s">
        <v>49</v>
      </c>
    </row>
    <row r="18" spans="2:51" x14ac:dyDescent="0.3">
      <c r="B18" s="4" t="s">
        <v>48</v>
      </c>
      <c r="C18" s="218">
        <v>0</v>
      </c>
      <c r="D18" s="218">
        <v>0.5</v>
      </c>
      <c r="E18" s="218">
        <v>1</v>
      </c>
      <c r="F18" s="218">
        <v>1.5</v>
      </c>
      <c r="G18" s="218">
        <v>2</v>
      </c>
      <c r="H18" s="218">
        <v>2.5</v>
      </c>
      <c r="I18" s="218">
        <v>3</v>
      </c>
      <c r="J18" s="218">
        <v>3.5</v>
      </c>
      <c r="K18" s="218">
        <v>4</v>
      </c>
      <c r="L18" s="218">
        <v>4.5</v>
      </c>
      <c r="M18" s="218">
        <v>5</v>
      </c>
      <c r="N18" s="218">
        <v>5.5</v>
      </c>
      <c r="O18" s="218">
        <v>6</v>
      </c>
      <c r="P18" s="218">
        <v>6.5</v>
      </c>
      <c r="Q18" s="218">
        <v>7</v>
      </c>
      <c r="R18" s="218">
        <v>7.5</v>
      </c>
      <c r="S18" s="218">
        <v>8</v>
      </c>
      <c r="T18" s="218">
        <v>8.5</v>
      </c>
      <c r="U18" s="218">
        <v>9</v>
      </c>
      <c r="V18" s="218">
        <v>9.5</v>
      </c>
      <c r="W18" s="218">
        <v>10</v>
      </c>
      <c r="X18" s="218">
        <v>10.5</v>
      </c>
      <c r="Y18" s="218">
        <v>11</v>
      </c>
      <c r="Z18" s="218">
        <v>11.5</v>
      </c>
      <c r="AA18" s="218">
        <v>12</v>
      </c>
      <c r="AB18" s="218">
        <v>12.5</v>
      </c>
      <c r="AC18" s="218">
        <v>13</v>
      </c>
      <c r="AD18" s="218">
        <v>13.5</v>
      </c>
      <c r="AE18" s="218">
        <v>14</v>
      </c>
      <c r="AF18" s="218">
        <v>14.5</v>
      </c>
      <c r="AG18" s="218">
        <v>15</v>
      </c>
      <c r="AH18" s="218">
        <v>15.5</v>
      </c>
      <c r="AI18" s="218">
        <v>16</v>
      </c>
      <c r="AJ18" s="218">
        <v>16.5</v>
      </c>
      <c r="AK18" s="218">
        <v>17</v>
      </c>
      <c r="AL18" s="218">
        <v>17.5</v>
      </c>
      <c r="AM18" s="218">
        <v>18</v>
      </c>
      <c r="AN18" s="218">
        <v>18.5</v>
      </c>
      <c r="AO18" s="218">
        <v>19</v>
      </c>
      <c r="AP18" s="218">
        <v>19.5</v>
      </c>
      <c r="AQ18" s="218">
        <v>20</v>
      </c>
      <c r="AR18" s="218">
        <v>20.5</v>
      </c>
      <c r="AS18" s="218">
        <v>21</v>
      </c>
      <c r="AT18" s="218">
        <v>21.5</v>
      </c>
      <c r="AU18" s="218">
        <v>22</v>
      </c>
      <c r="AV18" s="218">
        <v>22.5</v>
      </c>
      <c r="AW18" s="218">
        <v>23</v>
      </c>
      <c r="AX18" s="218">
        <v>23.5</v>
      </c>
      <c r="AY18" s="218">
        <v>24</v>
      </c>
    </row>
    <row r="19" spans="2:51" s="227" customFormat="1" x14ac:dyDescent="0.3">
      <c r="B19" s="235" t="s">
        <v>15</v>
      </c>
      <c r="C19" s="236">
        <v>2.15</v>
      </c>
      <c r="D19" s="197"/>
      <c r="E19" s="197"/>
      <c r="F19" s="197"/>
      <c r="G19" s="197"/>
      <c r="H19" s="197"/>
      <c r="I19" s="236">
        <v>1.86</v>
      </c>
      <c r="J19" s="197"/>
      <c r="K19" s="197"/>
      <c r="L19" s="197"/>
      <c r="M19" s="197"/>
      <c r="N19" s="197"/>
      <c r="O19" s="236">
        <v>1.49</v>
      </c>
      <c r="P19" s="197"/>
      <c r="Q19" s="197"/>
      <c r="R19" s="197"/>
      <c r="S19" s="197"/>
      <c r="T19" s="197"/>
      <c r="U19" s="236">
        <v>1.29</v>
      </c>
      <c r="V19" s="197"/>
      <c r="W19" s="197"/>
      <c r="X19" s="197"/>
      <c r="Y19" s="197"/>
      <c r="Z19" s="197"/>
      <c r="AA19" s="236">
        <v>1.08</v>
      </c>
      <c r="AB19" s="197"/>
      <c r="AC19" s="197"/>
      <c r="AD19" s="197"/>
      <c r="AE19" s="197"/>
      <c r="AF19" s="197"/>
      <c r="AG19" s="236">
        <v>0.38</v>
      </c>
      <c r="AH19" s="197"/>
      <c r="AI19" s="197"/>
      <c r="AJ19" s="197"/>
      <c r="AK19" s="197"/>
      <c r="AL19" s="197"/>
      <c r="AM19" s="236">
        <v>0.16300000000000001</v>
      </c>
      <c r="AN19" s="197"/>
      <c r="AO19" s="197"/>
      <c r="AP19" s="197"/>
      <c r="AQ19" s="197"/>
      <c r="AR19" s="197"/>
      <c r="AS19" s="236">
        <v>0</v>
      </c>
      <c r="AT19" s="197"/>
      <c r="AU19" s="197"/>
      <c r="AV19" s="197"/>
      <c r="AW19" s="197"/>
      <c r="AX19" s="197"/>
      <c r="AY19" s="236">
        <v>2E-3</v>
      </c>
    </row>
    <row r="20" spans="2:51" s="227" customFormat="1" x14ac:dyDescent="0.3">
      <c r="B20" s="235"/>
      <c r="C20" s="236">
        <v>2.15</v>
      </c>
      <c r="D20" s="197"/>
      <c r="E20" s="197"/>
      <c r="F20" s="197"/>
      <c r="G20" s="197"/>
      <c r="H20" s="197"/>
      <c r="I20" s="236">
        <v>1.5</v>
      </c>
      <c r="J20" s="197"/>
      <c r="K20" s="197"/>
      <c r="L20" s="197"/>
      <c r="M20" s="197"/>
      <c r="N20" s="197"/>
      <c r="O20" s="236">
        <v>1.67</v>
      </c>
      <c r="P20" s="197"/>
      <c r="Q20" s="197"/>
      <c r="R20" s="197"/>
      <c r="S20" s="197"/>
      <c r="T20" s="197"/>
      <c r="U20" s="236">
        <v>1.2</v>
      </c>
      <c r="V20" s="197"/>
      <c r="W20" s="197"/>
      <c r="X20" s="197"/>
      <c r="Y20" s="197"/>
      <c r="Z20" s="197"/>
      <c r="AA20" s="236">
        <v>0.8</v>
      </c>
      <c r="AB20" s="197"/>
      <c r="AC20" s="197"/>
      <c r="AD20" s="197"/>
      <c r="AE20" s="197"/>
      <c r="AF20" s="197"/>
      <c r="AG20" s="236">
        <v>0.39</v>
      </c>
      <c r="AH20" s="197"/>
      <c r="AI20" s="197"/>
      <c r="AJ20" s="197"/>
      <c r="AK20" s="197"/>
      <c r="AL20" s="197"/>
      <c r="AM20" s="236">
        <v>0.16400000000000001</v>
      </c>
      <c r="AN20" s="197"/>
      <c r="AO20" s="197"/>
      <c r="AP20" s="197"/>
      <c r="AQ20" s="197"/>
      <c r="AR20" s="197"/>
      <c r="AS20" s="236">
        <v>1E-3</v>
      </c>
      <c r="AT20" s="197"/>
      <c r="AU20" s="197"/>
      <c r="AV20" s="197"/>
      <c r="AW20" s="197"/>
      <c r="AX20" s="197"/>
      <c r="AY20" s="236">
        <v>1E-3</v>
      </c>
    </row>
    <row r="21" spans="2:51" s="227" customFormat="1" x14ac:dyDescent="0.3">
      <c r="B21" s="237" t="s">
        <v>52</v>
      </c>
      <c r="C21" s="165">
        <v>1.1299999999999999</v>
      </c>
      <c r="D21" s="197"/>
      <c r="E21" s="197"/>
      <c r="F21" s="197"/>
      <c r="G21" s="197"/>
      <c r="H21" s="197"/>
      <c r="I21" s="165">
        <v>0.88</v>
      </c>
      <c r="J21" s="197"/>
      <c r="K21" s="197"/>
      <c r="L21" s="197"/>
      <c r="M21" s="197"/>
      <c r="N21" s="197"/>
      <c r="O21" s="165">
        <v>0.86</v>
      </c>
      <c r="P21" s="197"/>
      <c r="Q21" s="197"/>
      <c r="R21" s="197"/>
      <c r="S21" s="197"/>
      <c r="T21" s="197"/>
      <c r="U21" s="165">
        <v>0.78</v>
      </c>
      <c r="V21" s="197"/>
      <c r="W21" s="197"/>
      <c r="X21" s="197"/>
      <c r="Y21" s="197"/>
      <c r="Z21" s="197"/>
      <c r="AA21" s="165">
        <v>0.77</v>
      </c>
      <c r="AB21" s="197"/>
      <c r="AC21" s="197"/>
      <c r="AD21" s="197"/>
      <c r="AE21" s="197"/>
      <c r="AF21" s="197"/>
      <c r="AG21" s="165">
        <v>0.64</v>
      </c>
      <c r="AH21" s="197"/>
      <c r="AI21" s="197"/>
      <c r="AJ21" s="197"/>
      <c r="AK21" s="197"/>
      <c r="AL21" s="197"/>
      <c r="AM21" s="165">
        <v>0.54900000000000004</v>
      </c>
      <c r="AN21" s="197"/>
      <c r="AO21" s="197"/>
      <c r="AP21" s="197"/>
      <c r="AQ21" s="197"/>
      <c r="AR21" s="197"/>
      <c r="AS21" s="165">
        <v>0.28299999999999997</v>
      </c>
      <c r="AT21" s="197"/>
      <c r="AU21" s="197"/>
      <c r="AV21" s="197"/>
      <c r="AW21" s="197"/>
      <c r="AX21" s="197"/>
      <c r="AY21" s="165">
        <v>0.25900000000000001</v>
      </c>
    </row>
    <row r="22" spans="2:51" s="227" customFormat="1" x14ac:dyDescent="0.3">
      <c r="B22" s="237"/>
      <c r="C22" s="165">
        <v>1.1200000000000001</v>
      </c>
      <c r="D22" s="197"/>
      <c r="E22" s="197"/>
      <c r="F22" s="197"/>
      <c r="G22" s="197"/>
      <c r="H22" s="197"/>
      <c r="I22" s="165">
        <v>0.88</v>
      </c>
      <c r="J22" s="197"/>
      <c r="K22" s="197"/>
      <c r="L22" s="197"/>
      <c r="M22" s="197"/>
      <c r="N22" s="197"/>
      <c r="O22" s="165">
        <v>0.87</v>
      </c>
      <c r="P22" s="197"/>
      <c r="Q22" s="197"/>
      <c r="R22" s="197"/>
      <c r="S22" s="197"/>
      <c r="T22" s="197"/>
      <c r="U22" s="165">
        <v>0.79</v>
      </c>
      <c r="V22" s="197"/>
      <c r="W22" s="197"/>
      <c r="X22" s="197"/>
      <c r="Y22" s="197"/>
      <c r="Z22" s="197"/>
      <c r="AA22" s="165">
        <v>0.77</v>
      </c>
      <c r="AB22" s="197"/>
      <c r="AC22" s="197"/>
      <c r="AD22" s="197"/>
      <c r="AE22" s="197"/>
      <c r="AF22" s="197"/>
      <c r="AG22" s="165">
        <v>0.66</v>
      </c>
      <c r="AH22" s="197"/>
      <c r="AI22" s="197"/>
      <c r="AJ22" s="197"/>
      <c r="AK22" s="197"/>
      <c r="AL22" s="197"/>
      <c r="AM22" s="165">
        <v>0.55100000000000005</v>
      </c>
      <c r="AN22" s="197"/>
      <c r="AO22" s="197"/>
      <c r="AP22" s="197"/>
      <c r="AQ22" s="197"/>
      <c r="AR22" s="197"/>
      <c r="AS22" s="165">
        <v>0.27700000000000002</v>
      </c>
      <c r="AT22" s="197"/>
      <c r="AU22" s="197"/>
      <c r="AV22" s="197"/>
      <c r="AW22" s="197"/>
      <c r="AX22" s="197"/>
      <c r="AY22" s="165">
        <v>0.25</v>
      </c>
    </row>
    <row r="23" spans="2:51" s="227" customFormat="1" x14ac:dyDescent="0.3">
      <c r="B23" s="235" t="s">
        <v>53</v>
      </c>
      <c r="C23" s="236">
        <v>1.1299999999999999</v>
      </c>
      <c r="D23" s="197"/>
      <c r="E23" s="197"/>
      <c r="F23" s="197"/>
      <c r="G23" s="197"/>
      <c r="H23" s="197"/>
      <c r="I23" s="236"/>
      <c r="J23" s="197"/>
      <c r="K23" s="197"/>
      <c r="L23" s="197"/>
      <c r="M23" s="197"/>
      <c r="N23" s="197"/>
      <c r="O23" s="236">
        <v>0.87</v>
      </c>
      <c r="P23" s="197"/>
      <c r="Q23" s="197"/>
      <c r="R23" s="197"/>
      <c r="S23" s="197"/>
      <c r="T23" s="197"/>
      <c r="U23" s="236"/>
      <c r="V23" s="197"/>
      <c r="W23" s="197"/>
      <c r="X23" s="197"/>
      <c r="Y23" s="197"/>
      <c r="Z23" s="197"/>
      <c r="AA23" s="236">
        <v>0.77</v>
      </c>
      <c r="AB23" s="197"/>
      <c r="AC23" s="197"/>
      <c r="AD23" s="197"/>
      <c r="AE23" s="197"/>
      <c r="AF23" s="197"/>
      <c r="AG23" s="236"/>
      <c r="AH23" s="197"/>
      <c r="AI23" s="197"/>
      <c r="AJ23" s="197"/>
      <c r="AK23" s="197"/>
      <c r="AL23" s="197"/>
      <c r="AM23" s="236">
        <v>0.56399999999999995</v>
      </c>
      <c r="AN23" s="197"/>
      <c r="AO23" s="197"/>
      <c r="AP23" s="197"/>
      <c r="AQ23" s="197"/>
      <c r="AR23" s="197"/>
      <c r="AS23" s="236"/>
      <c r="AT23" s="197"/>
      <c r="AU23" s="197"/>
      <c r="AV23" s="197"/>
      <c r="AW23" s="197"/>
      <c r="AX23" s="197"/>
      <c r="AY23" s="236">
        <v>0.26</v>
      </c>
    </row>
    <row r="24" spans="2:51" s="227" customFormat="1" x14ac:dyDescent="0.3">
      <c r="B24" s="235"/>
      <c r="C24" s="236"/>
      <c r="D24" s="197"/>
      <c r="E24" s="197"/>
      <c r="F24" s="197"/>
      <c r="G24" s="197"/>
      <c r="H24" s="197"/>
      <c r="I24" s="236"/>
      <c r="J24" s="197"/>
      <c r="K24" s="197"/>
      <c r="L24" s="197"/>
      <c r="M24" s="197"/>
      <c r="N24" s="197"/>
      <c r="O24" s="236"/>
      <c r="P24" s="197"/>
      <c r="Q24" s="197"/>
      <c r="R24" s="197"/>
      <c r="S24" s="197"/>
      <c r="T24" s="197"/>
      <c r="U24" s="236"/>
      <c r="V24" s="197"/>
      <c r="W24" s="197"/>
      <c r="X24" s="197"/>
      <c r="Y24" s="197"/>
      <c r="Z24" s="197"/>
      <c r="AA24" s="236"/>
      <c r="AB24" s="197"/>
      <c r="AC24" s="197"/>
      <c r="AD24" s="197"/>
      <c r="AE24" s="197"/>
      <c r="AF24" s="197"/>
      <c r="AG24" s="236"/>
      <c r="AH24" s="197"/>
      <c r="AI24" s="197"/>
      <c r="AJ24" s="197"/>
      <c r="AK24" s="197"/>
      <c r="AL24" s="197"/>
      <c r="AM24" s="236"/>
      <c r="AN24" s="197"/>
      <c r="AO24" s="197"/>
      <c r="AP24" s="197"/>
      <c r="AQ24" s="197"/>
      <c r="AR24" s="197"/>
      <c r="AS24" s="236"/>
      <c r="AT24" s="197"/>
      <c r="AU24" s="197"/>
      <c r="AV24" s="197"/>
      <c r="AW24" s="197"/>
      <c r="AX24" s="197"/>
      <c r="AY24" s="236"/>
    </row>
    <row r="25" spans="2:51" s="228" customFormat="1" x14ac:dyDescent="0.3">
      <c r="B25" s="238" t="s">
        <v>0</v>
      </c>
      <c r="C25" s="239">
        <v>7.51</v>
      </c>
      <c r="D25" s="240"/>
      <c r="E25" s="240"/>
      <c r="F25" s="240"/>
      <c r="G25" s="240"/>
      <c r="H25" s="240"/>
      <c r="I25" s="239">
        <v>8.49</v>
      </c>
      <c r="J25" s="240"/>
      <c r="K25" s="240"/>
      <c r="L25" s="240"/>
      <c r="M25" s="240"/>
      <c r="N25" s="240"/>
      <c r="O25" s="239">
        <v>8.36</v>
      </c>
      <c r="P25" s="240"/>
      <c r="Q25" s="240"/>
      <c r="R25" s="240"/>
      <c r="S25" s="240"/>
      <c r="T25" s="240"/>
      <c r="U25" s="239">
        <v>9.07</v>
      </c>
      <c r="V25" s="240"/>
      <c r="W25" s="240"/>
      <c r="X25" s="240"/>
      <c r="Y25" s="240"/>
      <c r="Z25" s="240"/>
      <c r="AA25" s="239">
        <v>9.02</v>
      </c>
      <c r="AB25" s="240"/>
      <c r="AC25" s="240"/>
      <c r="AD25" s="240"/>
      <c r="AE25" s="240"/>
      <c r="AF25" s="240"/>
      <c r="AG25" s="239">
        <v>9.42</v>
      </c>
      <c r="AH25" s="240"/>
      <c r="AI25" s="240"/>
      <c r="AJ25" s="240"/>
      <c r="AK25" s="240"/>
      <c r="AL25" s="240"/>
      <c r="AM25" s="239">
        <v>9.33</v>
      </c>
      <c r="AN25" s="240"/>
      <c r="AO25" s="240"/>
      <c r="AP25" s="240"/>
      <c r="AQ25" s="240"/>
      <c r="AR25" s="240"/>
      <c r="AS25" s="239">
        <v>9.9600000000000009</v>
      </c>
      <c r="AT25" s="240"/>
      <c r="AU25" s="240"/>
      <c r="AV25" s="240"/>
      <c r="AW25" s="240"/>
      <c r="AX25" s="240"/>
      <c r="AY25" s="239">
        <v>9.66</v>
      </c>
    </row>
    <row r="26" spans="2:51" s="229" customFormat="1" x14ac:dyDescent="0.3">
      <c r="B26" s="241" t="s">
        <v>54</v>
      </c>
      <c r="C26" s="242">
        <f>(((27/100)*10^6)*5)/10</f>
        <v>135000</v>
      </c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2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  <c r="AA26" s="242">
        <f>(((19/100)*10^6)*5)/10</f>
        <v>95000</v>
      </c>
      <c r="AB26" s="243"/>
      <c r="AC26" s="243"/>
      <c r="AD26" s="243"/>
      <c r="AE26" s="243"/>
      <c r="AF26" s="243"/>
      <c r="AG26" s="243"/>
      <c r="AH26" s="243"/>
      <c r="AI26" s="243"/>
      <c r="AJ26" s="243"/>
      <c r="AK26" s="243"/>
      <c r="AL26" s="243"/>
      <c r="AM26" s="242"/>
      <c r="AN26" s="243"/>
      <c r="AO26" s="243"/>
      <c r="AP26" s="243"/>
      <c r="AQ26" s="243"/>
      <c r="AR26" s="243"/>
      <c r="AS26" s="243"/>
      <c r="AT26" s="243"/>
      <c r="AU26" s="243"/>
      <c r="AV26" s="243"/>
      <c r="AW26" s="243"/>
      <c r="AX26" s="243"/>
      <c r="AY26" s="242">
        <f>(((24/100)*10^6)*5)/10</f>
        <v>120000</v>
      </c>
    </row>
    <row r="27" spans="2:51" s="229" customFormat="1" x14ac:dyDescent="0.3">
      <c r="B27" s="241"/>
      <c r="C27" s="242">
        <f>(((28/100)*10^6)*5)/10</f>
        <v>140000</v>
      </c>
      <c r="D27" s="243"/>
      <c r="E27" s="243"/>
      <c r="F27" s="243"/>
      <c r="G27" s="243"/>
      <c r="H27" s="243"/>
      <c r="I27" s="243"/>
      <c r="J27" s="243"/>
      <c r="K27" s="243"/>
      <c r="L27" s="243"/>
      <c r="M27" s="243"/>
      <c r="N27" s="243"/>
      <c r="O27" s="242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  <c r="AA27" s="242">
        <f>(((21/100)*10^6)*5)/10</f>
        <v>105000</v>
      </c>
      <c r="AB27" s="243"/>
      <c r="AC27" s="243"/>
      <c r="AD27" s="243"/>
      <c r="AE27" s="243"/>
      <c r="AF27" s="243"/>
      <c r="AG27" s="243"/>
      <c r="AH27" s="243"/>
      <c r="AI27" s="243"/>
      <c r="AJ27" s="243"/>
      <c r="AK27" s="243"/>
      <c r="AL27" s="243"/>
      <c r="AM27" s="242"/>
      <c r="AN27" s="243"/>
      <c r="AO27" s="243"/>
      <c r="AP27" s="243"/>
      <c r="AQ27" s="243"/>
      <c r="AR27" s="243"/>
      <c r="AS27" s="243"/>
      <c r="AT27" s="243"/>
      <c r="AU27" s="243"/>
      <c r="AV27" s="243"/>
      <c r="AW27" s="243"/>
      <c r="AX27" s="243"/>
      <c r="AY27" s="242">
        <f>(((17/100)*10^6)*5)/10</f>
        <v>85000</v>
      </c>
    </row>
    <row r="29" spans="2:51" ht="15.5" x14ac:dyDescent="0.35">
      <c r="B29" s="232" t="s">
        <v>12</v>
      </c>
      <c r="C29" s="234" t="s">
        <v>50</v>
      </c>
    </row>
    <row r="31" spans="2:51" x14ac:dyDescent="0.3">
      <c r="B31" s="4" t="s">
        <v>48</v>
      </c>
      <c r="C31" s="218">
        <v>0</v>
      </c>
      <c r="D31" s="218">
        <v>0.5</v>
      </c>
      <c r="E31" s="218">
        <v>1</v>
      </c>
      <c r="F31" s="218">
        <v>1.5</v>
      </c>
      <c r="G31" s="218">
        <v>2</v>
      </c>
      <c r="H31" s="218">
        <v>2.5</v>
      </c>
      <c r="I31" s="218">
        <v>3</v>
      </c>
      <c r="J31" s="218">
        <v>3.5</v>
      </c>
      <c r="K31" s="218">
        <v>4</v>
      </c>
      <c r="L31" s="218">
        <v>4.5</v>
      </c>
      <c r="M31" s="218">
        <v>5</v>
      </c>
      <c r="N31" s="218">
        <v>5.5</v>
      </c>
      <c r="O31" s="218">
        <v>6</v>
      </c>
      <c r="P31" s="218">
        <v>6.5</v>
      </c>
      <c r="Q31" s="218">
        <v>7</v>
      </c>
      <c r="R31" s="218">
        <v>7.5</v>
      </c>
      <c r="S31" s="218">
        <v>8</v>
      </c>
      <c r="T31" s="218">
        <v>8.5</v>
      </c>
      <c r="U31" s="218">
        <v>9</v>
      </c>
      <c r="V31" s="218">
        <v>9.5</v>
      </c>
      <c r="W31" s="218">
        <v>10</v>
      </c>
      <c r="X31" s="218">
        <v>10.5</v>
      </c>
      <c r="Y31" s="218">
        <v>11</v>
      </c>
      <c r="Z31" s="218">
        <v>11.5</v>
      </c>
      <c r="AA31" s="218">
        <v>12</v>
      </c>
      <c r="AB31" s="218">
        <v>12.5</v>
      </c>
      <c r="AC31" s="218">
        <v>13</v>
      </c>
      <c r="AD31" s="218">
        <v>13.5</v>
      </c>
      <c r="AE31" s="218">
        <v>14</v>
      </c>
      <c r="AF31" s="218">
        <v>14.5</v>
      </c>
      <c r="AG31" s="218">
        <v>15</v>
      </c>
      <c r="AH31" s="218">
        <v>15.5</v>
      </c>
      <c r="AI31" s="218">
        <v>16</v>
      </c>
      <c r="AJ31" s="218">
        <v>16.5</v>
      </c>
      <c r="AK31" s="218">
        <v>17</v>
      </c>
      <c r="AL31" s="218">
        <v>17.5</v>
      </c>
      <c r="AM31" s="218">
        <v>18</v>
      </c>
      <c r="AN31" s="218">
        <v>18.5</v>
      </c>
      <c r="AO31" s="218">
        <v>19</v>
      </c>
      <c r="AP31" s="218">
        <v>19.5</v>
      </c>
      <c r="AQ31" s="218">
        <v>20</v>
      </c>
      <c r="AR31" s="218">
        <v>20.5</v>
      </c>
      <c r="AS31" s="218">
        <v>21</v>
      </c>
      <c r="AT31" s="218">
        <v>21.5</v>
      </c>
      <c r="AU31" s="218">
        <v>22</v>
      </c>
      <c r="AV31" s="218">
        <v>22.5</v>
      </c>
      <c r="AW31" s="218">
        <v>23</v>
      </c>
      <c r="AX31" s="218">
        <v>23.5</v>
      </c>
      <c r="AY31" s="218">
        <v>24</v>
      </c>
    </row>
    <row r="32" spans="2:51" s="227" customFormat="1" x14ac:dyDescent="0.3">
      <c r="B32" s="235" t="s">
        <v>15</v>
      </c>
      <c r="C32" s="236">
        <f>2*1.46</f>
        <v>2.92</v>
      </c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236">
        <f>2*0.65</f>
        <v>1.3</v>
      </c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236">
        <v>0.78</v>
      </c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236">
        <v>1.2E-2</v>
      </c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236">
        <v>1.9E-2</v>
      </c>
    </row>
    <row r="33" spans="2:51" s="227" customFormat="1" x14ac:dyDescent="0.3">
      <c r="B33" s="235"/>
      <c r="C33" s="236">
        <f>2*1.41</f>
        <v>2.82</v>
      </c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236">
        <f>2*0.64</f>
        <v>1.28</v>
      </c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236">
        <v>0.75</v>
      </c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236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236">
        <v>3.0000000000000001E-3</v>
      </c>
    </row>
    <row r="34" spans="2:51" s="227" customFormat="1" x14ac:dyDescent="0.3">
      <c r="B34" s="237" t="s">
        <v>52</v>
      </c>
      <c r="C34" s="165">
        <v>1.1299999999999999</v>
      </c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65">
        <v>0.77</v>
      </c>
      <c r="P34" s="197"/>
      <c r="Q34" s="197"/>
      <c r="R34" s="197"/>
      <c r="S34" s="197"/>
      <c r="T34" s="197"/>
      <c r="U34" s="197"/>
      <c r="V34" s="197"/>
      <c r="W34" s="197"/>
      <c r="X34" s="197"/>
      <c r="Y34" s="197"/>
      <c r="Z34" s="197"/>
      <c r="AA34" s="165">
        <v>0.67</v>
      </c>
      <c r="AB34" s="197"/>
      <c r="AC34" s="197"/>
      <c r="AD34" s="197"/>
      <c r="AE34" s="197"/>
      <c r="AF34" s="197"/>
      <c r="AG34" s="197"/>
      <c r="AH34" s="197"/>
      <c r="AI34" s="197"/>
      <c r="AJ34" s="197"/>
      <c r="AK34" s="197"/>
      <c r="AL34" s="197"/>
      <c r="AM34" s="165">
        <v>0.09</v>
      </c>
      <c r="AN34" s="197"/>
      <c r="AO34" s="197"/>
      <c r="AP34" s="197"/>
      <c r="AQ34" s="197"/>
      <c r="AR34" s="197"/>
      <c r="AS34" s="197"/>
      <c r="AT34" s="197"/>
      <c r="AU34" s="197"/>
      <c r="AV34" s="197"/>
      <c r="AW34" s="197"/>
      <c r="AX34" s="197"/>
      <c r="AY34" s="165">
        <v>6.5000000000000002E-2</v>
      </c>
    </row>
    <row r="35" spans="2:51" s="227" customFormat="1" x14ac:dyDescent="0.3">
      <c r="B35" s="237"/>
      <c r="C35" s="165">
        <v>1.1200000000000001</v>
      </c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65">
        <v>0.78</v>
      </c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65">
        <v>0.71</v>
      </c>
      <c r="AB35" s="197"/>
      <c r="AC35" s="197"/>
      <c r="AD35" s="197"/>
      <c r="AE35" s="197"/>
      <c r="AF35" s="197"/>
      <c r="AG35" s="197"/>
      <c r="AH35" s="197"/>
      <c r="AI35" s="197"/>
      <c r="AJ35" s="197"/>
      <c r="AK35" s="197"/>
      <c r="AL35" s="197"/>
      <c r="AM35" s="165">
        <v>0.11</v>
      </c>
      <c r="AN35" s="197"/>
      <c r="AO35" s="197"/>
      <c r="AP35" s="197"/>
      <c r="AQ35" s="197"/>
      <c r="AR35" s="197"/>
      <c r="AS35" s="197"/>
      <c r="AT35" s="197"/>
      <c r="AU35" s="197"/>
      <c r="AV35" s="197"/>
      <c r="AW35" s="197"/>
      <c r="AX35" s="197"/>
      <c r="AY35" s="165">
        <v>6.5000000000000002E-2</v>
      </c>
    </row>
    <row r="36" spans="2:51" s="227" customFormat="1" x14ac:dyDescent="0.3">
      <c r="B36" s="235" t="s">
        <v>53</v>
      </c>
      <c r="C36" s="236">
        <v>1.1299999999999999</v>
      </c>
      <c r="D36" s="197"/>
      <c r="E36" s="197"/>
      <c r="F36" s="197"/>
      <c r="G36" s="197"/>
      <c r="H36" s="197"/>
      <c r="I36" s="197"/>
      <c r="J36" s="197"/>
      <c r="K36" s="197"/>
      <c r="L36" s="197"/>
      <c r="M36" s="197"/>
      <c r="N36" s="197"/>
      <c r="O36" s="236"/>
      <c r="P36" s="197"/>
      <c r="Q36" s="197"/>
      <c r="R36" s="197"/>
      <c r="S36" s="197"/>
      <c r="T36" s="197"/>
      <c r="U36" s="197"/>
      <c r="V36" s="197"/>
      <c r="W36" s="197"/>
      <c r="X36" s="197"/>
      <c r="Y36" s="197"/>
      <c r="Z36" s="197"/>
      <c r="AA36" s="236">
        <v>0.7</v>
      </c>
      <c r="AB36" s="197"/>
      <c r="AC36" s="197"/>
      <c r="AD36" s="197"/>
      <c r="AE36" s="197"/>
      <c r="AF36" s="197"/>
      <c r="AG36" s="197"/>
      <c r="AH36" s="197"/>
      <c r="AI36" s="197"/>
      <c r="AJ36" s="197"/>
      <c r="AK36" s="197"/>
      <c r="AL36" s="197"/>
      <c r="AM36" s="236"/>
      <c r="AN36" s="197"/>
      <c r="AO36" s="197"/>
      <c r="AP36" s="197"/>
      <c r="AQ36" s="197"/>
      <c r="AR36" s="197"/>
      <c r="AS36" s="197"/>
      <c r="AT36" s="197"/>
      <c r="AU36" s="197"/>
      <c r="AV36" s="197"/>
      <c r="AW36" s="197"/>
      <c r="AX36" s="197"/>
      <c r="AY36" s="236">
        <v>7.6999999999999999E-2</v>
      </c>
    </row>
    <row r="37" spans="2:51" s="227" customFormat="1" x14ac:dyDescent="0.3">
      <c r="B37" s="235"/>
      <c r="C37" s="236"/>
      <c r="D37" s="197"/>
      <c r="E37" s="197"/>
      <c r="F37" s="197"/>
      <c r="G37" s="197"/>
      <c r="H37" s="197"/>
      <c r="I37" s="197"/>
      <c r="J37" s="197"/>
      <c r="K37" s="197"/>
      <c r="L37" s="197"/>
      <c r="M37" s="197"/>
      <c r="N37" s="197"/>
      <c r="O37" s="236"/>
      <c r="P37" s="197"/>
      <c r="Q37" s="197"/>
      <c r="R37" s="197"/>
      <c r="S37" s="197"/>
      <c r="T37" s="197"/>
      <c r="U37" s="197"/>
      <c r="V37" s="197"/>
      <c r="W37" s="197"/>
      <c r="X37" s="197"/>
      <c r="Y37" s="197"/>
      <c r="Z37" s="197"/>
      <c r="AA37" s="236"/>
      <c r="AB37" s="197"/>
      <c r="AC37" s="197"/>
      <c r="AD37" s="197"/>
      <c r="AE37" s="197"/>
      <c r="AF37" s="197"/>
      <c r="AG37" s="197"/>
      <c r="AH37" s="197"/>
      <c r="AI37" s="197"/>
      <c r="AJ37" s="197"/>
      <c r="AK37" s="197"/>
      <c r="AL37" s="197"/>
      <c r="AM37" s="236"/>
      <c r="AN37" s="197"/>
      <c r="AO37" s="197"/>
      <c r="AP37" s="197"/>
      <c r="AQ37" s="197"/>
      <c r="AR37" s="197"/>
      <c r="AS37" s="197"/>
      <c r="AT37" s="197"/>
      <c r="AU37" s="197"/>
      <c r="AV37" s="197"/>
      <c r="AW37" s="197"/>
      <c r="AX37" s="197"/>
      <c r="AY37" s="236"/>
    </row>
    <row r="38" spans="2:51" s="228" customFormat="1" x14ac:dyDescent="0.3">
      <c r="B38" s="238" t="s">
        <v>0</v>
      </c>
      <c r="C38" s="239">
        <v>7.51</v>
      </c>
      <c r="D38" s="240"/>
      <c r="E38" s="240"/>
      <c r="F38" s="240"/>
      <c r="G38" s="240"/>
      <c r="H38" s="240"/>
      <c r="I38" s="240"/>
      <c r="J38" s="240"/>
      <c r="K38" s="240"/>
      <c r="L38" s="240"/>
      <c r="M38" s="240"/>
      <c r="N38" s="240"/>
      <c r="O38" s="239">
        <v>9.32</v>
      </c>
      <c r="P38" s="240"/>
      <c r="Q38" s="240"/>
      <c r="R38" s="240"/>
      <c r="S38" s="240"/>
      <c r="T38" s="240"/>
      <c r="U38" s="240"/>
      <c r="V38" s="240"/>
      <c r="W38" s="240"/>
      <c r="X38" s="240"/>
      <c r="Y38" s="240"/>
      <c r="Z38" s="240"/>
      <c r="AA38" s="239">
        <v>9.06</v>
      </c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39">
        <v>10.67</v>
      </c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  <c r="AY38" s="239">
        <v>10.37</v>
      </c>
    </row>
    <row r="39" spans="2:51" s="229" customFormat="1" x14ac:dyDescent="0.3">
      <c r="B39" s="241" t="s">
        <v>54</v>
      </c>
      <c r="C39" s="242">
        <f>(((19/100)*10^6)*5)/10</f>
        <v>95000</v>
      </c>
      <c r="D39" s="243"/>
      <c r="E39" s="243"/>
      <c r="F39" s="243"/>
      <c r="G39" s="243"/>
      <c r="H39" s="243"/>
      <c r="I39" s="243"/>
      <c r="J39" s="243"/>
      <c r="K39" s="243"/>
      <c r="L39" s="243"/>
      <c r="M39" s="243"/>
      <c r="N39" s="243"/>
      <c r="O39" s="242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2">
        <f>(((25/100)*10^6)*5)/10</f>
        <v>125000</v>
      </c>
      <c r="AB39" s="243"/>
      <c r="AC39" s="243"/>
      <c r="AD39" s="243"/>
      <c r="AE39" s="243"/>
      <c r="AF39" s="243"/>
      <c r="AG39" s="243"/>
      <c r="AH39" s="243"/>
      <c r="AI39" s="243"/>
      <c r="AJ39" s="243"/>
      <c r="AK39" s="243"/>
      <c r="AL39" s="243"/>
      <c r="AM39" s="242"/>
      <c r="AN39" s="243"/>
      <c r="AO39" s="243"/>
      <c r="AP39" s="243"/>
      <c r="AQ39" s="243"/>
      <c r="AR39" s="243"/>
      <c r="AS39" s="243"/>
      <c r="AT39" s="243"/>
      <c r="AU39" s="243"/>
      <c r="AV39" s="243"/>
      <c r="AW39" s="243"/>
      <c r="AX39" s="243"/>
      <c r="AY39" s="242">
        <f>(((38/100)*10^6)*5)/10</f>
        <v>190000</v>
      </c>
    </row>
    <row r="40" spans="2:51" s="229" customFormat="1" x14ac:dyDescent="0.3">
      <c r="B40" s="241"/>
      <c r="C40" s="242">
        <f>(((33/100)*10^6)*5)/10</f>
        <v>165000</v>
      </c>
      <c r="D40" s="243"/>
      <c r="E40" s="243"/>
      <c r="F40" s="243"/>
      <c r="G40" s="243"/>
      <c r="H40" s="243"/>
      <c r="I40" s="243"/>
      <c r="J40" s="243"/>
      <c r="K40" s="243"/>
      <c r="L40" s="243"/>
      <c r="M40" s="243"/>
      <c r="N40" s="243"/>
      <c r="O40" s="242"/>
      <c r="P40" s="243"/>
      <c r="Q40" s="243"/>
      <c r="R40" s="243"/>
      <c r="S40" s="243"/>
      <c r="T40" s="243"/>
      <c r="U40" s="243"/>
      <c r="V40" s="243"/>
      <c r="W40" s="243"/>
      <c r="X40" s="243"/>
      <c r="Y40" s="243"/>
      <c r="Z40" s="243"/>
      <c r="AA40" s="242">
        <f>(((18/100)*10^6)*5)/10</f>
        <v>90000</v>
      </c>
      <c r="AB40" s="243"/>
      <c r="AC40" s="243"/>
      <c r="AD40" s="243"/>
      <c r="AE40" s="243"/>
      <c r="AF40" s="243"/>
      <c r="AG40" s="243"/>
      <c r="AH40" s="243"/>
      <c r="AI40" s="243"/>
      <c r="AJ40" s="243"/>
      <c r="AK40" s="243"/>
      <c r="AL40" s="243"/>
      <c r="AM40" s="242"/>
      <c r="AN40" s="243"/>
      <c r="AO40" s="243"/>
      <c r="AP40" s="243"/>
      <c r="AQ40" s="243"/>
      <c r="AR40" s="243"/>
      <c r="AS40" s="243"/>
      <c r="AT40" s="243"/>
      <c r="AU40" s="243"/>
      <c r="AV40" s="243"/>
      <c r="AW40" s="243"/>
      <c r="AX40" s="243"/>
      <c r="AY40" s="242">
        <f>(((46/100)*10^6)*5)/10</f>
        <v>230000</v>
      </c>
    </row>
    <row r="42" spans="2:51" ht="15.5" x14ac:dyDescent="0.35">
      <c r="B42" s="232" t="s">
        <v>12</v>
      </c>
      <c r="C42" s="234" t="s">
        <v>51</v>
      </c>
    </row>
    <row r="44" spans="2:51" x14ac:dyDescent="0.3">
      <c r="B44" s="4" t="s">
        <v>48</v>
      </c>
      <c r="C44" s="218">
        <v>0</v>
      </c>
      <c r="D44" s="218">
        <v>0.5</v>
      </c>
      <c r="E44" s="218">
        <v>1</v>
      </c>
      <c r="F44" s="218">
        <v>1.5</v>
      </c>
      <c r="G44" s="218">
        <v>2</v>
      </c>
      <c r="H44" s="218">
        <v>2.5</v>
      </c>
      <c r="I44" s="218">
        <v>3</v>
      </c>
      <c r="J44" s="218">
        <v>3.5</v>
      </c>
      <c r="K44" s="218">
        <v>4</v>
      </c>
      <c r="L44" s="218">
        <v>4.5</v>
      </c>
      <c r="M44" s="218">
        <v>5</v>
      </c>
      <c r="N44" s="218">
        <v>5.5</v>
      </c>
      <c r="O44" s="218">
        <v>6</v>
      </c>
      <c r="P44" s="218">
        <v>6.5</v>
      </c>
      <c r="Q44" s="218">
        <v>7</v>
      </c>
      <c r="R44" s="218">
        <v>7.5</v>
      </c>
      <c r="S44" s="218">
        <v>8</v>
      </c>
      <c r="T44" s="218">
        <v>8.5</v>
      </c>
      <c r="U44" s="218">
        <v>9</v>
      </c>
      <c r="V44" s="218">
        <v>9.5</v>
      </c>
      <c r="W44" s="218">
        <v>10</v>
      </c>
      <c r="X44" s="218">
        <v>10.5</v>
      </c>
      <c r="Y44" s="218">
        <v>11</v>
      </c>
      <c r="Z44" s="218">
        <v>11.5</v>
      </c>
      <c r="AA44" s="218">
        <v>12</v>
      </c>
      <c r="AB44" s="218">
        <v>12.5</v>
      </c>
      <c r="AC44" s="218">
        <v>13</v>
      </c>
      <c r="AD44" s="218">
        <v>13.5</v>
      </c>
      <c r="AE44" s="218">
        <v>14</v>
      </c>
      <c r="AF44" s="218">
        <v>14.5</v>
      </c>
      <c r="AG44" s="218">
        <v>15</v>
      </c>
      <c r="AH44" s="218">
        <v>15.5</v>
      </c>
      <c r="AI44" s="218">
        <v>16</v>
      </c>
      <c r="AJ44" s="218">
        <v>16.5</v>
      </c>
      <c r="AK44" s="218">
        <v>17</v>
      </c>
      <c r="AL44" s="218">
        <v>17.5</v>
      </c>
      <c r="AM44" s="218">
        <v>18</v>
      </c>
      <c r="AN44" s="218">
        <v>18.5</v>
      </c>
      <c r="AO44" s="218">
        <v>19</v>
      </c>
      <c r="AP44" s="218">
        <v>19.5</v>
      </c>
      <c r="AQ44" s="218">
        <v>20</v>
      </c>
      <c r="AR44" s="218">
        <v>20.5</v>
      </c>
      <c r="AS44" s="218">
        <v>21</v>
      </c>
      <c r="AT44" s="218">
        <v>21.5</v>
      </c>
      <c r="AU44" s="218">
        <v>22</v>
      </c>
      <c r="AV44" s="218">
        <v>22.5</v>
      </c>
      <c r="AW44" s="218">
        <v>23</v>
      </c>
      <c r="AX44" s="218">
        <v>23.5</v>
      </c>
      <c r="AY44" s="218">
        <v>24</v>
      </c>
    </row>
    <row r="45" spans="2:51" s="227" customFormat="1" x14ac:dyDescent="0.3">
      <c r="B45" s="235" t="s">
        <v>15</v>
      </c>
      <c r="C45" s="236">
        <f>2*1.46</f>
        <v>2.92</v>
      </c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236">
        <f>2*0.55</f>
        <v>1.1000000000000001</v>
      </c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236">
        <v>2.1000000000000001E-2</v>
      </c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236">
        <v>1.0999999999999999E-2</v>
      </c>
      <c r="AN45" s="197"/>
      <c r="AO45" s="197"/>
      <c r="AP45" s="197"/>
      <c r="AQ45" s="197"/>
      <c r="AR45" s="197"/>
      <c r="AS45" s="197"/>
      <c r="AT45" s="197"/>
      <c r="AU45" s="197"/>
      <c r="AV45" s="197"/>
      <c r="AW45" s="197"/>
      <c r="AX45" s="197"/>
      <c r="AY45" s="236">
        <v>6.0000000000000001E-3</v>
      </c>
    </row>
    <row r="46" spans="2:51" s="227" customFormat="1" x14ac:dyDescent="0.3">
      <c r="B46" s="235"/>
      <c r="C46" s="236">
        <f>2*1.41</f>
        <v>2.82</v>
      </c>
      <c r="D46" s="197"/>
      <c r="E46" s="197"/>
      <c r="F46" s="197"/>
      <c r="G46" s="197"/>
      <c r="H46" s="197"/>
      <c r="I46" s="197"/>
      <c r="J46" s="197"/>
      <c r="K46" s="197"/>
      <c r="L46" s="197"/>
      <c r="M46" s="197"/>
      <c r="N46" s="197"/>
      <c r="O46" s="236">
        <f>2*0.51</f>
        <v>1.02</v>
      </c>
      <c r="P46" s="197"/>
      <c r="Q46" s="197"/>
      <c r="R46" s="197"/>
      <c r="S46" s="197"/>
      <c r="T46" s="197"/>
      <c r="U46" s="197"/>
      <c r="V46" s="197"/>
      <c r="W46" s="197"/>
      <c r="X46" s="197"/>
      <c r="Y46" s="197"/>
      <c r="Z46" s="197"/>
      <c r="AA46" s="236"/>
      <c r="AB46" s="197"/>
      <c r="AC46" s="197"/>
      <c r="AD46" s="197"/>
      <c r="AE46" s="197"/>
      <c r="AF46" s="197"/>
      <c r="AG46" s="197"/>
      <c r="AH46" s="197"/>
      <c r="AI46" s="197"/>
      <c r="AJ46" s="197"/>
      <c r="AK46" s="197"/>
      <c r="AL46" s="197"/>
      <c r="AM46" s="236"/>
      <c r="AN46" s="197"/>
      <c r="AO46" s="197"/>
      <c r="AP46" s="197"/>
      <c r="AQ46" s="197"/>
      <c r="AR46" s="197"/>
      <c r="AS46" s="197"/>
      <c r="AT46" s="197"/>
      <c r="AU46" s="197"/>
      <c r="AV46" s="197"/>
      <c r="AW46" s="197"/>
      <c r="AX46" s="197"/>
      <c r="AY46" s="236">
        <v>0</v>
      </c>
    </row>
    <row r="47" spans="2:51" s="227" customFormat="1" x14ac:dyDescent="0.3">
      <c r="B47" s="237" t="s">
        <v>52</v>
      </c>
      <c r="C47" s="165">
        <v>1.1299999999999999</v>
      </c>
      <c r="D47" s="197"/>
      <c r="E47" s="197"/>
      <c r="F47" s="197"/>
      <c r="G47" s="197"/>
      <c r="H47" s="197"/>
      <c r="I47" s="197"/>
      <c r="J47" s="197"/>
      <c r="K47" s="197"/>
      <c r="L47" s="197"/>
      <c r="M47" s="197"/>
      <c r="N47" s="197"/>
      <c r="O47" s="165">
        <v>0.7</v>
      </c>
      <c r="P47" s="197"/>
      <c r="Q47" s="197"/>
      <c r="R47" s="197"/>
      <c r="S47" s="197"/>
      <c r="T47" s="197"/>
      <c r="U47" s="197"/>
      <c r="V47" s="197"/>
      <c r="W47" s="197"/>
      <c r="X47" s="197"/>
      <c r="Y47" s="197"/>
      <c r="Z47" s="197"/>
      <c r="AA47" s="165">
        <v>0.13</v>
      </c>
      <c r="AB47" s="197"/>
      <c r="AC47" s="197"/>
      <c r="AD47" s="197"/>
      <c r="AE47" s="197"/>
      <c r="AF47" s="197"/>
      <c r="AG47" s="197"/>
      <c r="AH47" s="197"/>
      <c r="AI47" s="197"/>
      <c r="AJ47" s="197"/>
      <c r="AK47" s="197"/>
      <c r="AL47" s="197"/>
      <c r="AM47" s="165">
        <v>5.7000000000000002E-2</v>
      </c>
      <c r="AN47" s="197"/>
      <c r="AO47" s="197"/>
      <c r="AP47" s="197"/>
      <c r="AQ47" s="197"/>
      <c r="AR47" s="197"/>
      <c r="AS47" s="197"/>
      <c r="AT47" s="197"/>
      <c r="AU47" s="197"/>
      <c r="AV47" s="197"/>
      <c r="AW47" s="197"/>
      <c r="AX47" s="197"/>
      <c r="AY47" s="165">
        <v>6.5000000000000002E-2</v>
      </c>
    </row>
    <row r="48" spans="2:51" s="227" customFormat="1" x14ac:dyDescent="0.3">
      <c r="B48" s="237"/>
      <c r="C48" s="165">
        <v>1.1200000000000001</v>
      </c>
      <c r="D48" s="197"/>
      <c r="E48" s="197"/>
      <c r="F48" s="197"/>
      <c r="G48" s="197"/>
      <c r="H48" s="197"/>
      <c r="I48" s="197"/>
      <c r="J48" s="197"/>
      <c r="K48" s="197"/>
      <c r="L48" s="197"/>
      <c r="M48" s="197"/>
      <c r="N48" s="197"/>
      <c r="O48" s="165">
        <v>0.72</v>
      </c>
      <c r="P48" s="197"/>
      <c r="Q48" s="197"/>
      <c r="R48" s="197"/>
      <c r="S48" s="197"/>
      <c r="T48" s="197"/>
      <c r="U48" s="197"/>
      <c r="V48" s="197"/>
      <c r="W48" s="197"/>
      <c r="X48" s="197"/>
      <c r="Y48" s="197"/>
      <c r="Z48" s="197"/>
      <c r="AA48" s="165">
        <v>0.12</v>
      </c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65">
        <v>5.5E-2</v>
      </c>
      <c r="AN48" s="197"/>
      <c r="AO48" s="197"/>
      <c r="AP48" s="197"/>
      <c r="AQ48" s="197"/>
      <c r="AR48" s="197"/>
      <c r="AS48" s="197"/>
      <c r="AT48" s="197"/>
      <c r="AU48" s="197"/>
      <c r="AV48" s="197"/>
      <c r="AW48" s="197"/>
      <c r="AX48" s="197"/>
      <c r="AY48" s="165">
        <v>6.3E-2</v>
      </c>
    </row>
    <row r="49" spans="2:51" s="227" customFormat="1" x14ac:dyDescent="0.3">
      <c r="B49" s="235" t="s">
        <v>53</v>
      </c>
      <c r="C49" s="236">
        <v>1.1299999999999999</v>
      </c>
      <c r="D49" s="197"/>
      <c r="E49" s="197"/>
      <c r="F49" s="197"/>
      <c r="G49" s="197"/>
      <c r="H49" s="197"/>
      <c r="I49" s="197"/>
      <c r="J49" s="197"/>
      <c r="K49" s="197"/>
      <c r="L49" s="197"/>
      <c r="M49" s="197"/>
      <c r="N49" s="197"/>
      <c r="O49" s="236"/>
      <c r="P49" s="197"/>
      <c r="Q49" s="197"/>
      <c r="R49" s="197"/>
      <c r="S49" s="197"/>
      <c r="T49" s="197"/>
      <c r="U49" s="197"/>
      <c r="V49" s="197"/>
      <c r="W49" s="197"/>
      <c r="X49" s="197"/>
      <c r="Y49" s="197"/>
      <c r="Z49" s="197"/>
      <c r="AA49" s="236">
        <v>0.14000000000000001</v>
      </c>
      <c r="AB49" s="197"/>
      <c r="AC49" s="197"/>
      <c r="AD49" s="197"/>
      <c r="AE49" s="197"/>
      <c r="AF49" s="197"/>
      <c r="AG49" s="197"/>
      <c r="AH49" s="197"/>
      <c r="AI49" s="197"/>
      <c r="AJ49" s="197"/>
      <c r="AK49" s="197"/>
      <c r="AL49" s="197"/>
      <c r="AM49" s="236"/>
      <c r="AN49" s="197"/>
      <c r="AO49" s="197"/>
      <c r="AP49" s="197"/>
      <c r="AQ49" s="197"/>
      <c r="AR49" s="197"/>
      <c r="AS49" s="197"/>
      <c r="AT49" s="197"/>
      <c r="AU49" s="197"/>
      <c r="AV49" s="197"/>
      <c r="AW49" s="197"/>
      <c r="AX49" s="197"/>
      <c r="AY49" s="236">
        <v>7.5999999999999998E-2</v>
      </c>
    </row>
    <row r="50" spans="2:51" s="227" customFormat="1" x14ac:dyDescent="0.3">
      <c r="B50" s="235"/>
      <c r="C50" s="236"/>
      <c r="D50" s="197"/>
      <c r="E50" s="197"/>
      <c r="F50" s="197"/>
      <c r="G50" s="197"/>
      <c r="H50" s="197"/>
      <c r="I50" s="197"/>
      <c r="J50" s="197"/>
      <c r="K50" s="197"/>
      <c r="L50" s="197"/>
      <c r="M50" s="197"/>
      <c r="N50" s="197"/>
      <c r="O50" s="236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7"/>
      <c r="AA50" s="236"/>
      <c r="AB50" s="197"/>
      <c r="AC50" s="197"/>
      <c r="AD50" s="197"/>
      <c r="AE50" s="197"/>
      <c r="AF50" s="197"/>
      <c r="AG50" s="197"/>
      <c r="AH50" s="197"/>
      <c r="AI50" s="197"/>
      <c r="AJ50" s="197"/>
      <c r="AK50" s="197"/>
      <c r="AL50" s="197"/>
      <c r="AM50" s="236"/>
      <c r="AN50" s="197"/>
      <c r="AO50" s="197"/>
      <c r="AP50" s="197"/>
      <c r="AQ50" s="197"/>
      <c r="AR50" s="197"/>
      <c r="AS50" s="197"/>
      <c r="AT50" s="197"/>
      <c r="AU50" s="197"/>
      <c r="AV50" s="197"/>
      <c r="AW50" s="197"/>
      <c r="AX50" s="197"/>
      <c r="AY50" s="236"/>
    </row>
    <row r="51" spans="2:51" s="228" customFormat="1" x14ac:dyDescent="0.3">
      <c r="B51" s="238" t="s">
        <v>0</v>
      </c>
      <c r="C51" s="239">
        <v>7.51</v>
      </c>
      <c r="D51" s="240"/>
      <c r="E51" s="240"/>
      <c r="F51" s="240"/>
      <c r="G51" s="240"/>
      <c r="H51" s="240"/>
      <c r="I51" s="240"/>
      <c r="J51" s="240"/>
      <c r="K51" s="240"/>
      <c r="L51" s="240"/>
      <c r="M51" s="240"/>
      <c r="N51" s="240"/>
      <c r="O51" s="239">
        <v>9.5</v>
      </c>
      <c r="P51" s="240"/>
      <c r="Q51" s="240"/>
      <c r="R51" s="240"/>
      <c r="S51" s="240"/>
      <c r="T51" s="240"/>
      <c r="U51" s="240"/>
      <c r="V51" s="240"/>
      <c r="W51" s="240"/>
      <c r="X51" s="240"/>
      <c r="Y51" s="240"/>
      <c r="Z51" s="240"/>
      <c r="AA51" s="239">
        <v>10.53</v>
      </c>
      <c r="AB51" s="240"/>
      <c r="AC51" s="240"/>
      <c r="AD51" s="240"/>
      <c r="AE51" s="240"/>
      <c r="AF51" s="240"/>
      <c r="AG51" s="240"/>
      <c r="AH51" s="240"/>
      <c r="AI51" s="240"/>
      <c r="AJ51" s="240"/>
      <c r="AK51" s="240"/>
      <c r="AL51" s="240"/>
      <c r="AM51" s="239">
        <v>10.23</v>
      </c>
      <c r="AN51" s="240"/>
      <c r="AO51" s="240"/>
      <c r="AP51" s="240"/>
      <c r="AQ51" s="240"/>
      <c r="AR51" s="240"/>
      <c r="AS51" s="240"/>
      <c r="AT51" s="240"/>
      <c r="AU51" s="240"/>
      <c r="AV51" s="240"/>
      <c r="AW51" s="240"/>
      <c r="AX51" s="240"/>
      <c r="AY51" s="239">
        <v>9.9600000000000009</v>
      </c>
    </row>
    <row r="52" spans="2:51" s="229" customFormat="1" x14ac:dyDescent="0.3">
      <c r="B52" s="241" t="s">
        <v>54</v>
      </c>
      <c r="C52" s="242">
        <f>(((19/100)*10^6)*5)/10</f>
        <v>95000</v>
      </c>
      <c r="D52" s="243"/>
      <c r="E52" s="243"/>
      <c r="F52" s="243"/>
      <c r="G52" s="243"/>
      <c r="H52" s="243"/>
      <c r="I52" s="243"/>
      <c r="J52" s="243"/>
      <c r="K52" s="243"/>
      <c r="L52" s="243"/>
      <c r="M52" s="243"/>
      <c r="N52" s="243"/>
      <c r="O52" s="242"/>
      <c r="P52" s="243"/>
      <c r="Q52" s="243"/>
      <c r="R52" s="243"/>
      <c r="S52" s="243"/>
      <c r="T52" s="243"/>
      <c r="U52" s="243"/>
      <c r="V52" s="243"/>
      <c r="W52" s="243"/>
      <c r="X52" s="243"/>
      <c r="Y52" s="243"/>
      <c r="Z52" s="243"/>
      <c r="AA52" s="242">
        <f>(((28/100)*10^6)*5)/10</f>
        <v>140000</v>
      </c>
      <c r="AB52" s="243"/>
      <c r="AC52" s="243"/>
      <c r="AD52" s="243"/>
      <c r="AE52" s="243"/>
      <c r="AF52" s="243"/>
      <c r="AG52" s="243"/>
      <c r="AH52" s="243"/>
      <c r="AI52" s="243"/>
      <c r="AJ52" s="243"/>
      <c r="AK52" s="243"/>
      <c r="AL52" s="243"/>
      <c r="AM52" s="242"/>
      <c r="AN52" s="243"/>
      <c r="AO52" s="243"/>
      <c r="AP52" s="243"/>
      <c r="AQ52" s="243"/>
      <c r="AR52" s="243"/>
      <c r="AS52" s="243"/>
      <c r="AT52" s="243"/>
      <c r="AU52" s="243"/>
      <c r="AV52" s="243"/>
      <c r="AW52" s="243"/>
      <c r="AX52" s="243"/>
      <c r="AY52" s="242">
        <f>(((48/100)*10^6)*5)/10</f>
        <v>240000</v>
      </c>
    </row>
    <row r="53" spans="2:51" s="229" customFormat="1" x14ac:dyDescent="0.3">
      <c r="B53" s="241"/>
      <c r="C53" s="242">
        <f>(((33/100)*10^6)*5)/10</f>
        <v>165000</v>
      </c>
      <c r="D53" s="243"/>
      <c r="E53" s="243"/>
      <c r="F53" s="243"/>
      <c r="G53" s="243"/>
      <c r="H53" s="243"/>
      <c r="I53" s="243"/>
      <c r="J53" s="243"/>
      <c r="K53" s="243"/>
      <c r="L53" s="243"/>
      <c r="M53" s="243"/>
      <c r="N53" s="243"/>
      <c r="O53" s="242"/>
      <c r="P53" s="243"/>
      <c r="Q53" s="243"/>
      <c r="R53" s="243"/>
      <c r="S53" s="243"/>
      <c r="T53" s="243"/>
      <c r="U53" s="243"/>
      <c r="V53" s="243"/>
      <c r="W53" s="243"/>
      <c r="X53" s="243"/>
      <c r="Y53" s="243"/>
      <c r="Z53" s="243"/>
      <c r="AA53" s="242">
        <f>(((139/100)*10^6)*5)/10</f>
        <v>695000</v>
      </c>
      <c r="AB53" s="243"/>
      <c r="AC53" s="243"/>
      <c r="AD53" s="243"/>
      <c r="AE53" s="243"/>
      <c r="AF53" s="243"/>
      <c r="AG53" s="243"/>
      <c r="AH53" s="243"/>
      <c r="AI53" s="243"/>
      <c r="AJ53" s="243"/>
      <c r="AK53" s="243"/>
      <c r="AL53" s="243"/>
      <c r="AM53" s="242"/>
      <c r="AN53" s="243"/>
      <c r="AO53" s="243"/>
      <c r="AP53" s="243"/>
      <c r="AQ53" s="243"/>
      <c r="AR53" s="243"/>
      <c r="AS53" s="243"/>
      <c r="AT53" s="243"/>
      <c r="AU53" s="243"/>
      <c r="AV53" s="243"/>
      <c r="AW53" s="243"/>
      <c r="AX53" s="243"/>
      <c r="AY53" s="242">
        <f>(((59/100)*10^6)*5)/10</f>
        <v>295000</v>
      </c>
    </row>
    <row r="54" spans="2:51" s="229" customFormat="1" x14ac:dyDescent="0.3">
      <c r="B54" s="230"/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231"/>
      <c r="O54" s="231"/>
      <c r="P54" s="231"/>
      <c r="Q54" s="231"/>
      <c r="R54" s="231"/>
      <c r="S54" s="231"/>
      <c r="T54" s="231"/>
      <c r="U54" s="231"/>
      <c r="V54" s="231"/>
      <c r="W54" s="231"/>
      <c r="X54" s="231"/>
      <c r="Y54" s="231"/>
      <c r="Z54" s="231"/>
      <c r="AA54" s="231"/>
      <c r="AB54" s="231"/>
      <c r="AC54" s="231"/>
      <c r="AD54" s="231"/>
      <c r="AE54" s="231"/>
      <c r="AF54" s="231"/>
      <c r="AG54" s="231"/>
      <c r="AH54" s="231"/>
      <c r="AI54" s="231"/>
      <c r="AJ54" s="231"/>
      <c r="AK54" s="231"/>
      <c r="AL54" s="231"/>
      <c r="AM54" s="231"/>
      <c r="AN54" s="231"/>
      <c r="AO54" s="231"/>
      <c r="AP54" s="231"/>
      <c r="AQ54" s="231"/>
      <c r="AR54" s="231"/>
      <c r="AS54" s="231"/>
      <c r="AT54" s="231"/>
      <c r="AU54" s="231"/>
      <c r="AV54" s="231"/>
      <c r="AW54" s="231"/>
      <c r="AX54" s="231"/>
      <c r="AY54" s="231"/>
    </row>
    <row r="127" spans="1:51" x14ac:dyDescent="0.3">
      <c r="AH127" s="174"/>
      <c r="AI127" s="174"/>
      <c r="AJ127" s="174"/>
      <c r="AK127" s="174"/>
      <c r="AL127" s="174"/>
      <c r="AM127" s="174"/>
      <c r="AN127" s="174"/>
      <c r="AO127" s="174"/>
      <c r="AP127" s="174"/>
      <c r="AQ127" s="174"/>
      <c r="AR127" s="174"/>
      <c r="AS127" s="174"/>
      <c r="AT127" s="174"/>
      <c r="AU127" s="174"/>
      <c r="AV127" s="174"/>
      <c r="AW127" s="174"/>
      <c r="AX127" s="174"/>
      <c r="AY127" s="174"/>
    </row>
    <row r="128" spans="1:51" s="177" customFormat="1" x14ac:dyDescent="0.3">
      <c r="A128" s="174"/>
      <c r="B128" s="3"/>
      <c r="AH128" s="174"/>
      <c r="AI128" s="174"/>
      <c r="AJ128" s="174"/>
      <c r="AK128" s="174"/>
      <c r="AL128" s="174"/>
      <c r="AM128" s="174"/>
      <c r="AN128" s="174"/>
      <c r="AO128" s="174"/>
      <c r="AP128" s="174"/>
      <c r="AQ128" s="174"/>
      <c r="AR128" s="174"/>
      <c r="AS128" s="174"/>
      <c r="AT128" s="174"/>
      <c r="AU128" s="174"/>
    </row>
    <row r="129" spans="1:51" s="177" customFormat="1" x14ac:dyDescent="0.3">
      <c r="A129" s="174"/>
      <c r="B129" s="3"/>
      <c r="AH129" s="174"/>
      <c r="AI129" s="174"/>
      <c r="AJ129" s="174"/>
      <c r="AK129" s="174"/>
      <c r="AL129" s="174"/>
      <c r="AM129" s="174"/>
      <c r="AN129" s="174"/>
      <c r="AO129" s="174"/>
      <c r="AP129" s="174"/>
      <c r="AQ129" s="174"/>
      <c r="AR129" s="174"/>
      <c r="AS129" s="174"/>
      <c r="AT129" s="174"/>
      <c r="AU129" s="174"/>
    </row>
    <row r="130" spans="1:51" s="177" customFormat="1" x14ac:dyDescent="0.3">
      <c r="A130" s="174"/>
      <c r="B130" s="3"/>
      <c r="AH130" s="174"/>
      <c r="AI130" s="174"/>
      <c r="AJ130" s="174"/>
      <c r="AK130" s="174"/>
      <c r="AL130" s="174"/>
      <c r="AM130" s="174"/>
      <c r="AN130" s="174"/>
      <c r="AO130" s="174"/>
      <c r="AP130" s="174"/>
      <c r="AQ130" s="174"/>
      <c r="AR130" s="174"/>
      <c r="AS130" s="174"/>
      <c r="AT130" s="174"/>
      <c r="AU130" s="174"/>
    </row>
    <row r="131" spans="1:51" s="177" customFormat="1" x14ac:dyDescent="0.3">
      <c r="A131" s="174"/>
      <c r="B131" s="3"/>
      <c r="AH131" s="174"/>
      <c r="AI131" s="174"/>
      <c r="AJ131" s="174"/>
      <c r="AK131" s="174"/>
      <c r="AL131" s="174"/>
      <c r="AM131" s="174"/>
      <c r="AN131" s="174"/>
      <c r="AO131" s="174"/>
      <c r="AP131" s="174"/>
      <c r="AQ131" s="174"/>
      <c r="AR131" s="174"/>
      <c r="AS131" s="174"/>
      <c r="AT131" s="174"/>
      <c r="AU131" s="174"/>
    </row>
    <row r="132" spans="1:51" s="177" customFormat="1" x14ac:dyDescent="0.3">
      <c r="A132" s="174"/>
      <c r="B132" s="3"/>
      <c r="AH132" s="174"/>
      <c r="AI132" s="174"/>
      <c r="AJ132" s="174"/>
      <c r="AK132" s="174"/>
      <c r="AL132" s="174"/>
      <c r="AM132" s="174"/>
      <c r="AN132" s="174"/>
      <c r="AO132" s="174"/>
      <c r="AP132" s="174"/>
      <c r="AQ132" s="174"/>
      <c r="AR132" s="174"/>
      <c r="AS132" s="174"/>
      <c r="AT132" s="174"/>
      <c r="AU132" s="174"/>
    </row>
    <row r="133" spans="1:51" x14ac:dyDescent="0.3">
      <c r="AH133" s="174"/>
      <c r="AI133" s="174"/>
      <c r="AJ133" s="174"/>
      <c r="AK133" s="174"/>
      <c r="AL133" s="174"/>
      <c r="AM133" s="174"/>
      <c r="AN133" s="174"/>
      <c r="AO133" s="174"/>
      <c r="AP133" s="174"/>
      <c r="AQ133" s="174"/>
      <c r="AR133" s="174"/>
      <c r="AS133" s="174"/>
      <c r="AT133" s="174"/>
      <c r="AU133" s="174"/>
      <c r="AV133" s="174"/>
      <c r="AW133" s="174"/>
      <c r="AX133" s="174"/>
      <c r="AY133" s="174"/>
    </row>
    <row r="134" spans="1:51" x14ac:dyDescent="0.3">
      <c r="AH134" s="174"/>
      <c r="AI134" s="174"/>
      <c r="AJ134" s="174"/>
      <c r="AK134" s="174"/>
      <c r="AL134" s="174"/>
      <c r="AM134" s="174"/>
      <c r="AN134" s="174"/>
      <c r="AO134" s="174"/>
      <c r="AP134" s="174"/>
      <c r="AQ134" s="174"/>
      <c r="AR134" s="174"/>
      <c r="AS134" s="174"/>
      <c r="AT134" s="174"/>
      <c r="AU134" s="174"/>
      <c r="AV134" s="174"/>
      <c r="AW134" s="174"/>
      <c r="AX134" s="174"/>
      <c r="AY134" s="174"/>
    </row>
    <row r="135" spans="1:51" x14ac:dyDescent="0.3">
      <c r="AH135" s="174"/>
      <c r="AI135" s="174"/>
      <c r="AJ135" s="174"/>
      <c r="AK135" s="174"/>
      <c r="AL135" s="174"/>
      <c r="AM135" s="174"/>
      <c r="AN135" s="174"/>
      <c r="AO135" s="174"/>
      <c r="AP135" s="174"/>
      <c r="AQ135" s="174"/>
      <c r="AR135" s="174"/>
      <c r="AS135" s="174"/>
      <c r="AT135" s="174"/>
      <c r="AU135" s="174"/>
      <c r="AV135" s="174"/>
      <c r="AW135" s="174"/>
      <c r="AX135" s="174"/>
      <c r="AY135" s="174"/>
    </row>
    <row r="136" spans="1:51" x14ac:dyDescent="0.3">
      <c r="AH136" s="174"/>
      <c r="AI136" s="174"/>
      <c r="AJ136" s="174"/>
      <c r="AK136" s="174"/>
      <c r="AL136" s="174"/>
      <c r="AM136" s="174"/>
      <c r="AN136" s="174"/>
      <c r="AO136" s="174"/>
      <c r="AP136" s="174"/>
      <c r="AQ136" s="174"/>
      <c r="AR136" s="174"/>
      <c r="AS136" s="174"/>
      <c r="AT136" s="174"/>
      <c r="AU136" s="174"/>
      <c r="AV136" s="174"/>
      <c r="AW136" s="174"/>
      <c r="AX136" s="174"/>
      <c r="AY136" s="174"/>
    </row>
    <row r="137" spans="1:51" x14ac:dyDescent="0.3">
      <c r="AH137" s="174"/>
      <c r="AI137" s="174"/>
      <c r="AJ137" s="174"/>
      <c r="AK137" s="174"/>
      <c r="AL137" s="174"/>
      <c r="AM137" s="174"/>
      <c r="AN137" s="174"/>
      <c r="AO137" s="174"/>
      <c r="AP137" s="174"/>
      <c r="AQ137" s="174"/>
      <c r="AR137" s="174"/>
      <c r="AS137" s="174"/>
      <c r="AT137" s="174"/>
      <c r="AU137" s="174"/>
      <c r="AV137" s="174"/>
      <c r="AW137" s="174"/>
      <c r="AX137" s="174"/>
      <c r="AY137" s="174"/>
    </row>
    <row r="138" spans="1:51" x14ac:dyDescent="0.3">
      <c r="AH138" s="174"/>
      <c r="AI138" s="174"/>
      <c r="AJ138" s="174"/>
      <c r="AK138" s="174"/>
      <c r="AL138" s="174"/>
      <c r="AM138" s="174"/>
      <c r="AN138" s="174"/>
      <c r="AO138" s="174"/>
      <c r="AP138" s="174"/>
      <c r="AQ138" s="174"/>
      <c r="AR138" s="174"/>
      <c r="AS138" s="174"/>
      <c r="AT138" s="174"/>
      <c r="AU138" s="174"/>
      <c r="AV138" s="174"/>
      <c r="AW138" s="174"/>
      <c r="AX138" s="174"/>
      <c r="AY138" s="174"/>
    </row>
    <row r="139" spans="1:51" x14ac:dyDescent="0.3">
      <c r="AH139" s="174"/>
      <c r="AI139" s="174"/>
      <c r="AJ139" s="174"/>
      <c r="AK139" s="174"/>
      <c r="AL139" s="174"/>
      <c r="AM139" s="174"/>
      <c r="AN139" s="174"/>
      <c r="AO139" s="174"/>
      <c r="AP139" s="174"/>
      <c r="AQ139" s="174"/>
      <c r="AR139" s="174"/>
      <c r="AS139" s="174"/>
      <c r="AT139" s="174"/>
      <c r="AU139" s="174"/>
      <c r="AV139" s="174"/>
      <c r="AW139" s="174"/>
      <c r="AX139" s="174"/>
      <c r="AY139" s="174"/>
    </row>
    <row r="140" spans="1:51" x14ac:dyDescent="0.3">
      <c r="AH140" s="174"/>
      <c r="AI140" s="174"/>
      <c r="AJ140" s="174"/>
      <c r="AK140" s="174"/>
      <c r="AL140" s="174"/>
      <c r="AM140" s="174"/>
      <c r="AN140" s="174"/>
      <c r="AO140" s="174"/>
      <c r="AP140" s="174"/>
      <c r="AQ140" s="174"/>
      <c r="AR140" s="174"/>
      <c r="AS140" s="174"/>
      <c r="AT140" s="174"/>
      <c r="AU140" s="174"/>
      <c r="AV140" s="174"/>
      <c r="AW140" s="174"/>
      <c r="AX140" s="174"/>
      <c r="AY140" s="174"/>
    </row>
    <row r="141" spans="1:51" x14ac:dyDescent="0.3">
      <c r="AH141" s="174"/>
      <c r="AI141" s="174"/>
      <c r="AJ141" s="174"/>
      <c r="AK141" s="174"/>
      <c r="AL141" s="174"/>
      <c r="AM141" s="174"/>
      <c r="AN141" s="174"/>
      <c r="AO141" s="174"/>
      <c r="AP141" s="174"/>
      <c r="AQ141" s="174"/>
      <c r="AR141" s="174"/>
      <c r="AS141" s="174"/>
      <c r="AT141" s="174"/>
      <c r="AU141" s="174"/>
      <c r="AV141" s="174"/>
      <c r="AW141" s="174"/>
      <c r="AX141" s="174"/>
      <c r="AY141" s="174"/>
    </row>
    <row r="142" spans="1:51" x14ac:dyDescent="0.3">
      <c r="AH142" s="174"/>
      <c r="AI142" s="174"/>
      <c r="AJ142" s="174"/>
      <c r="AK142" s="174"/>
      <c r="AL142" s="174"/>
      <c r="AM142" s="174"/>
      <c r="AN142" s="174"/>
      <c r="AO142" s="174"/>
      <c r="AP142" s="174"/>
      <c r="AQ142" s="174"/>
      <c r="AR142" s="174"/>
      <c r="AS142" s="174"/>
      <c r="AT142" s="174"/>
      <c r="AU142" s="174"/>
      <c r="AV142" s="174"/>
      <c r="AW142" s="174"/>
      <c r="AX142" s="174"/>
      <c r="AY142" s="174"/>
    </row>
    <row r="143" spans="1:51" x14ac:dyDescent="0.3">
      <c r="AH143" s="174"/>
      <c r="AI143" s="174"/>
      <c r="AJ143" s="174"/>
      <c r="AK143" s="174"/>
      <c r="AL143" s="174"/>
      <c r="AM143" s="174"/>
      <c r="AN143" s="174"/>
      <c r="AO143" s="174"/>
      <c r="AP143" s="174"/>
      <c r="AQ143" s="174"/>
      <c r="AR143" s="174"/>
      <c r="AS143" s="174"/>
      <c r="AT143" s="174"/>
      <c r="AU143" s="174"/>
      <c r="AV143" s="174"/>
      <c r="AW143" s="174"/>
      <c r="AX143" s="174"/>
      <c r="AY143" s="174"/>
    </row>
    <row r="144" spans="1:51" x14ac:dyDescent="0.3"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</row>
    <row r="145" spans="34:51" x14ac:dyDescent="0.3">
      <c r="AH145" s="174"/>
      <c r="AI145" s="174"/>
      <c r="AJ145" s="174"/>
      <c r="AK145" s="174"/>
      <c r="AL145" s="174"/>
      <c r="AM145" s="174"/>
      <c r="AN145" s="174"/>
      <c r="AO145" s="174"/>
      <c r="AP145" s="174"/>
      <c r="AQ145" s="174"/>
      <c r="AR145" s="174"/>
      <c r="AS145" s="174"/>
      <c r="AT145" s="174"/>
      <c r="AU145" s="174"/>
      <c r="AV145" s="174"/>
      <c r="AW145" s="174"/>
      <c r="AX145" s="174"/>
      <c r="AY145" s="174"/>
    </row>
    <row r="146" spans="34:51" x14ac:dyDescent="0.3">
      <c r="AH146" s="174"/>
      <c r="AI146" s="174"/>
      <c r="AJ146" s="174"/>
      <c r="AK146" s="174"/>
      <c r="AL146" s="174"/>
      <c r="AM146" s="174"/>
      <c r="AN146" s="174"/>
      <c r="AO146" s="174"/>
      <c r="AP146" s="174"/>
      <c r="AQ146" s="174"/>
      <c r="AR146" s="174"/>
      <c r="AS146" s="174"/>
      <c r="AT146" s="174"/>
      <c r="AU146" s="174"/>
      <c r="AV146" s="174"/>
      <c r="AW146" s="174"/>
      <c r="AX146" s="174"/>
      <c r="AY146" s="174"/>
    </row>
    <row r="147" spans="34:51" x14ac:dyDescent="0.3">
      <c r="AH147" s="174"/>
      <c r="AI147" s="174"/>
      <c r="AJ147" s="174"/>
      <c r="AK147" s="174"/>
      <c r="AL147" s="174"/>
      <c r="AM147" s="174"/>
      <c r="AN147" s="174"/>
      <c r="AO147" s="174"/>
      <c r="AP147" s="174"/>
      <c r="AQ147" s="174"/>
      <c r="AR147" s="174"/>
      <c r="AS147" s="174"/>
      <c r="AT147" s="174"/>
      <c r="AU147" s="174"/>
      <c r="AV147" s="174"/>
      <c r="AW147" s="174"/>
      <c r="AX147" s="174"/>
      <c r="AY147" s="174"/>
    </row>
    <row r="148" spans="34:51" x14ac:dyDescent="0.3">
      <c r="AH148" s="174"/>
      <c r="AI148" s="174"/>
      <c r="AJ148" s="174"/>
      <c r="AK148" s="174"/>
      <c r="AL148" s="174"/>
      <c r="AM148" s="174"/>
      <c r="AN148" s="174"/>
      <c r="AO148" s="174"/>
      <c r="AP148" s="174"/>
      <c r="AQ148" s="174"/>
      <c r="AR148" s="174"/>
      <c r="AS148" s="174"/>
      <c r="AT148" s="174"/>
      <c r="AU148" s="174"/>
      <c r="AV148" s="174"/>
      <c r="AW148" s="174"/>
      <c r="AX148" s="174"/>
      <c r="AY148" s="174"/>
    </row>
    <row r="149" spans="34:51" x14ac:dyDescent="0.3">
      <c r="AH149" s="174"/>
      <c r="AI149" s="174"/>
      <c r="AJ149" s="174"/>
      <c r="AK149" s="174"/>
      <c r="AL149" s="174"/>
      <c r="AM149" s="174"/>
      <c r="AN149" s="174"/>
      <c r="AO149" s="174"/>
      <c r="AP149" s="174"/>
      <c r="AQ149" s="174"/>
      <c r="AR149" s="174"/>
      <c r="AS149" s="174"/>
      <c r="AT149" s="174"/>
      <c r="AU149" s="174"/>
      <c r="AV149" s="174"/>
      <c r="AW149" s="174"/>
      <c r="AX149" s="174"/>
      <c r="AY149" s="174"/>
    </row>
    <row r="150" spans="34:51" x14ac:dyDescent="0.3"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4"/>
      <c r="AU150" s="174"/>
      <c r="AV150" s="174"/>
      <c r="AW150" s="174"/>
      <c r="AX150" s="174"/>
      <c r="AY150" s="174"/>
    </row>
  </sheetData>
  <mergeCells count="16">
    <mergeCell ref="B13:B14"/>
    <mergeCell ref="B26:B27"/>
    <mergeCell ref="B39:B40"/>
    <mergeCell ref="B52:B53"/>
    <mergeCell ref="B36:B37"/>
    <mergeCell ref="B45:B46"/>
    <mergeCell ref="B47:B48"/>
    <mergeCell ref="B49:B50"/>
    <mergeCell ref="B21:B22"/>
    <mergeCell ref="B23:B24"/>
    <mergeCell ref="B32:B33"/>
    <mergeCell ref="B34:B35"/>
    <mergeCell ref="B6:B7"/>
    <mergeCell ref="B8:B9"/>
    <mergeCell ref="B10:B11"/>
    <mergeCell ref="B19:B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Wlength, intensity, duty cycle </vt:lpstr>
      <vt:lpstr>Transmittance and attenutation </vt:lpstr>
      <vt:lpstr>Photoperiods</vt:lpstr>
    </vt:vector>
  </TitlesOfParts>
  <Company>Cranfield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Whitton, Rachel</dc:creator>
  <cp:lastModifiedBy>Whitton, Rachel</cp:lastModifiedBy>
  <dcterms:created xsi:type="dcterms:W3CDTF">2019-09-26T09:56:48Z</dcterms:created>
  <dcterms:modified xsi:type="dcterms:W3CDTF">2019-09-26T10:55:14Z</dcterms:modified>
</cp:coreProperties>
</file>